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139 P&amp;C - UCF - One Central Plaza 7&amp;8/01. Quotes/Job Cost/"/>
    </mc:Choice>
  </mc:AlternateContent>
  <xr:revisionPtr revIDLastSave="11" documentId="8_{0B2A1669-ECF6-4D22-9108-85410D54660B}" xr6:coauthVersionLast="47" xr6:coauthVersionMax="47" xr10:uidLastSave="{0E6647D4-6612-4B5A-ABFE-4A48DA419DF5}"/>
  <bookViews>
    <workbookView xWindow="2868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B9" i="1"/>
  <c r="B8" i="1"/>
  <c r="B6" i="1"/>
  <c r="C30" i="1" l="1"/>
  <c r="C22" i="1"/>
  <c r="C51" i="1"/>
  <c r="I23" i="1" l="1"/>
  <c r="I22" i="1"/>
  <c r="I30" i="1"/>
  <c r="I49" i="1"/>
  <c r="C57" i="1"/>
  <c r="I31" i="1"/>
  <c r="I53" i="1"/>
  <c r="I28" i="1"/>
  <c r="I27" i="1"/>
  <c r="I45" i="1"/>
  <c r="F45" i="1"/>
  <c r="B45" i="1"/>
  <c r="M57" i="1"/>
  <c r="I56" i="1"/>
  <c r="I55" i="1"/>
  <c r="I54" i="1"/>
  <c r="I51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9" i="1"/>
  <c r="I26" i="1"/>
  <c r="M63" i="1" s="1"/>
  <c r="I25" i="1"/>
  <c r="I24" i="1"/>
  <c r="I21" i="1"/>
  <c r="I20" i="1"/>
  <c r="I19" i="1"/>
  <c r="I18" i="1"/>
  <c r="I17" i="1"/>
  <c r="I16" i="1"/>
  <c r="I15" i="1"/>
  <c r="I14" i="1"/>
  <c r="M62" i="1"/>
  <c r="F43" i="1"/>
  <c r="B10" i="1"/>
  <c r="D56" i="1" s="1"/>
  <c r="C43" i="1" l="1"/>
  <c r="C59" i="1" s="1"/>
  <c r="C61" i="1" s="1"/>
  <c r="D61" i="1" s="1"/>
  <c r="I52" i="1"/>
  <c r="G31" i="1"/>
  <c r="J31" i="1"/>
  <c r="D31" i="1"/>
  <c r="D53" i="1"/>
  <c r="D52" i="1"/>
  <c r="M56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D59" i="1" l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<sst xmlns="http://schemas.openxmlformats.org/spreadsheetml/2006/main" count="116" uniqueCount="107">
  <si>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</si>
  <si>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</si>
  <si>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</si>
  <si>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</si>
  <si>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</si>
  <si>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</si>
  <si>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</si>
  <si>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</si>
  <si>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</si>
  <si>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</si>
  <si>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</si>
  <si>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</si>
  <si>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</si>
  <si>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</si>
  <si>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</si>
  <si>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</si>
  <si>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</si>
  <si>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</si>
  <si>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</si>
  <si>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</si>
  <si>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</si>
  <si>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</si>
  <si>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</si>
  <si>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</si>
  <si>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</si>
  <si>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</si>
  <si>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</si>
  <si>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</si>
  <si>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</si>
  <si>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</si>
  <si>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</si>
  <si>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</si>
  <si>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</si>
  <si>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</si>
  <si>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</si>
  <si>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</si>
  <si>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</si>
  <si>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</si>
  <si>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</si>
  <si>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</si>
  <si>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</si>
  <si>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</si>
  <si>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</si>
  <si>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</si>
  <si>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</si>
  <si>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</si>
  <si>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</si>
  <si>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</si>
  <si>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</si>
  <si>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</si>
  <si>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</si>
  <si>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</si>
  <si>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</si>
  <si>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</si>
  <si>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</si>
  <si>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</si>
  <si>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</si>
  <si>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</si>
  <si>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</si>
  <si>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</si>
  <si>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</si>
  <si>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</si>
  <si>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</si>
  <si>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</si>
  <si>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</si>
  <si>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</si>
  <si>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</si>
  <si>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</si>
  <si>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</si>
  <si>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</si>
  <si>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</si>
  <si>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</si>
  <si>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</si>
  <si>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</si>
  <si>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</si>
  <si>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</si>
  <si>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</si>
  <si>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</si>
  <si>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</si>
  <si>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</si>
  <si>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</si>
  <si>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</si>
  <si>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</si>
  <si>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</si>
  <si>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</si>
  <si>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</si>
  <si>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</si>
  <si>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</si>
  <si>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</si>
  <si>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</si>
  <si>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</si>
  <si>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</si>
  <si>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</si>
  <si>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</si>
  <si>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</si>
  <si>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</si>
  <si>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</si>
  <si>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</si>
  <si>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</si>
  <si>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</si>
  <si>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</si>
  <si>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</si>
  <si>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</si>
  <si>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250035-UCF One Central Plaza 7 &amp; 8</t>
  </si>
  <si>
    <t>25-139</t>
  </si>
  <si>
    <t>Solatech 454950</t>
  </si>
  <si>
    <t>45 Manual Singles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</si>
</sst>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  <xf numFmtId="16" fontId="15" fillId="2" borderId="10" xfId="0" applyNumberFormat="1" applyFont="1" applyFill="1" applyBorder="1" applyAlignment="1" applyProtection="1">
      <alignment horizontal="center" vertical="center"/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zoomScaleNormal="100" zoomScaleSheetLayoutView="100" workbookViewId="0"/>
  </sheetViews>
  <sheetFormatPr defaultRowHeight="15" x14ac:dyDescent="0.25"/>
  <cols>
    <col min="1" max="1" width="39.28515625" bestFit="1" customWidth="1"/>
    <col min="2" max="2" width="18.855468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9" bestFit="1" customWidth="1"/>
    <col min="15" max="29" width="9.140625" style="1"/>
  </cols>
  <sheetData>
    <row r="1" spans="1:29" ht="29.25" customHeigh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 x14ac:dyDescent="0.25">
      <c r="A2" s="87" t="s">
        <v>0</v>
      </c>
      <c r="B2" s="109" t="s">
        <v>103</v>
      </c>
      <c r="C2" s="109"/>
      <c r="D2" s="109"/>
      <c r="E2" s="109"/>
      <c r="F2" s="109"/>
      <c r="J2" s="90"/>
      <c r="K2" s="89"/>
      <c r="L2" s="89" t="s">
        <v>1</v>
      </c>
      <c r="M2" s="114">
        <v>1</v>
      </c>
      <c r="N2" s="115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 x14ac:dyDescent="0.25">
      <c r="A3" s="91" t="s">
        <v>2</v>
      </c>
      <c r="B3" s="110">
        <v>45707</v>
      </c>
      <c r="C3" s="109"/>
      <c r="D3" s="109"/>
      <c r="E3" s="109"/>
      <c r="F3" s="109"/>
      <c r="J3" s="90"/>
      <c r="K3" s="89"/>
      <c r="L3" s="89" t="s">
        <v>3</v>
      </c>
      <c r="M3" s="127">
        <v>45761</v>
      </c>
      <c r="N3" s="115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 x14ac:dyDescent="0.25">
      <c r="A4" s="87" t="s">
        <v>4</v>
      </c>
      <c r="B4" s="109" t="s">
        <v>104</v>
      </c>
      <c r="C4" s="109"/>
      <c r="D4" s="109"/>
      <c r="E4" s="109"/>
      <c r="F4" s="109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 x14ac:dyDescent="0.25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 x14ac:dyDescent="0.25">
      <c r="A6" s="89" t="s">
        <v>5</v>
      </c>
      <c r="B6" s="92">
        <f>11402+263</f>
        <v>11665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 x14ac:dyDescent="0.25">
      <c r="A7" s="89" t="s">
        <v>6</v>
      </c>
      <c r="B7" s="92">
        <v>285</v>
      </c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 x14ac:dyDescent="0.25">
      <c r="A8" s="89" t="s">
        <v>7</v>
      </c>
      <c r="B8" s="92">
        <f>2630+45+250</f>
        <v>2925</v>
      </c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 x14ac:dyDescent="0.25">
      <c r="A9" s="89" t="s">
        <v>8</v>
      </c>
      <c r="B9" s="92">
        <f>538.2+66.67</f>
        <v>604.87</v>
      </c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 x14ac:dyDescent="0.3">
      <c r="B10" s="95">
        <f>SUM(B6:B9)</f>
        <v>15479.87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 x14ac:dyDescent="0.25">
      <c r="A11" s="113" t="s">
        <v>9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</row>
    <row r="12" spans="1:29" s="98" customFormat="1" ht="21.75" customHeight="1" x14ac:dyDescent="0.25">
      <c r="A12" s="97" t="s">
        <v>10</v>
      </c>
      <c r="B12" s="111" t="s">
        <v>11</v>
      </c>
      <c r="C12" s="111"/>
      <c r="D12" s="111"/>
      <c r="F12" s="112" t="s">
        <v>12</v>
      </c>
      <c r="G12" s="112"/>
      <c r="I12" s="112" t="s">
        <v>13</v>
      </c>
      <c r="J12" s="112"/>
      <c r="L12" s="112" t="s">
        <v>14</v>
      </c>
      <c r="M12" s="112"/>
      <c r="N12" s="112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 x14ac:dyDescent="0.25">
      <c r="A13" s="104"/>
      <c r="B13" s="104"/>
      <c r="C13" s="104"/>
      <c r="D13" s="104"/>
      <c r="F13" s="105"/>
      <c r="G13" s="105"/>
      <c r="I13" s="105"/>
      <c r="J13" s="105"/>
      <c r="L13" s="104"/>
      <c r="M13" s="104"/>
      <c r="N13" s="104"/>
    </row>
    <row r="14" spans="1:29" s="8" customFormat="1" ht="15.75" customHeight="1" x14ac:dyDescent="0.25">
      <c r="A14" s="3" t="s">
        <v>15</v>
      </c>
      <c r="B14" s="4" t="s">
        <v>16</v>
      </c>
      <c r="C14" s="5">
        <v>0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86" t="s">
        <v>17</v>
      </c>
      <c r="L14" s="117"/>
      <c r="M14" s="117"/>
      <c r="N14" s="11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18</v>
      </c>
      <c r="B15" s="10" t="s">
        <v>19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0</v>
      </c>
      <c r="J15" s="12">
        <f t="shared" si="2"/>
        <v>0</v>
      </c>
      <c r="K15" s="86" t="s">
        <v>17</v>
      </c>
      <c r="L15" s="118"/>
      <c r="M15" s="118"/>
      <c r="N15" s="118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20</v>
      </c>
      <c r="B16" s="15" t="s">
        <v>21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86" t="s">
        <v>17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8"/>
      <c r="M17" s="118"/>
      <c r="N17" s="118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8"/>
      <c r="M19" s="118"/>
      <c r="N19" s="118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30</v>
      </c>
      <c r="B21" s="10" t="s">
        <v>31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86" t="s">
        <v>17</v>
      </c>
      <c r="L21" s="118"/>
      <c r="M21" s="118"/>
      <c r="N21" s="118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32</v>
      </c>
      <c r="B22" s="20" t="s">
        <v>33</v>
      </c>
      <c r="C22" s="21">
        <f>44*12</f>
        <v>528</v>
      </c>
      <c r="D22" s="22">
        <f t="shared" si="0"/>
        <v>0</v>
      </c>
      <c r="E22" s="23"/>
      <c r="F22" s="21">
        <v>12</v>
      </c>
      <c r="G22" s="22">
        <f>IFERROR(F22/$B$10,0)</f>
        <v>7.752003085297228E-4</v>
      </c>
      <c r="H22" s="23"/>
      <c r="I22" s="21">
        <f t="shared" si="3"/>
        <v>540</v>
      </c>
      <c r="J22" s="22">
        <f>IFERROR(I22/$B$10,0)</f>
        <v>3.4884013883837522E-2</v>
      </c>
      <c r="K22" s="23"/>
      <c r="L22" s="24" t="s">
        <v>106</v>
      </c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34</v>
      </c>
      <c r="B23" s="10" t="s">
        <v>35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19"/>
      <c r="M23" s="119"/>
      <c r="N23" s="119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36</v>
      </c>
      <c r="B24" s="15" t="s">
        <v>37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40</v>
      </c>
      <c r="B26" s="15" t="s">
        <v>41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42</v>
      </c>
      <c r="B27" s="10" t="s">
        <v>43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48</v>
      </c>
      <c r="B30" s="15" t="s">
        <v>49</v>
      </c>
      <c r="C30" s="32">
        <f>3957.88-528</f>
        <v>3429.88</v>
      </c>
      <c r="D30" s="17">
        <f t="shared" si="0"/>
        <v>0</v>
      </c>
      <c r="E30" s="28"/>
      <c r="F30" s="32">
        <f>91.26-12</f>
        <v>79.260000000000005</v>
      </c>
      <c r="G30" s="17">
        <f t="shared" si="1"/>
        <v>5.1201980378388192E-3</v>
      </c>
      <c r="H30" s="28"/>
      <c r="I30" s="32">
        <f t="shared" si="3"/>
        <v>3509.1400000000003</v>
      </c>
      <c r="J30" s="17">
        <f t="shared" si="8"/>
        <v>0.22669053422283264</v>
      </c>
      <c r="K30" s="28"/>
      <c r="L30" s="33" t="s">
        <v>105</v>
      </c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 x14ac:dyDescent="0.25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 x14ac:dyDescent="0.25">
      <c r="A32" s="19" t="s">
        <v>52</v>
      </c>
      <c r="B32" s="20" t="s">
        <v>53</v>
      </c>
      <c r="C32" s="102">
        <v>0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0</v>
      </c>
      <c r="J32" s="22">
        <f t="shared" si="8"/>
        <v>0</v>
      </c>
      <c r="K32" s="34"/>
      <c r="L32" s="103"/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 x14ac:dyDescent="0.25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 x14ac:dyDescent="0.25">
      <c r="A43" s="37"/>
      <c r="B43" s="38"/>
      <c r="C43" s="38">
        <f>SUM(C14:C42)</f>
        <v>3957.88</v>
      </c>
      <c r="D43" s="39">
        <f>SUM(D14:D42)</f>
        <v>0</v>
      </c>
      <c r="E43" s="40"/>
      <c r="F43" s="38">
        <f>SUM(F14:F42)</f>
        <v>91.26</v>
      </c>
      <c r="G43" s="41">
        <f>SUM(G14:G42)</f>
        <v>5.895398346368542E-3</v>
      </c>
      <c r="I43" s="38">
        <f>SUM(I14:I42)</f>
        <v>4049.1400000000003</v>
      </c>
      <c r="J43" s="41">
        <f>SUM(J14:J42)</f>
        <v>0.26157454810667014</v>
      </c>
      <c r="L43" s="120"/>
      <c r="M43" s="120"/>
      <c r="N43" s="12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 x14ac:dyDescent="0.25">
      <c r="A44" s="108"/>
      <c r="B44" s="108"/>
      <c r="C44" s="108"/>
      <c r="D44" s="108"/>
      <c r="F44" s="107"/>
      <c r="G44" s="107"/>
      <c r="I44" s="107"/>
      <c r="J44" s="107"/>
      <c r="L44" s="121"/>
      <c r="M44" s="121"/>
      <c r="N44" s="121"/>
    </row>
    <row r="45" spans="1:29" s="98" customFormat="1" ht="23.25" customHeight="1" x14ac:dyDescent="0.25">
      <c r="A45" s="97" t="s">
        <v>74</v>
      </c>
      <c r="B45" s="106" t="str">
        <f>+B12</f>
        <v>ORIGINAL BUDGET</v>
      </c>
      <c r="C45" s="106"/>
      <c r="D45" s="106"/>
      <c r="E45" s="100"/>
      <c r="F45" s="106" t="str">
        <f>+F12</f>
        <v>REVISIONS</v>
      </c>
      <c r="G45" s="106"/>
      <c r="I45" s="106" t="str">
        <f>+I12</f>
        <v>CURRENT BUDGET</v>
      </c>
      <c r="J45" s="106"/>
      <c r="L45" s="112" t="s">
        <v>14</v>
      </c>
      <c r="M45" s="112"/>
      <c r="N45" s="112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 x14ac:dyDescent="0.25">
      <c r="A46" s="104"/>
      <c r="B46" s="104"/>
      <c r="C46" s="104"/>
      <c r="D46" s="104"/>
      <c r="F46" s="104"/>
      <c r="G46" s="104"/>
      <c r="I46" s="104"/>
      <c r="J46" s="104"/>
      <c r="L46" s="104"/>
      <c r="M46" s="104"/>
      <c r="N46" s="104"/>
    </row>
    <row r="47" spans="1:29" s="31" customFormat="1" ht="27.75" x14ac:dyDescent="0.2">
      <c r="A47" s="84" t="s">
        <v>75</v>
      </c>
      <c r="B47" s="4" t="s">
        <v>76</v>
      </c>
      <c r="C47" s="43">
        <v>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55" t="s">
        <v>77</v>
      </c>
      <c r="B48" s="10" t="s">
        <v>78</v>
      </c>
      <c r="C48" s="27">
        <v>100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100</v>
      </c>
      <c r="J48" s="46">
        <f>IFERROR(I48/$B$10,0)</f>
        <v>6.460002571081023E-3</v>
      </c>
      <c r="L48" s="116"/>
      <c r="M48" s="116"/>
      <c r="N48" s="116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 x14ac:dyDescent="0.2">
      <c r="A49" s="55" t="s">
        <v>79</v>
      </c>
      <c r="B49" s="10" t="s">
        <v>80</v>
      </c>
      <c r="C49" s="27">
        <v>78</v>
      </c>
      <c r="D49" s="46"/>
      <c r="E49" s="28"/>
      <c r="F49" s="27">
        <v>0</v>
      </c>
      <c r="G49" s="46"/>
      <c r="I49" s="27">
        <f t="shared" si="15"/>
        <v>78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 x14ac:dyDescent="0.2">
      <c r="A50" s="83" t="s">
        <v>81</v>
      </c>
      <c r="B50" s="15" t="s">
        <v>82</v>
      </c>
      <c r="C50" s="32">
        <v>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55" t="s">
        <v>83</v>
      </c>
      <c r="B51" s="10" t="s">
        <v>84</v>
      </c>
      <c r="C51" s="49">
        <f>44*35</f>
        <v>1540</v>
      </c>
      <c r="D51" s="50">
        <f t="shared" si="13"/>
        <v>0</v>
      </c>
      <c r="E51" s="28"/>
      <c r="F51" s="49">
        <v>35</v>
      </c>
      <c r="G51" s="50">
        <f t="shared" si="14"/>
        <v>2.261000899878358E-3</v>
      </c>
      <c r="I51" s="49">
        <f t="shared" si="15"/>
        <v>1575</v>
      </c>
      <c r="J51" s="50">
        <f t="shared" ref="J51:J56" si="17">IFERROR(I51/$B$10,0)</f>
        <v>0.10174504049452611</v>
      </c>
      <c r="L51" s="116"/>
      <c r="M51" s="116"/>
      <c r="N51" s="116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55" t="s">
        <v>85</v>
      </c>
      <c r="B52" s="10" t="s">
        <v>86</v>
      </c>
      <c r="C52" s="49">
        <v>354</v>
      </c>
      <c r="D52" s="50">
        <f t="shared" si="13"/>
        <v>0</v>
      </c>
      <c r="E52" s="28"/>
      <c r="F52" s="49">
        <v>177</v>
      </c>
      <c r="G52" s="50"/>
      <c r="I52" s="49">
        <f t="shared" si="15"/>
        <v>531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 x14ac:dyDescent="0.2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 x14ac:dyDescent="0.2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 x14ac:dyDescent="0.25">
      <c r="A55" s="55" t="s">
        <v>91</v>
      </c>
      <c r="B55" s="10" t="s">
        <v>92</v>
      </c>
      <c r="C55" s="49">
        <v>400</v>
      </c>
      <c r="D55" s="50">
        <f t="shared" si="13"/>
        <v>0</v>
      </c>
      <c r="E55" s="56"/>
      <c r="F55" s="49">
        <v>50</v>
      </c>
      <c r="G55" s="50">
        <f t="shared" si="14"/>
        <v>3.2300012855405115E-3</v>
      </c>
      <c r="I55" s="49">
        <f t="shared" si="15"/>
        <v>450</v>
      </c>
      <c r="J55" s="50">
        <f t="shared" si="17"/>
        <v>2.9070011569864603E-2</v>
      </c>
      <c r="L55" s="116"/>
      <c r="M55" s="116"/>
      <c r="N55" s="116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 x14ac:dyDescent="0.3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22">
        <f>+B6-M62-M63</f>
        <v>11665</v>
      </c>
      <c r="N56" s="123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 x14ac:dyDescent="0.25">
      <c r="A57" s="60"/>
      <c r="B57" s="60"/>
      <c r="C57" s="60">
        <f>SUM(C47:C56)</f>
        <v>2472</v>
      </c>
      <c r="D57" s="61">
        <f>SUM(D47:D56)</f>
        <v>0</v>
      </c>
      <c r="E57"/>
      <c r="F57" s="60">
        <f>SUM(F47:F56)</f>
        <v>262</v>
      </c>
      <c r="G57" s="61">
        <f>SUM(G47:G56)</f>
        <v>5.4910021854188695E-3</v>
      </c>
      <c r="H57"/>
      <c r="I57" s="60">
        <f>SUM(I47:I56)</f>
        <v>2734</v>
      </c>
      <c r="J57" s="61">
        <f>SUM(J47:J56)</f>
        <v>0.13727505463547174</v>
      </c>
      <c r="L57" s="58" t="s">
        <v>96</v>
      </c>
      <c r="M57" s="81">
        <f>+M58+M59</f>
        <v>0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 x14ac:dyDescent="0.25">
      <c r="L58" s="62"/>
      <c r="M58" s="63">
        <v>0</v>
      </c>
      <c r="N58" s="64">
        <f>+M58*M56</f>
        <v>0</v>
      </c>
    </row>
    <row r="59" spans="1:29" ht="15.75" thickBot="1" x14ac:dyDescent="0.3">
      <c r="B59" s="68" t="s">
        <v>98</v>
      </c>
      <c r="C59" s="69">
        <f>+C43+C57</f>
        <v>6429.88</v>
      </c>
      <c r="D59" s="70">
        <f>+C59/B10</f>
        <v>0.41537041331742447</v>
      </c>
      <c r="E59" s="42"/>
      <c r="F59" s="69">
        <f>+F43+F57</f>
        <v>353.26</v>
      </c>
      <c r="G59" s="71">
        <f>IFERROR(F59/$B$10,0)</f>
        <v>2.2820605082600823E-2</v>
      </c>
      <c r="I59" s="69">
        <f>+I43+I57</f>
        <v>6783.14</v>
      </c>
      <c r="J59" s="71">
        <f>IFERROR(I59/$B$10,0)</f>
        <v>0.43819101840002533</v>
      </c>
      <c r="L59" s="65"/>
      <c r="M59" s="66">
        <v>0</v>
      </c>
      <c r="N59" s="67">
        <f>+M59*M56</f>
        <v>0</v>
      </c>
    </row>
    <row r="60" spans="1:29" ht="15.75" thickTop="1" x14ac:dyDescent="0.25">
      <c r="B60" s="72"/>
      <c r="C60" s="2"/>
    </row>
    <row r="61" spans="1:29" ht="24.75" customHeight="1" thickBot="1" x14ac:dyDescent="0.3">
      <c r="A61" s="31"/>
      <c r="B61" s="73" t="s">
        <v>99</v>
      </c>
      <c r="C61" s="74">
        <f>IF(C59&gt;0,+B10-C59,0)</f>
        <v>9049.9900000000016</v>
      </c>
      <c r="D61" s="75">
        <f>+C61/B10</f>
        <v>0.58462958668257559</v>
      </c>
      <c r="E61" s="76"/>
      <c r="F61" s="74">
        <f>IF(F59&gt;0,+B10-F59,0)</f>
        <v>15126.61</v>
      </c>
      <c r="G61" s="77">
        <f>IFERROR(F61/$B$10,0)</f>
        <v>0.97717939491739914</v>
      </c>
      <c r="H61" s="31"/>
      <c r="I61" s="74">
        <f>IF(I59&gt;0,+B10-I59,0)</f>
        <v>8696.73</v>
      </c>
      <c r="J61" s="77">
        <f>IFERROR(I61/$B$10,0)</f>
        <v>0.56180898159997461</v>
      </c>
      <c r="L61" s="124" t="s">
        <v>100</v>
      </c>
      <c r="M61" s="124"/>
      <c r="N61" s="124"/>
    </row>
    <row r="62" spans="1:29" s="31" customFormat="1" ht="15.75" thickTop="1" x14ac:dyDescent="0.25">
      <c r="A62"/>
      <c r="B62"/>
      <c r="C62"/>
      <c r="D62"/>
      <c r="E62"/>
      <c r="F62"/>
      <c r="G62"/>
      <c r="H62"/>
      <c r="I62"/>
      <c r="J62"/>
      <c r="L62" s="78" t="s">
        <v>101</v>
      </c>
      <c r="M62" s="125">
        <f>+I25+I40</f>
        <v>0</v>
      </c>
      <c r="N62" s="126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 x14ac:dyDescent="0.25">
      <c r="L63" s="78" t="s">
        <v>102</v>
      </c>
      <c r="M63" s="125">
        <f>+I26+I41</f>
        <v>0</v>
      </c>
      <c r="N63" s="126"/>
    </row>
    <row r="64" spans="1:29" ht="13.5" customHeight="1" x14ac:dyDescent="0.25"/>
    <row r="65" spans="1:14" ht="27" customHeight="1" x14ac:dyDescent="0.25">
      <c r="B65" s="2"/>
      <c r="C65" s="2"/>
      <c r="N65" s="72"/>
    </row>
    <row r="66" spans="1:14" x14ac:dyDescent="0.25">
      <c r="B66" s="2"/>
      <c r="C66" s="2"/>
      <c r="F66" s="79"/>
      <c r="I66" s="79"/>
    </row>
    <row r="67" spans="1:14" x14ac:dyDescent="0.25">
      <c r="A67" s="80"/>
      <c r="B67" s="2"/>
      <c r="C67" s="2"/>
      <c r="F67" s="79"/>
      <c r="I67" s="79"/>
    </row>
    <row r="68" spans="1:14" x14ac:dyDescent="0.25">
      <c r="B68" s="2"/>
      <c r="C68" s="2"/>
      <c r="F68" s="79"/>
      <c r="I68" s="79"/>
    </row>
    <row r="69" spans="1:14" x14ac:dyDescent="0.25">
      <c r="B69" s="2"/>
      <c r="C69" s="2"/>
    </row>
    <row r="70" spans="1:14" x14ac:dyDescent="0.25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L55:N55"/>
    <mergeCell ref="M56:N56"/>
    <mergeCell ref="L61:N61"/>
    <mergeCell ref="M62:N62"/>
    <mergeCell ref="M63:N63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3" fitToHeight="0" orientation="portrait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3.xml><?xml version="1.0" encoding="utf-8"?>
<ds:datastoreItem xmlns:ds="http://schemas.openxmlformats.org/officeDocument/2006/customXml" ds:itemID="{A4701A25-A6FB-40A3-A6F5-E3AB49FD3A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2025-02-07T12:19:52Z</cp:lastPrinted>
  <dcterms:created xsi:type="dcterms:W3CDTF">2023-03-21T14:07:27Z</dcterms:created>
  <dcterms:modified xsi:type="dcterms:W3CDTF">2025-04-14T16:55:21Z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