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697 TPS Bozeman MT Public Space/01. Quotes/Job Cost/"/>
    </mc:Choice>
  </mc:AlternateContent>
  <xr:revisionPtr revIDLastSave="31" documentId="8_{C2AA59D6-BDD3-4EEF-82F0-FBBD2E10A59E}" xr6:coauthVersionLast="47" xr6:coauthVersionMax="47" xr10:uidLastSave="{1A265078-9E96-4794-9D4E-FAD1D0733FAA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47" i="1"/>
  <c r="F22" i="1"/>
  <c r="C30" i="1"/>
  <c r="C22" i="1" l="1"/>
  <c r="C50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<sst xmlns="http://schemas.openxmlformats.org/spreadsheetml/2006/main" count="118" uniqueCount="109">
  <si>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</si>
  <si>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</si>
  <si>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</si>
  <si>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</si>
  <si>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</si>
  <si>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</si>
  <si>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</si>
  <si>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</si>
  <si>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</si>
  <si>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</si>
  <si>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</si>
  <si>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</si>
  <si>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</si>
  <si>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</si>
  <si>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</si>
  <si>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</si>
  <si>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</si>
  <si>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</si>
  <si>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</si>
  <si>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</si>
  <si>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</si>
  <si>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</si>
  <si>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</si>
  <si>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</si>
  <si>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</si>
  <si>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</si>
  <si>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</si>
  <si>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</si>
  <si>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</si>
  <si>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</si>
  <si>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</si>
  <si>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</si>
  <si>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</si>
  <si>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</si>
  <si>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</si>
  <si>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</si>
  <si>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</si>
  <si>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</si>
  <si>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</si>
  <si>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</si>
  <si>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</si>
  <si>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</si>
  <si>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</si>
  <si>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</si>
  <si>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</si>
  <si>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</si>
  <si>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</si>
  <si>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</si>
  <si>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</si>
  <si>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</si>
  <si>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</si>
  <si>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</si>
  <si>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</si>
  <si>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</si>
  <si>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</si>
  <si>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</si>
  <si>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</si>
  <si>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</si>
  <si>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</si>
  <si>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</si>
  <si>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</si>
  <si>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</si>
  <si>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</si>
  <si>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</si>
  <si>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</si>
  <si>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</si>
  <si>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</si>
  <si>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</si>
  <si>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</si>
  <si>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</si>
  <si>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</si>
  <si>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</si>
  <si>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</si>
  <si>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</si>
  <si>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</si>
  <si>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</si>
  <si>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</si>
  <si>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</si>
  <si>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</si>
  <si>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</si>
  <si>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</si>
  <si>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</si>
  <si>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</si>
  <si>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</si>
  <si>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</si>
  <si>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</si>
  <si>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</si>
  <si>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</si>
  <si>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</si>
  <si>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</si>
  <si>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</si>
  <si>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</si>
  <si>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</si>
  <si>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</si>
  <si>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</si>
  <si>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</si>
  <si>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</si>
  <si>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</si>
  <si>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</si>
  <si>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</si>
  <si>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</si>
  <si>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</si>
  <si>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</si>
  <si>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TPS Bozeman - 01B Public Area</t>
  </si>
  <si>
    <t>Meinsen</t>
  </si>
  <si>
    <t>24-697</t>
  </si>
  <si>
    <t>Budgeting Tris &amp; That</t>
  </si>
  <si>
    <t>Solatech 399179</t>
  </si>
  <si>
    <t>38 -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</si>
</sst>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4.5" x14ac:dyDescent="0.35"/>
  <cols>
    <col min="1" max="1" width="39.26953125" bestFit="1" customWidth="1"/>
    <col min="2" max="2" width="18.81640625" bestFit="1" customWidth="1"/>
    <col min="3" max="3" width="15.54296875" customWidth="1"/>
    <col min="4" max="4" width="11.26953125" bestFit="1" customWidth="1"/>
    <col min="5" max="5" width="2.81640625" customWidth="1"/>
    <col min="6" max="6" width="14.7265625" customWidth="1"/>
    <col min="7" max="7" width="11.1796875" customWidth="1"/>
    <col min="8" max="8" width="2.1796875" customWidth="1"/>
    <col min="9" max="9" width="14.7265625" customWidth="1"/>
    <col min="10" max="10" width="11.1796875" customWidth="1"/>
    <col min="11" max="11" width="5" customWidth="1"/>
    <col min="12" max="12" width="21" bestFit="1" customWidth="1"/>
    <col min="13" max="13" width="12.26953125" customWidth="1"/>
    <col min="14" max="14" width="9" bestFit="1" customWidth="1"/>
    <col min="15" max="29" width="9.1796875" style="1"/>
  </cols>
  <sheetData>
    <row r="1" spans="1:29" ht="29.25" customHeigh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3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>
        <v>1</v>
      </c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35">
      <c r="A3" s="91" t="s">
        <v>2</v>
      </c>
      <c r="B3" s="117">
        <v>45544</v>
      </c>
      <c r="C3" s="116"/>
      <c r="D3" s="116"/>
      <c r="E3" s="116"/>
      <c r="F3" s="116"/>
      <c r="J3" s="90"/>
      <c r="K3" s="89"/>
      <c r="L3" s="89" t="s">
        <v>3</v>
      </c>
      <c r="M3" s="127">
        <v>45710</v>
      </c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35">
      <c r="A4" s="87" t="s">
        <v>4</v>
      </c>
      <c r="B4" s="116" t="s">
        <v>105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3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35">
      <c r="A6" s="89" t="s">
        <v>5</v>
      </c>
      <c r="B6" s="92">
        <v>7273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35">
      <c r="A7" s="89" t="s">
        <v>6</v>
      </c>
      <c r="B7" s="92">
        <v>4200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35">
      <c r="A8" s="89" t="s">
        <v>7</v>
      </c>
      <c r="B8" s="92">
        <v>4275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3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4">
      <c r="B10" s="95">
        <f>SUM(B6:B9)</f>
        <v>15748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3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3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3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3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3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3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3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3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3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3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3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35">
      <c r="A22" s="19" t="s">
        <v>32</v>
      </c>
      <c r="B22" s="20" t="s">
        <v>33</v>
      </c>
      <c r="C22" s="21">
        <f>28*12</f>
        <v>336</v>
      </c>
      <c r="D22" s="22">
        <f t="shared" si="0"/>
        <v>0</v>
      </c>
      <c r="E22" s="23"/>
      <c r="F22" s="21">
        <f>10*12</f>
        <v>120</v>
      </c>
      <c r="G22" s="22">
        <f>IFERROR(F22/$B$10,0)</f>
        <v>7.6200152400304798E-3</v>
      </c>
      <c r="H22" s="23"/>
      <c r="I22" s="21">
        <f t="shared" si="3"/>
        <v>456</v>
      </c>
      <c r="J22" s="22">
        <f>IFERROR(I22/$B$10,0)</f>
        <v>2.8956057912115824E-2</v>
      </c>
      <c r="K22" s="23"/>
      <c r="L22" s="24" t="s">
        <v>108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3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3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3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3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3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3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3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35">
      <c r="A30" s="14" t="s">
        <v>48</v>
      </c>
      <c r="B30" s="15" t="s">
        <v>49</v>
      </c>
      <c r="C30" s="32">
        <f>2793.88-336</f>
        <v>2457.88</v>
      </c>
      <c r="D30" s="17">
        <f t="shared" si="0"/>
        <v>0</v>
      </c>
      <c r="E30" s="28"/>
      <c r="F30" s="32">
        <f>3900.38-456-2457.88</f>
        <v>986.5</v>
      </c>
      <c r="G30" s="17">
        <f t="shared" si="1"/>
        <v>6.2642875285750577E-2</v>
      </c>
      <c r="H30" s="28"/>
      <c r="I30" s="32">
        <f t="shared" si="3"/>
        <v>3444.38</v>
      </c>
      <c r="J30" s="17">
        <f t="shared" si="8"/>
        <v>0.21871856743713489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3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3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3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3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3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3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3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3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3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3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3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3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35">
      <c r="A43" s="37"/>
      <c r="B43" s="38"/>
      <c r="C43" s="38">
        <f>SUM(C14:C42)</f>
        <v>2793.88</v>
      </c>
      <c r="D43" s="39">
        <f>SUM(D14:D42)</f>
        <v>0</v>
      </c>
      <c r="E43" s="40"/>
      <c r="F43" s="38">
        <f>SUM(F14:F42)</f>
        <v>1106.5</v>
      </c>
      <c r="G43" s="41">
        <f>SUM(G14:G42)</f>
        <v>7.0262890525781052E-2</v>
      </c>
      <c r="I43" s="38">
        <f>SUM(I14:I42)</f>
        <v>3900.38</v>
      </c>
      <c r="J43" s="41">
        <f>SUM(J14:J42)</f>
        <v>0.24767462534925072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3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3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3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6.5" x14ac:dyDescent="0.25">
      <c r="A47" s="84" t="s">
        <v>75</v>
      </c>
      <c r="B47" s="4" t="s">
        <v>76</v>
      </c>
      <c r="C47" s="43">
        <f>335*2+1238*2</f>
        <v>3146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3146</v>
      </c>
      <c r="J47" s="44">
        <f t="shared" ref="J47" si="16">IFERROR(I47/$B$10,0)</f>
        <v>0.19977139954279907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5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5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5">
      <c r="A50" s="83" t="s">
        <v>81</v>
      </c>
      <c r="B50" s="15" t="s">
        <v>82</v>
      </c>
      <c r="C50" s="32">
        <f>1140+2173</f>
        <v>3313</v>
      </c>
      <c r="D50" s="47">
        <f t="shared" si="13"/>
        <v>0</v>
      </c>
      <c r="E50" s="28"/>
      <c r="F50" s="32">
        <v>460</v>
      </c>
      <c r="G50" s="47">
        <f>IFERROR(F50/$B$10,0)</f>
        <v>2.9210058420116841E-2</v>
      </c>
      <c r="I50" s="32">
        <f t="shared" si="15"/>
        <v>3773</v>
      </c>
      <c r="J50" s="47">
        <f>IFERROR(I50/$B$10,0)</f>
        <v>0.23958597917195834</v>
      </c>
      <c r="L50" s="48" t="s">
        <v>106</v>
      </c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5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5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5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6" x14ac:dyDescent="0.3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3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4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7273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35">
      <c r="A57" s="60"/>
      <c r="B57" s="60"/>
      <c r="C57" s="60">
        <f>SUM(C47:C56)</f>
        <v>6459</v>
      </c>
      <c r="D57" s="61">
        <f>SUM(D47:D56)</f>
        <v>0</v>
      </c>
      <c r="E57"/>
      <c r="F57" s="60">
        <f>SUM(F47:F56)</f>
        <v>460</v>
      </c>
      <c r="G57" s="61">
        <f>SUM(G47:G56)</f>
        <v>2.9210058420116841E-2</v>
      </c>
      <c r="H57"/>
      <c r="I57" s="60">
        <f>SUM(I47:I56)</f>
        <v>6919</v>
      </c>
      <c r="J57" s="61">
        <f>SUM(J47:J56)</f>
        <v>0.43935737871475744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35">
      <c r="L58" s="62" t="s">
        <v>104</v>
      </c>
      <c r="M58" s="63">
        <v>0.06</v>
      </c>
      <c r="N58" s="64">
        <f>+M58*M56</f>
        <v>436.38</v>
      </c>
    </row>
    <row r="59" spans="1:29" ht="15" thickBot="1" x14ac:dyDescent="0.4">
      <c r="B59" s="68" t="s">
        <v>98</v>
      </c>
      <c r="C59" s="69">
        <f>+C43+C57</f>
        <v>9252.880000000001</v>
      </c>
      <c r="D59" s="70">
        <f>+C59/B10</f>
        <v>0.58755905511811035</v>
      </c>
      <c r="E59" s="42"/>
      <c r="F59" s="69">
        <f>+F43+F57</f>
        <v>1566.5</v>
      </c>
      <c r="G59" s="71">
        <f>IFERROR(F59/$B$10,0)</f>
        <v>9.9472948945897893E-2</v>
      </c>
      <c r="I59" s="69">
        <f>+I43+I57</f>
        <v>10819.380000000001</v>
      </c>
      <c r="J59" s="71">
        <f>IFERROR(I59/$B$10,0)</f>
        <v>0.68703200406400822</v>
      </c>
      <c r="L59" s="65"/>
      <c r="M59" s="66">
        <v>0</v>
      </c>
      <c r="N59" s="67">
        <f>+M59*M56</f>
        <v>0</v>
      </c>
    </row>
    <row r="60" spans="1:29" ht="15" thickTop="1" x14ac:dyDescent="0.35">
      <c r="B60" s="72"/>
      <c r="C60" s="2"/>
    </row>
    <row r="61" spans="1:29" ht="24.75" customHeight="1" thickBot="1" x14ac:dyDescent="0.4">
      <c r="A61" s="31"/>
      <c r="B61" s="73" t="s">
        <v>99</v>
      </c>
      <c r="C61" s="74">
        <f>IF(C59&gt;0,+B10-C59,0)</f>
        <v>6495.119999999999</v>
      </c>
      <c r="D61" s="75">
        <f>+C61/B10</f>
        <v>0.4124409448818897</v>
      </c>
      <c r="E61" s="76"/>
      <c r="F61" s="74">
        <f>IF(F59&gt;0,+B10-F59,0)</f>
        <v>14181.5</v>
      </c>
      <c r="G61" s="77">
        <f>IFERROR(F61/$B$10,0)</f>
        <v>0.90052705105410213</v>
      </c>
      <c r="H61" s="31"/>
      <c r="I61" s="74">
        <f>IF(I59&gt;0,+B10-I59,0)</f>
        <v>4928.619999999999</v>
      </c>
      <c r="J61" s="77">
        <f>IFERROR(I61/$B$10,0)</f>
        <v>0.31296799593599178</v>
      </c>
      <c r="L61" s="107" t="s">
        <v>100</v>
      </c>
      <c r="M61" s="107"/>
      <c r="N61" s="107"/>
    </row>
    <row r="62" spans="1:29" s="31" customFormat="1" ht="15" thickTop="1" x14ac:dyDescent="0.3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35">
      <c r="L63" s="78" t="s">
        <v>102</v>
      </c>
      <c r="M63" s="108">
        <f>+I26+I41</f>
        <v>0</v>
      </c>
      <c r="N63" s="109"/>
    </row>
    <row r="64" spans="1:29" ht="13.5" customHeight="1" x14ac:dyDescent="0.35"/>
    <row r="65" spans="1:14" ht="27" customHeight="1" x14ac:dyDescent="0.35">
      <c r="B65" s="2"/>
      <c r="C65" s="2"/>
      <c r="N65" s="72"/>
    </row>
    <row r="66" spans="1:14" x14ac:dyDescent="0.35">
      <c r="B66" s="2"/>
      <c r="C66" s="2"/>
      <c r="F66" s="79"/>
      <c r="I66" s="79"/>
    </row>
    <row r="67" spans="1:14" x14ac:dyDescent="0.35">
      <c r="A67" s="80"/>
      <c r="B67" s="2"/>
      <c r="C67" s="2"/>
      <c r="F67" s="79"/>
      <c r="I67" s="79"/>
    </row>
    <row r="68" spans="1:14" x14ac:dyDescent="0.35">
      <c r="B68" s="2"/>
      <c r="C68" s="2"/>
      <c r="F68" s="79"/>
      <c r="I68" s="79"/>
    </row>
    <row r="69" spans="1:14" x14ac:dyDescent="0.35">
      <c r="B69" s="2"/>
      <c r="C69" s="2"/>
    </row>
    <row r="70" spans="1:14" x14ac:dyDescent="0.3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ACC57-9907-425F-AEE5-99660A56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2024-09-10T10:23:20Z</cp:lastPrinted>
  <dcterms:created xsi:type="dcterms:W3CDTF">2023-03-21T14:07:27Z</dcterms:created>
  <dcterms:modified xsi:type="dcterms:W3CDTF">2025-02-22T11:59:16Z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