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JORGE LOPEZ\"/>
    </mc:Choice>
  </mc:AlternateContent>
  <xr:revisionPtr revIDLastSave="0" documentId="8_{AAD5BBEF-0D28-4191-8496-E7B5A5BCA62E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<sst xmlns="http://schemas.openxmlformats.org/spreadsheetml/2006/main" count="3312" uniqueCount="476">
  <si>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</si>
  <si>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</si>
  <si>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</si>
  <si>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</si>
  <si>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</si>
  <si>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</si>
  <si>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</si>
  <si>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</si>
  <si>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</si>
  <si>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</si>
  <si>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</si>
  <si>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</si>
  <si>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</si>
  <si>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</si>
  <si>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</si>
  <si>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</si>
  <si>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</si>
  <si>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</si>
  <si>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</si>
  <si>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</si>
  <si>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</si>
  <si>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</si>
  <si>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</si>
  <si>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</si>
  <si>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</si>
  <si>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</si>
  <si>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</si>
  <si>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</si>
  <si>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</si>
  <si>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</si>
  <si>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</si>
  <si>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</si>
  <si>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</si>
  <si>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</si>
  <si>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</si>
  <si>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</si>
  <si>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</si>
  <si>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</si>
  <si>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</si>
  <si>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</si>
  <si>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</si>
  <si>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</si>
  <si>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</si>
  <si>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</si>
  <si>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</si>
  <si>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</si>
  <si>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</si>
  <si>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</si>
  <si>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</si>
  <si>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</si>
  <si>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</si>
  <si>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</si>
  <si>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</si>
  <si>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</si>
  <si>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</si>
  <si>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</si>
  <si>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</si>
  <si>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</si>
  <si>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</si>
  <si>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</si>
  <si>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</si>
  <si>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</si>
  <si>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</si>
  <si>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</si>
  <si>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</si>
  <si>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</si>
  <si>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</si>
  <si>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</si>
  <si>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</si>
  <si>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</si>
  <si>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</si>
  <si>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</si>
  <si>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</si>
  <si>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</si>
  <si>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</si>
  <si>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</si>
  <si>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</si>
  <si>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</si>
  <si>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</si>
  <si>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</si>
  <si>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</si>
  <si>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</si>
  <si>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</si>
  <si>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</si>
  <si>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</si>
  <si>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</si>
  <si>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</si>
  <si>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</si>
  <si>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</si>
  <si>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</si>
  <si>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</si>
  <si>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</si>
  <si>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</si>
  <si>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</si>
  <si>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</si>
  <si>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</si>
  <si>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</si>
  <si>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</si>
  <si>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</si>
  <si>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</si>
  <si>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</si>
  <si>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</si>
  <si>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</si>
  <si>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</si>
  <si>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</si>
  <si>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</si>
  <si>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</si>
  <si>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</si>
  <si>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</si>
  <si>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</si>
  <si>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</si>
  <si>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</si>
  <si>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</si>
  <si>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</si>
  <si>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</si>
  <si>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</si>
  <si>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</si>
  <si>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</si>
  <si>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</si>
  <si>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</si>
  <si>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</si>
  <si>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</si>
  <si>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</si>
  <si>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</si>
  <si>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</si>
  <si>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</si>
  <si>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</si>
  <si>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</si>
  <si>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</si>
  <si>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</si>
  <si>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</si>
  <si>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</si>
  <si>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</si>
  <si>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</si>
  <si>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</si>
  <si>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</si>
  <si>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</si>
  <si>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</si>
  <si>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</si>
  <si>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</si>
  <si>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</si>
  <si>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</si>
  <si>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</si>
  <si>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</si>
  <si>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</si>
  <si>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</si>
  <si>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</si>
  <si>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</si>
  <si>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</si>
  <si>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</si>
  <si>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</si>
  <si>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</si>
  <si>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</si>
  <si>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</si>
  <si>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</si>
  <si>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</si>
  <si>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</si>
  <si>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</si>
  <si>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</si>
  <si>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</si>
  <si>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</si>
  <si>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</si>
  <si>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</si>
  <si>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</si>
  <si>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</si>
  <si>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</si>
  <si>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</si>
  <si>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</si>
  <si>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</si>
  <si>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</si>
  <si>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</si>
  <si>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</si>
  <si>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</si>
  <si>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</si>
  <si>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</si>
  <si>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</si>
  <si>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</si>
  <si>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</si>
  <si>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</si>
  <si>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</si>
  <si>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</si>
  <si>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</si>
  <si>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</si>
  <si>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</si>
  <si>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</si>
  <si>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</si>
  <si>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</si>
  <si>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</si>
  <si>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</si>
  <si>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</si>
  <si>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</si>
  <si>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</si>
  <si>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</si>
  <si>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</si>
  <si>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</si>
  <si>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</si>
  <si>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</si>
  <si>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</si>
  <si>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</si>
  <si>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</si>
  <si>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</si>
  <si>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</si>
  <si>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</si>
  <si>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</si>
  <si>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</si>
  <si>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</si>
  <si>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</si>
  <si>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</si>
  <si>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</si>
  <si>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</si>
  <si>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</si>
  <si>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</si>
  <si>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</si>
  <si>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</si>
  <si>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</si>
  <si>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</si>
  <si>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</si>
  <si>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</si>
  <si>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</si>
  <si>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</si>
  <si>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</si>
  <si>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</si>
  <si>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</si>
  <si>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</si>
  <si>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</si>
  <si>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</si>
  <si>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</si>
  <si>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</si>
  <si>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</si>
  <si>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</si>
  <si>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</si>
  <si>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</si>
  <si>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</si>
  <si>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</si>
  <si>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</si>
  <si>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</si>
  <si>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</si>
  <si>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</si>
  <si>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</si>
  <si>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</si>
  <si>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</si>
  <si>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</si>
  <si>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</si>
  <si>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</si>
  <si>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</si>
  <si>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</si>
  <si>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</si>
  <si>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</si>
  <si>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</si>
  <si>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</si>
  <si>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</si>
  <si>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</si>
  <si>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</si>
  <si>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</si>
  <si>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</si>
  <si>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</si>
  <si>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</si>
  <si>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</si>
  <si>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</si>
  <si>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</si>
  <si>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</si>
  <si>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</si>
  <si>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</si>
  <si>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</si>
  <si>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</si>
  <si>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</si>
  <si>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</si>
  <si>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</si>
  <si>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</si>
  <si>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</si>
  <si>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</si>
  <si>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</si>
  <si>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</si>
  <si>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</si>
  <si>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</si>
  <si>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</si>
  <si>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</si>
  <si>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</si>
  <si>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</si>
  <si>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</si>
  <si>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</si>
  <si>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</si>
  <si>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</si>
  <si>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</si>
  <si>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</si>
  <si>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</si>
  <si>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</si>
  <si>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</si>
  <si>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</si>
  <si>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</si>
  <si>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</si>
  <si>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</si>
  <si>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</si>
  <si>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</si>
  <si>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</si>
  <si>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</si>
  <si>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</si>
  <si>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</si>
  <si>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</si>
  <si>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</si>
  <si>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</si>
  <si>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</si>
  <si>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</si>
  <si>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</si>
  <si>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</si>
  <si>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</si>
  <si>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</si>
  <si>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</si>
  <si>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</si>
  <si>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</si>
  <si>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</si>
  <si>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</si>
  <si>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</si>
  <si>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</si>
  <si>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</si>
  <si>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</si>
  <si>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</si>
  <si>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</si>
  <si>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</si>
  <si>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</si>
  <si>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</si>
  <si>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</si>
  <si>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</si>
  <si>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</si>
  <si>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</si>
  <si>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</si>
  <si>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</si>
  <si>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</si>
  <si>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</si>
  <si>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</si>
  <si>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</si>
  <si>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</si>
  <si>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</si>
  <si>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</si>
  <si>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</si>
  <si>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</si>
  <si>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</si>
  <si>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</si>
  <si>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</si>
  <si>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</si>
  <si>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</si>
  <si>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</si>
  <si>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</si>
  <si>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</si>
  <si>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</si>
  <si>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</si>
  <si>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</si>
  <si>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</si>
  <si>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</si>
  <si>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</si>
  <si>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</si>
  <si>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</si>
  <si>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</si>
  <si>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</si>
  <si>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</si>
  <si>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</si>
  <si>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</si>
  <si>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</si>
  <si>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</si>
  <si>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</si>
  <si>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</si>
  <si>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</si>
  <si>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</si>
  <si>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</si>
  <si>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</si>
  <si>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</si>
  <si>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</si>
  <si>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</si>
  <si>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</si>
  <si>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</si>
  <si>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</si>
  <si>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</si>
  <si>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</si>
  <si>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</si>
  <si>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</si>
  <si>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</si>
  <si>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</si>
  <si>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</si>
  <si>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</si>
  <si>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</si>
  <si>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</si>
  <si>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</si>
  <si>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</si>
  <si>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</si>
  <si>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</si>
  <si>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</si>
  <si>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</si>
  <si>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</si>
  <si>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</si>
  <si>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</si>
  <si>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</si>
  <si>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</si>
  <si>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</si>
  <si>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</si>
  <si>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</si>
  <si>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</si>
  <si>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</si>
  <si>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</si>
  <si>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</si>
  <si>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</si>
  <si>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</si>
  <si>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</si>
  <si>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</si>
  <si>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</si>
  <si>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</si>
  <si>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</si>
  <si>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</si>
  <si>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</si>
  <si>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</si>
  <si>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</si>
  <si>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</si>
  <si>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</si>
  <si>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</si>
  <si>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</si>
  <si>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</si>
  <si>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</si>
  <si>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</si>
  <si>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</si>
  <si>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</si>
  <si>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</si>
  <si>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</si>
  <si>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</si>
  <si>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</si>
  <si>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</si>
  <si>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</si>
  <si>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</si>
  <si>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</si>
  <si>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</si>
  <si>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</si>
  <si>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</si>
  <si>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</si>
  <si>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</si>
  <si>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</si>
  <si>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</si>
  <si>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</si>
  <si>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</si>
  <si>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</si>
  <si>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</si>
  <si>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</si>
  <si>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</si>
  <si>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</si>
  <si>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</si>
  <si>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</si>
  <si>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</si>
  <si>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</si>
  <si>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</si>
  <si>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</si>
  <si>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</si>
  <si>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</si>
  <si>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</si>
  <si>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</si>
  <si>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</si>
  <si>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</si>
  <si>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</si>
  <si>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</si>
  <si>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</si>
  <si>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</si>
  <si>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</si>
  <si>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</si>
  <si>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</si>
  <si>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</si>
  <si>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</si>
  <si>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</si>
  <si>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</si>
  <si>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</si>
  <si>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DIM OUT WOODS NATURAL </t>
  </si>
  <si>
    <t xml:space="preserve">RECAMARA </t>
  </si>
  <si>
    <t xml:space="preserve">RESIDENCIA JORGE LOPEZ </t>
  </si>
  <si>
    <t xml:space="preserve">JORGE LOPEZ </t>
  </si>
  <si>
    <t xml:space="preserve">ROSARITO </t>
  </si>
  <si>
    <t xml:space="preserve">PUNTA AZUL </t>
  </si>
  <si>
    <t xml:space="preserve">CORONADO </t>
  </si>
  <si>
    <t>L8 M22</t>
  </si>
  <si>
    <t>001 619 370 4040</t>
  </si>
  <si>
    <t>*</t>
  </si>
  <si>
    <t xml:space="preserve">BS 251126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</si>
</sst>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64" fillId="0" borderId="0" xfId="0" applyFont="1"/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45987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251126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RESIDENCIA JORGE LOPEZ </v>
      </c>
      <c r="J7" s="365" t="str">
        <f>IF('CALCULATOR SHEET'!H8&lt;&gt;"","Calle: "&amp;'CALCULATOR SHEET'!H10&amp;", Numero: "&amp;'CALCULATOR SHEET'!H11,"")</f>
        <v>Calle: CORONADO , Numero: L8 M22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PUNTA AZUL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JORGE LOPEZ </v>
      </c>
      <c r="J10" s="365" t="str">
        <f>IF('CALCULATOR SHEET'!K11&lt;&gt;"",'CALCULATOR SHEET'!$K$11&amp;" Cell: "&amp;'CALCULATOR SHEET'!K10,"")</f>
        <v>* Cell: 001 619 370 4040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5</v>
      </c>
      <c r="G14" s="170" t="str">
        <f>IF('CALCULATOR SHEET'!G13&lt;&gt;"",'CALCULATOR SHEET'!G13,"")</f>
        <v xml:space="preserve">DIM OUT WOODS NATURAL </v>
      </c>
      <c r="H14" s="170" t="str">
        <f>IF('CALCULATOR SHEET'!H13&lt;&gt;"",'CALCULATOR SHEET'!H13,"")</f>
        <v xml:space="preserve">RECAMARA </v>
      </c>
      <c r="I14" s="171">
        <f>IF(E14&lt;&gt;"",'CALCULATOR SHEET'!I13,"")</f>
        <v>30</v>
      </c>
      <c r="J14" s="171">
        <f>IF(I14&lt;&gt;"",'CALCULATOR SHEET'!J13,"")</f>
        <v>70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157</v>
      </c>
      <c r="O14" s="164"/>
      <c r="P14" s="167">
        <f>IF(D14&lt;&gt;"",N14*D14,"")</f>
        <v>157</v>
      </c>
      <c r="Q14" s="194"/>
      <c r="R14" s="64" t="s">
        <v>200</v>
      </c>
      <c r="T14" s="160">
        <f>IF('CALCULATOR SHEET'!$T$58="PESOS",'CALCULATOR SHEET'!S13*'CALCULATOR SHEET'!$W$6,'CALCULATOR SHEET'!S13)</f>
        <v>157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5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157</v>
      </c>
      <c r="Q62" s="188"/>
      <c r="X62" s="163" t="str">
        <f>IF('CALCULATOR SHEET'!$W$2=1,GENERAL!Q35,GENERAL!S35)</f>
        <v>SUB TOTAL</v>
      </c>
      <c r="Y62" s="222">
        <f>P62</f>
        <v>157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47.1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109.9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109.9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109.9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109.9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109.9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108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30</v>
      </c>
      <c r="AK7" s="53">
        <f>'CALCULATOR SHEET'!J13</f>
        <v>70</v>
      </c>
      <c r="AL7" s="53">
        <f t="shared" ref="AL7:AL70" si="0">IF(AJ7=0,"",MATCH(CEILING(AJ7,6),$D$4:$Z$4,0))</f>
        <v>2</v>
      </c>
      <c r="AM7" s="53">
        <f>IF(AK7=0,"",MATCH(CEILING(AK7,6),$C$7:$C$28,0))</f>
        <v>9</v>
      </c>
      <c r="AN7" s="54">
        <f t="shared" ref="AN7:AN70" si="1">IF(AL7="","",INDEX($D$7:$Z$28,AM7,AL7))</f>
        <v>124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126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145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162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199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5</v>
      </c>
      <c r="X7" s="1">
        <v>1</v>
      </c>
      <c r="Y7" s="7">
        <f>'CALCULATOR SHEET'!I13</f>
        <v>30</v>
      </c>
      <c r="Z7" s="7">
        <f>'CALCULATOR SHEET'!J13</f>
        <v>70</v>
      </c>
      <c r="AA7" s="7">
        <f>IF(Y7=0,"",MATCH(CEILING(Y7,6),$C$7:$R$7,0))</f>
        <v>1</v>
      </c>
      <c r="AB7" s="7">
        <f>IF(Z7=0,"",MATCH(CEILING(Z7,6),$B$10:$B$26,0))</f>
        <v>7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208</v>
      </c>
      <c r="AF7" s="13">
        <f>IF(Y7&gt;0,HLOOKUP(AA7,$C$29:$R$30,2,FALSE),"")</f>
        <v>0</v>
      </c>
    </row>
    <row r="8" spans="2:32" ht="15.75">
      <c r="U8" s="385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30</v>
      </c>
      <c r="W7" s="7">
        <f>'CALCULATOR SHEET'!J13</f>
        <v>70</v>
      </c>
      <c r="X7" s="7">
        <f>IF(V7=0,"",MATCH(CEILING(V7,6),$C$8:$Q$8,0))</f>
        <v>2</v>
      </c>
      <c r="Y7" s="7">
        <f>IF(W7=0,"",MATCH(CEILING(W7,6),$B$10:$B$26,0))</f>
        <v>9</v>
      </c>
      <c r="Z7" s="146">
        <f>IF(X7="","",INDEX($C$12:$Q$26,Y7,X7))</f>
        <v>163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95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132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475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469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467</v>
      </c>
      <c r="E9" s="39"/>
      <c r="F9" s="1"/>
      <c r="G9" s="38" t="s">
        <v>443</v>
      </c>
      <c r="H9" s="343" t="s">
        <v>470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45987</v>
      </c>
      <c r="Z9" s="38" t="s">
        <v>304</v>
      </c>
      <c r="AA9" s="34">
        <f>SUMIF(C13:C52,"&gt;0")</f>
        <v>1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468</v>
      </c>
      <c r="E10" s="149"/>
      <c r="F10" s="1"/>
      <c r="G10" s="341" t="s">
        <v>444</v>
      </c>
      <c r="H10" s="343" t="s">
        <v>471</v>
      </c>
      <c r="I10" s="1"/>
      <c r="J10" s="3" t="s">
        <v>449</v>
      </c>
      <c r="K10" s="389" t="s">
        <v>473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472</v>
      </c>
      <c r="I11" s="46"/>
      <c r="J11" s="38" t="s">
        <v>448</v>
      </c>
      <c r="K11" s="301" t="s">
        <v>474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23</v>
      </c>
      <c r="F13" s="69"/>
      <c r="G13" s="68" t="s">
        <v>465</v>
      </c>
      <c r="H13" s="68" t="s">
        <v>466</v>
      </c>
      <c r="I13" s="81">
        <v>30</v>
      </c>
      <c r="J13" s="81">
        <v>70</v>
      </c>
      <c r="K13" s="254" t="s">
        <v>207</v>
      </c>
      <c r="L13" s="70"/>
      <c r="M13" s="284" t="s">
        <v>129</v>
      </c>
      <c r="N13" s="254" t="s">
        <v>213</v>
      </c>
      <c r="O13" s="254" t="s">
        <v>319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157</v>
      </c>
      <c r="T13" s="316">
        <f t="shared" ref="T13:T52" si="0">IF(S13="","",S13*C13)</f>
        <v>157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157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157</v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4"/>
      <c r="L14" s="70"/>
      <c r="M14" s="284"/>
      <c r="N14" s="254"/>
      <c r="O14" s="254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6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>
        <f t="shared" ref="AB14:AB52" si="5">D14</f>
        <v>0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6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6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157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47.1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109.9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109.9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30</v>
      </c>
      <c r="Y7" s="7">
        <f>'CALCULATOR SHEET'!J13</f>
        <v>70</v>
      </c>
      <c r="Z7" s="7">
        <f>IF(X7=0,"",MATCH(CEILING(X7,6),$C$7:$R$7,0))</f>
        <v>2</v>
      </c>
      <c r="AA7" s="7">
        <f>IF(Y7=0,"",MATCH(CEILING(Y7,6),$B$10:$B$26,0))</f>
        <v>9</v>
      </c>
      <c r="AB7" s="146">
        <f>IF(Z7="","",INDEX($C$10:$R$26,AA7,Z7))</f>
        <v>145</v>
      </c>
    </row>
    <row r="8" spans="2:28" ht="15.75">
      <c r="U8" s="385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164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157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203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211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30</v>
      </c>
      <c r="X7" s="7">
        <f>'CALCULATOR SHEET'!J13</f>
        <v>70</v>
      </c>
      <c r="Y7" s="7">
        <f>IF(W7=0,"",MATCH(CEILING(W7,6),$C$7:$Q$7,0))</f>
        <v>2</v>
      </c>
      <c r="Z7" s="7">
        <f>IF(X7=0,"",MATCH(CEILING(X7,6),$B$10:$B$26,0))</f>
        <v>9</v>
      </c>
      <c r="AA7" s="146">
        <f>IF(Y7="","",INDEX($C$10:$Q$26,Z7,Y7))</f>
        <v>205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30</v>
      </c>
      <c r="Y5" s="7">
        <f>'PM-ORDER'!P5</f>
        <v>70</v>
      </c>
      <c r="Z5" s="7">
        <f>IF(X5&lt;&gt;"",MATCH(CEILING(X5,6),$C$4:$S$4,0),"")</f>
        <v>2</v>
      </c>
      <c r="AA5" s="7">
        <f>IF(X5&lt;&gt;"",MATCH(CEILING(Y5,6),$B$7:$B$26,0),"")</f>
        <v>9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45987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251126 A </v>
      </c>
      <c r="D5" s="229">
        <f>IF('CALCULATOR SHEET'!D13&lt;&gt;"",'CALCULATOR SHEET'!$T$9,"")</f>
        <v>45987</v>
      </c>
      <c r="E5" s="230" t="str">
        <f>IF(D5&lt;&gt;"","BAJA SHADES","")</f>
        <v>BAJA SHADES</v>
      </c>
      <c r="F5" s="231" t="str">
        <f>IF(C5&lt;&gt;"",'CALCULATOR SHEET'!$D$9,"")</f>
        <v xml:space="preserve">RESIDENCIA JORGE LOPEZ 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PLASTIC CHAIN WHITE</v>
      </c>
      <c r="K5" s="231" t="str">
        <f>IF(J5=GENERAL!$H$6,GENERAL!$H$6,IF(J5=GENERAL!$H$7,GENERAL!$H$7,IF('PM-ORDER'!J5=GENERAL!$H$8,GENERAL!$H$8,"")))</f>
        <v>PLASTIC CHAIN WHITE</v>
      </c>
      <c r="L5" s="231" t="str">
        <f>IF(C5&lt;&gt;"",'CALCULATOR SHEET'!G13,"")</f>
        <v xml:space="preserve">DIM OUT WOODS NATURAL </v>
      </c>
      <c r="M5" s="231" t="str">
        <f>IF(C5&lt;&gt;"",'CALCULATOR SHEET'!O13,"")</f>
        <v>PERFIL BLANCO</v>
      </c>
      <c r="N5" s="231" t="str">
        <f>IF(C5&lt;&gt;"",'CALCULATOR SHEET'!H13,"")</f>
        <v xml:space="preserve">RECAMARA </v>
      </c>
      <c r="O5" s="233">
        <f>IF(D5&lt;&gt;"",'CALCULATOR SHEET'!I13,"")</f>
        <v>30</v>
      </c>
      <c r="P5" s="233">
        <f>IF(E5&lt;&gt;"",'CALCULATOR SHEET'!J13,"")</f>
        <v>70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PUNTA AZUL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/>
      </c>
      <c r="D6" s="229" t="str">
        <f>IF('CALCULATOR SHEET'!D14&lt;&gt;"",'CALCULATOR SHEET'!$T$9,"")</f>
        <v/>
      </c>
      <c r="E6" s="230" t="str">
        <f t="shared" ref="E6:E69" si="0">IF(D6&lt;&gt;"","BAJA SHADES","")</f>
        <v/>
      </c>
      <c r="F6" s="231" t="str">
        <f>IF(C6&lt;&gt;"",'CALCULATOR SHEET'!$D$9,"")</f>
        <v/>
      </c>
      <c r="G6" s="231" t="str">
        <f>IF('CALCULATOR SHEET'!D14&lt;&gt;"",'CALCULATOR SHEET'!D14,"")</f>
        <v/>
      </c>
      <c r="H6" s="231" t="str">
        <f>IF(Q6="CCL",BOMS!AG6,"")</f>
        <v/>
      </c>
      <c r="I6" s="230">
        <v>1</v>
      </c>
      <c r="J6" s="231" t="str">
        <f>IF(C6&lt;&gt;"",'CALCULATOR SHEET'!K14,"")</f>
        <v/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/>
      </c>
      <c r="M6" s="231" t="str">
        <f>IF(C6&lt;&gt;"",'CALCULATOR SHEET'!O14,"")</f>
        <v/>
      </c>
      <c r="N6" s="231" t="str">
        <f>IF(C6&lt;&gt;"",'CALCULATOR SHEET'!H14,"")</f>
        <v/>
      </c>
      <c r="O6" s="233" t="str">
        <f>IF(D6&lt;&gt;"",'CALCULATOR SHEET'!I14,"")</f>
        <v/>
      </c>
      <c r="P6" s="233" t="str">
        <f>IF(E6&lt;&gt;"",'CALCULATOR SHEET'!J14,"")</f>
        <v/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 t="str">
        <f>IF(C6&lt;&gt;"",'CALCULATOR SHEET'!M14,"")</f>
        <v/>
      </c>
      <c r="S6" s="230" t="str">
        <f>IF(D6&lt;&gt;"",'CALCULATOR SHEET'!N14,"")</f>
        <v/>
      </c>
      <c r="T6" s="232"/>
      <c r="U6" s="246"/>
      <c r="V6" s="246"/>
      <c r="W6" s="230" t="str">
        <f>IF(C6&lt;&gt;"",'CALCULATOR SHEET'!R14,"")</f>
        <v/>
      </c>
      <c r="X6" s="230"/>
      <c r="Y6" s="230">
        <v>1</v>
      </c>
      <c r="Z6" s="232"/>
      <c r="AA6" s="232" t="str">
        <f>IF(C6&lt;&gt;"",'CALCULATOR SHEET'!$H$9,"")</f>
        <v/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30</v>
      </c>
      <c r="AK7" s="36">
        <f>'CALCULATOR SHEET'!J13</f>
        <v>70</v>
      </c>
      <c r="AL7" s="36">
        <f>IF(AJ7=0,"",MATCH(CEILING(AJ7,6),$D$4:$Z$4,0))</f>
        <v>2</v>
      </c>
      <c r="AM7" s="36">
        <f>IF(AK7=0,"",MATCH(CEILING(AK7,6),$C$7:$C$28,0))</f>
        <v>9</v>
      </c>
      <c r="AN7" s="57">
        <f>IF(AL7="","",INDEX($D$7:$Z$28,AM7,AL7))</f>
        <v>89</v>
      </c>
      <c r="AO7" s="58"/>
      <c r="AP7" s="57">
        <f>IF(AJ7&gt;0,HLOOKUP(CEILING(AJ7,6),$D$30:$Z$31,2,0),"")</f>
        <v>54</v>
      </c>
      <c r="AQ7" s="57">
        <f>IF(AJ7&gt;0,HLOOKUP(CEILING(AJ7,6),$D$33:$Z$34,2,0),"")</f>
        <v>40</v>
      </c>
      <c r="AR7" s="59">
        <f>IF(AJ7&gt;0,HLOOKUP(CEILING(AJ7,6),$D$36:$Z$37,2,0))</f>
        <v>19</v>
      </c>
      <c r="AS7" s="57">
        <f>IF(AL7="","",INDEX($AX$6:$BT$27,AM7,AL7))</f>
        <v>471</v>
      </c>
      <c r="AT7" s="37">
        <f>IF(AK7&gt;0,VLOOKUP(CEILING(AK7,6),$AA$7:$AB$28,2,0),"")</f>
        <v>60</v>
      </c>
      <c r="AU7" s="109">
        <f>IF(AK7&gt;0,VLOOKUP(CEILING(AK7,6),$AA$7:$AC$28,3,0),"")</f>
        <v>9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30</v>
      </c>
      <c r="AK7" s="53">
        <f>'CALCULATOR SHEET'!J13</f>
        <v>70</v>
      </c>
      <c r="AL7" s="53">
        <f>IF(AJ7=0,"",MATCH(CEILING(AJ7,6),$D$4:$Z$4,0))</f>
        <v>2</v>
      </c>
      <c r="AM7" s="53">
        <f>IF(AK7=0,"",MATCH(CEILING(AK7,6),$C$7:$C$28,0))</f>
        <v>9</v>
      </c>
      <c r="AN7" s="54">
        <f>IF(AL7="","",INDEX($D$7:$Z$28,AM7,AL7))</f>
        <v>93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30</v>
      </c>
      <c r="AK7" s="53">
        <f>'CALCULATOR SHEET'!J13</f>
        <v>70</v>
      </c>
      <c r="AL7" s="53">
        <f t="shared" ref="AL7:AL70" si="0">IF(AJ7=0,"",MATCH(CEILING(AJ7,6),$D$4:$Z$4,0))</f>
        <v>2</v>
      </c>
      <c r="AM7" s="53">
        <f>IF(AK7=0,"",MATCH(CEILING(AK7,6),$C$7:$C$28,0))</f>
        <v>9</v>
      </c>
      <c r="AN7" s="54">
        <f t="shared" ref="AN7:AN70" si="1">IF(AL7="","",INDEX($D$7:$Z$28,AM7,AL7))</f>
        <v>103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2025-11-26T16:44:42Z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