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MARY WOOD\"/>
    </mc:Choice>
  </mc:AlternateContent>
  <xr:revisionPtr revIDLastSave="0" documentId="13_ncr:1_{35DFAAE5-5CBE-4560-A41A-BE750040315F}" xr6:coauthVersionLast="47" xr6:coauthVersionMax="47" xr10:uidLastSave="{00000000-0000-0000-0000-000000000000}"/>
  <bookViews>
    <workbookView xWindow="20370" yWindow="-3540" windowWidth="29040" windowHeight="15840" tabRatio="988" activeTab="3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<sst xmlns="http://schemas.openxmlformats.org/spreadsheetml/2006/main" count="3315" uniqueCount="477">
  <si>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</si>
  <si>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</si>
  <si>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</si>
  <si>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</si>
  <si>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</si>
  <si>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</si>
  <si>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</si>
  <si>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</si>
  <si>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</si>
  <si>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</si>
  <si>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</si>
  <si>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</si>
  <si>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</si>
  <si>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</si>
  <si>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</si>
  <si>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</si>
  <si>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</si>
  <si>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</si>
  <si>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</si>
  <si>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</si>
  <si>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</si>
  <si>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</si>
  <si>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</si>
  <si>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</si>
  <si>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</si>
  <si>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</si>
  <si>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</si>
  <si>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</si>
  <si>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</si>
  <si>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</si>
  <si>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</si>
  <si>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</si>
  <si>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</si>
  <si>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</si>
  <si>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</si>
  <si>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</si>
  <si>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</si>
  <si>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</si>
  <si>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</si>
  <si>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</si>
  <si>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</si>
  <si>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</si>
  <si>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</si>
  <si>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</si>
  <si>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</si>
  <si>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</si>
  <si>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</si>
  <si>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</si>
  <si>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</si>
  <si>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</si>
  <si>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</si>
  <si>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</si>
  <si>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</si>
  <si>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</si>
  <si>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</si>
  <si>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</si>
  <si>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</si>
  <si>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</si>
  <si>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</si>
  <si>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</si>
  <si>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</si>
  <si>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</si>
  <si>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</si>
  <si>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</si>
  <si>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</si>
  <si>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</si>
  <si>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</si>
  <si>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</si>
  <si>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</si>
  <si>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</si>
  <si>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</si>
  <si>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</si>
  <si>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</si>
  <si>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</si>
  <si>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</si>
  <si>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</si>
  <si>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</si>
  <si>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</si>
  <si>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</si>
  <si>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</si>
  <si>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</si>
  <si>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</si>
  <si>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</si>
  <si>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</si>
  <si>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</si>
  <si>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</si>
  <si>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</si>
  <si>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</si>
  <si>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</si>
  <si>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</si>
  <si>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</si>
  <si>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</si>
  <si>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</si>
  <si>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</si>
  <si>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</si>
  <si>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</si>
  <si>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</si>
  <si>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</si>
  <si>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</si>
  <si>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</si>
  <si>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</si>
  <si>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</si>
  <si>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</si>
  <si>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</si>
  <si>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</si>
  <si>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</si>
  <si>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</si>
  <si>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</si>
  <si>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</si>
  <si>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</si>
  <si>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</si>
  <si>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</si>
  <si>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</si>
  <si>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</si>
  <si>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</si>
  <si>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</si>
  <si>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</si>
  <si>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</si>
  <si>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</si>
  <si>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</si>
  <si>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</si>
  <si>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</si>
  <si>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</si>
  <si>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</si>
  <si>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</si>
  <si>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</si>
  <si>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</si>
  <si>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</si>
  <si>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</si>
  <si>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</si>
  <si>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</si>
  <si>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</si>
  <si>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</si>
  <si>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</si>
  <si>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</si>
  <si>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</si>
  <si>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</si>
  <si>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</si>
  <si>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</si>
  <si>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</si>
  <si>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</si>
  <si>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</si>
  <si>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</si>
  <si>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</si>
  <si>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</si>
  <si>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</si>
  <si>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</si>
  <si>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</si>
  <si>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</si>
  <si>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</si>
  <si>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</si>
  <si>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</si>
  <si>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</si>
  <si>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</si>
  <si>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</si>
  <si>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</si>
  <si>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</si>
  <si>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</si>
  <si>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</si>
  <si>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</si>
  <si>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</si>
  <si>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</si>
  <si>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</si>
  <si>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</si>
  <si>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</si>
  <si>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</si>
  <si>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</si>
  <si>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</si>
  <si>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</si>
  <si>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</si>
  <si>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</si>
  <si>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</si>
  <si>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</si>
  <si>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</si>
  <si>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</si>
  <si>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</si>
  <si>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</si>
  <si>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</si>
  <si>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</si>
  <si>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</si>
  <si>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</si>
  <si>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</si>
  <si>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</si>
  <si>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</si>
  <si>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</si>
  <si>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</si>
  <si>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</si>
  <si>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</si>
  <si>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</si>
  <si>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</si>
  <si>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</si>
  <si>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</si>
  <si>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</si>
  <si>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</si>
  <si>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</si>
  <si>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</si>
  <si>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</si>
  <si>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</si>
  <si>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</si>
  <si>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</si>
  <si>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</si>
  <si>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</si>
  <si>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</si>
  <si>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</si>
  <si>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</si>
  <si>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</si>
  <si>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</si>
  <si>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</si>
  <si>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</si>
  <si>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</si>
  <si>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</si>
  <si>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</si>
  <si>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</si>
  <si>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</si>
  <si>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</si>
  <si>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</si>
  <si>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</si>
  <si>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</si>
  <si>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</si>
  <si>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</si>
  <si>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</si>
  <si>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</si>
  <si>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</si>
  <si>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</si>
  <si>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</si>
  <si>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</si>
  <si>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</si>
  <si>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</si>
  <si>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</si>
  <si>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</si>
  <si>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</si>
  <si>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</si>
  <si>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</si>
  <si>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</si>
  <si>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</si>
  <si>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</si>
  <si>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</si>
  <si>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</si>
  <si>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</si>
  <si>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</si>
  <si>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</si>
  <si>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</si>
  <si>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</si>
  <si>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</si>
  <si>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</si>
  <si>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</si>
  <si>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</si>
  <si>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</si>
  <si>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</si>
  <si>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</si>
  <si>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</si>
  <si>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</si>
  <si>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</si>
  <si>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</si>
  <si>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</si>
  <si>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</si>
  <si>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</si>
  <si>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</si>
  <si>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</si>
  <si>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</si>
  <si>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</si>
  <si>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</si>
  <si>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</si>
  <si>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</si>
  <si>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</si>
  <si>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</si>
  <si>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</si>
  <si>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</si>
  <si>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</si>
  <si>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</si>
  <si>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</si>
  <si>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</si>
  <si>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</si>
  <si>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</si>
  <si>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</si>
  <si>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</si>
  <si>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</si>
  <si>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</si>
  <si>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</si>
  <si>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</si>
  <si>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</si>
  <si>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</si>
  <si>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</si>
  <si>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</si>
  <si>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</si>
  <si>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</si>
  <si>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</si>
  <si>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</si>
  <si>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</si>
  <si>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</si>
  <si>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</si>
  <si>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</si>
  <si>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</si>
  <si>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</si>
  <si>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</si>
  <si>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</si>
  <si>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</si>
  <si>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</si>
  <si>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</si>
  <si>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</si>
  <si>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</si>
  <si>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</si>
  <si>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</si>
  <si>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</si>
  <si>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</si>
  <si>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</si>
  <si>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</si>
  <si>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</si>
  <si>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</si>
  <si>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</si>
  <si>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</si>
  <si>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</si>
  <si>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</si>
  <si>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</si>
  <si>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</si>
  <si>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</si>
  <si>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</si>
  <si>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</si>
  <si>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</si>
  <si>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</si>
  <si>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</si>
  <si>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</si>
  <si>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</si>
  <si>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</si>
  <si>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</si>
  <si>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</si>
  <si>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</si>
  <si>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</si>
  <si>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</si>
  <si>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</si>
  <si>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</si>
  <si>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</si>
  <si>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</si>
  <si>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</si>
  <si>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</si>
  <si>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</si>
  <si>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</si>
  <si>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</si>
  <si>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</si>
  <si>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</si>
  <si>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</si>
  <si>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</si>
  <si>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</si>
  <si>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</si>
  <si>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</si>
  <si>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</si>
  <si>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</si>
  <si>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</si>
  <si>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</si>
  <si>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</si>
  <si>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</si>
  <si>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</si>
  <si>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</si>
  <si>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</si>
  <si>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</si>
  <si>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</si>
  <si>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</si>
  <si>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</si>
  <si>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</si>
  <si>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</si>
  <si>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</si>
  <si>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</si>
  <si>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</si>
  <si>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</si>
  <si>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</si>
  <si>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</si>
  <si>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</si>
  <si>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</si>
  <si>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</si>
  <si>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</si>
  <si>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</si>
  <si>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</si>
  <si>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</si>
  <si>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</si>
  <si>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</si>
  <si>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</si>
  <si>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</si>
  <si>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</si>
  <si>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</si>
  <si>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</si>
  <si>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</si>
  <si>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</si>
  <si>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</si>
  <si>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</si>
  <si>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</si>
  <si>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</si>
  <si>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</si>
  <si>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</si>
  <si>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</si>
  <si>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</si>
  <si>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</si>
  <si>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</si>
  <si>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</si>
  <si>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</si>
  <si>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</si>
  <si>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</si>
  <si>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</si>
  <si>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</si>
  <si>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</si>
  <si>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</si>
  <si>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</si>
  <si>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</si>
  <si>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</si>
  <si>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</si>
  <si>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</si>
  <si>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</si>
  <si>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</si>
  <si>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</si>
  <si>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</si>
  <si>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</si>
  <si>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</si>
  <si>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</si>
  <si>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</si>
  <si>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</si>
  <si>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</si>
  <si>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</si>
  <si>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</si>
  <si>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</si>
  <si>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</si>
  <si>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</si>
  <si>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</si>
  <si>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</si>
  <si>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</si>
  <si>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</si>
  <si>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</si>
  <si>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</si>
  <si>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</si>
  <si>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</si>
  <si>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</si>
  <si>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</si>
  <si>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</si>
  <si>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</si>
  <si>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</si>
  <si>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</si>
  <si>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</si>
  <si>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</si>
  <si>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</si>
  <si>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</si>
  <si>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</si>
  <si>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</si>
  <si>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</si>
  <si>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</si>
  <si>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</si>
  <si>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</si>
  <si>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</si>
  <si>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</si>
  <si>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</si>
  <si>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</si>
  <si>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</si>
  <si>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</si>
  <si>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</si>
  <si>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</si>
  <si>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</si>
  <si>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</si>
  <si>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</si>
  <si>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</si>
  <si>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</si>
  <si>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</si>
  <si>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</si>
  <si>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</si>
  <si>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</si>
  <si>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</si>
  <si>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</si>
  <si>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</si>
  <si>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</si>
  <si>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BO TEXTURE GREY </t>
  </si>
  <si>
    <t xml:space="preserve">KITCHEN WINDOW </t>
  </si>
  <si>
    <t xml:space="preserve">MARY WOOD RESIDENCIE </t>
  </si>
  <si>
    <t xml:space="preserve">MARY WOOD </t>
  </si>
  <si>
    <t xml:space="preserve">ROSARITO </t>
  </si>
  <si>
    <t xml:space="preserve">POPOTLA PARK </t>
  </si>
  <si>
    <t xml:space="preserve">CASA </t>
  </si>
  <si>
    <t>760-954-86-82</t>
  </si>
  <si>
    <t xml:space="preserve">BILYBITONTI@YAHOO.COM </t>
  </si>
  <si>
    <t>RECHARGABLE MOTORS 1.1</t>
  </si>
  <si>
    <t xml:space="preserve">BS 251120 A MOTOR REV 1  </t>
  </si>
  <si>
    <t>5.5.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</si>
</sst>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LYBITONTI@YAHOO.COM%20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R14" sqref="R1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45982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251120 A MOTOR REV 1 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MARY WOOD RESIDENCIE </v>
      </c>
      <c r="J7" s="365" t="str">
        <f>IF('CALCULATOR SHEET'!H8&lt;&gt;"","Calle: "&amp;'CALCULATOR SHEET'!H10&amp;", Numero: "&amp;'CALCULATOR SHEET'!H11,"")</f>
        <v>Calle: CASA , Numero: 41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POPOTLA PARK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MARY WOOD </v>
      </c>
      <c r="J10" s="365" t="str">
        <f>IF('CALCULATOR SHEET'!K11&lt;&gt;"",'CALCULATOR SHEET'!$K$11&amp;" Cell: "&amp;'CALCULATOR SHEET'!K10,"")</f>
        <v>BILYBITONTI@YAHOO.COM  Cell: 760-954-86-82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 xml:space="preserve">BO TEXTURE GREY </v>
      </c>
      <c r="H14" s="170" t="str">
        <f>IF('CALCULATOR SHEET'!H13&lt;&gt;"",'CALCULATOR SHEET'!H13,"")</f>
        <v xml:space="preserve">KITCHEN WINDOW </v>
      </c>
      <c r="I14" s="171">
        <f>IF(E14&lt;&gt;"",'CALCULATOR SHEET'!I13,"")</f>
        <v>70.5</v>
      </c>
      <c r="J14" s="171">
        <f>IF(I14&lt;&gt;"",'CALCULATOR SHEET'!J13,"")</f>
        <v>46.5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269</v>
      </c>
      <c r="O14" s="164"/>
      <c r="P14" s="167">
        <f>IF(D14&lt;&gt;"",N14*D14,"")</f>
        <v>269</v>
      </c>
      <c r="Q14" s="194"/>
      <c r="R14" s="64" t="s">
        <v>200</v>
      </c>
      <c r="T14" s="160">
        <f>IF('CALCULATOR SHEET'!$T$58="PESOS",'CALCULATOR SHEET'!S13*'CALCULATOR SHEET'!$W$6,'CALCULATOR SHEET'!S13)</f>
        <v>269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70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5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5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1</v>
      </c>
      <c r="E56" s="291" t="str">
        <f>IF('CALCULATOR SHEET'!E54&lt;&gt;"",'CALCULATOR SHEET'!E54,"")</f>
        <v>RECHARGABLE MOTORS 1.1</v>
      </c>
      <c r="I56" s="184"/>
      <c r="J56" s="184"/>
      <c r="K56" s="67"/>
      <c r="L56" s="67"/>
      <c r="M56" s="67"/>
      <c r="N56" s="185"/>
      <c r="O56" s="185">
        <f>IF(D56&lt;&gt;"",T56,"")</f>
        <v>190</v>
      </c>
      <c r="P56" s="186">
        <f>IF(O56&lt;&gt;"",O56*D56,"")</f>
        <v>190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190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269</v>
      </c>
      <c r="Q62" s="188"/>
      <c r="X62" s="163" t="str">
        <f>IF('CALCULATOR SHEET'!$W$2=1,GENERAL!Q35,GENERAL!S35)</f>
        <v>SUB TOTAL</v>
      </c>
      <c r="Y62" s="222">
        <f>P62</f>
        <v>269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80.7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378.3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190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378.3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378.3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190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378.3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378.3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>IF(AJ7=0,"",MATCH(CEILING(AJ7,6),$D$4:$Z$4,0))</f>
        <v>9</v>
      </c>
      <c r="AM7" s="53">
        <f>IF(AK7=0,"",MATCH(CEILING(AK7,6),$C$7:$C$28,0))</f>
        <v>5</v>
      </c>
      <c r="AN7" s="54">
        <f>IF(AL7="","",INDEX($D$7:$Z$28,AM7,AL7))</f>
        <v>156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 t="shared" ref="AL7:AL70" si="0">IF(AJ7=0,"",MATCH(CEILING(AJ7,6),$D$4:$Z$4,0))</f>
        <v>9</v>
      </c>
      <c r="AM7" s="53">
        <f>IF(AK7=0,"",MATCH(CEILING(AK7,6),$C$7:$C$28,0))</f>
        <v>5</v>
      </c>
      <c r="AN7" s="54">
        <f t="shared" ref="AN7:AN70" si="1">IF(AL7="","",INDEX($D$7:$Z$28,AM7,AL7))</f>
        <v>183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>IF(AJ7=0,"",MATCH(CEILING(AJ7,6),$D$4:$Z$4,0))</f>
        <v>9</v>
      </c>
      <c r="AM7" s="53">
        <f>IF(AK7=0,"",MATCH(CEILING(AK7,6),$C$7:$C$28,0))</f>
        <v>5</v>
      </c>
      <c r="AN7" s="54">
        <f>IF(AL7="","",INDEX($D$7:$Z$28,AM7,AL7))</f>
        <v>188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>IF(AJ7=0,"",MATCH(CEILING(AJ7,6),$D$4:$Z$4,0))</f>
        <v>9</v>
      </c>
      <c r="AM7" s="53">
        <f>IF(AK7=0,"",MATCH(CEILING(AK7,6),$C$7:$C$28,0))</f>
        <v>5</v>
      </c>
      <c r="AN7" s="54">
        <f>IF(AL7="","",INDEX($D$7:$Z$28,AM7,AL7))</f>
        <v>220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>IF(AJ7=0,"",MATCH(CEILING(AJ7,6),$D$4:$Z$4,0))</f>
        <v>9</v>
      </c>
      <c r="AM7" s="53">
        <f>IF(AK7=0,"",MATCH(CEILING(AK7,6),$C$7:$C$28,0))</f>
        <v>5</v>
      </c>
      <c r="AN7" s="54">
        <f>IF(AL7="","",INDEX($D$7:$Z$28,AM7,AL7))</f>
        <v>249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>IF(AJ7=0,"",MATCH(CEILING(AJ7,6),$D$4:$Z$4,0))</f>
        <v>9</v>
      </c>
      <c r="AM7" s="53">
        <f>IF(AK7=0,"",MATCH(CEILING(AK7,6),$C$7:$C$28,0))</f>
        <v>5</v>
      </c>
      <c r="AN7" s="54">
        <f>IF(AL7="","",INDEX($D$7:$Z$28,AM7,AL7))</f>
        <v>310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70.5</v>
      </c>
      <c r="Z7" s="7">
        <f>'CALCULATOR SHEET'!J13</f>
        <v>46.5</v>
      </c>
      <c r="AA7" s="7">
        <f>IF(Y7=0,"",MATCH(CEILING(Y7,6),$C$7:$R$7,0))</f>
        <v>8</v>
      </c>
      <c r="AB7" s="7">
        <f>IF(Z7=0,"",MATCH(CEILING(Z7,6),$B$10:$B$26,0))</f>
        <v>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203</v>
      </c>
      <c r="AF7" s="13">
        <f>IF(Y7&gt;0,HLOOKUP(AA7,$C$29:$R$30,2,FALSE),"")</f>
        <v>0</v>
      </c>
    </row>
    <row r="8" spans="2:32" ht="15.75">
      <c r="U8" s="385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63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>RECHARGABLE MOTORS 1.1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70.5</v>
      </c>
      <c r="W7" s="7">
        <f>'CALCULATOR SHEET'!J13</f>
        <v>46.5</v>
      </c>
      <c r="X7" s="7">
        <f>IF(V7=0,"",MATCH(CEILING(V7,6),$C$8:$Q$8,0))</f>
        <v>9</v>
      </c>
      <c r="Y7" s="7">
        <f>IF(W7=0,"",MATCH(CEILING(W7,6),$B$10:$B$26,0))</f>
        <v>5</v>
      </c>
      <c r="Z7" s="146">
        <f>IF(X7="","",INDEX($C$12:$Q$26,Y7,X7))</f>
        <v>291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172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244</v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10" sqref="T10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475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469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467</v>
      </c>
      <c r="E9" s="39"/>
      <c r="F9" s="1"/>
      <c r="G9" s="38" t="s">
        <v>443</v>
      </c>
      <c r="H9" s="343" t="s">
        <v>470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45982</v>
      </c>
      <c r="Z9" s="38" t="s">
        <v>304</v>
      </c>
      <c r="AA9" s="34">
        <f>SUMIF(C13:C52,"&gt;0")</f>
        <v>1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468</v>
      </c>
      <c r="E10" s="149"/>
      <c r="F10" s="1"/>
      <c r="G10" s="341" t="s">
        <v>444</v>
      </c>
      <c r="H10" s="343" t="s">
        <v>471</v>
      </c>
      <c r="I10" s="1"/>
      <c r="J10" s="3" t="s">
        <v>449</v>
      </c>
      <c r="K10" s="344" t="s">
        <v>472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41</v>
      </c>
      <c r="I11" s="46"/>
      <c r="J11" s="38" t="s">
        <v>448</v>
      </c>
      <c r="K11" s="301" t="s">
        <v>473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/>
      <c r="G13" s="68" t="s">
        <v>465</v>
      </c>
      <c r="H13" s="68" t="s">
        <v>466</v>
      </c>
      <c r="I13" s="81">
        <v>70.5</v>
      </c>
      <c r="J13" s="81">
        <v>46.5</v>
      </c>
      <c r="K13" s="254" t="s">
        <v>274</v>
      </c>
      <c r="L13" s="70"/>
      <c r="M13" s="284" t="s">
        <v>129</v>
      </c>
      <c r="N13" s="254" t="s">
        <v>212</v>
      </c>
      <c r="O13" s="254" t="s">
        <v>322</v>
      </c>
      <c r="P13" s="70" t="s">
        <v>45</v>
      </c>
      <c r="Q13" s="70" t="s">
        <v>46</v>
      </c>
      <c r="R13" s="70" t="s">
        <v>45</v>
      </c>
      <c r="S13" s="71">
        <f>IF(U13="REVISAR MEDIDA","NO APLICA",W13+X13)</f>
        <v>269</v>
      </c>
      <c r="T13" s="316">
        <f t="shared" ref="T13:T52" si="0">IF(S13="","",S13*C13)</f>
        <v>269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269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188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81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4"/>
      <c r="L14" s="70"/>
      <c r="M14" s="284"/>
      <c r="N14" s="254"/>
      <c r="O14" s="254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6">
        <f t="shared" si="0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>
        <f t="shared" ref="AB14:AB52" si="5">D14</f>
        <v>0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4"/>
      <c r="L15" s="70"/>
      <c r="M15" s="284"/>
      <c r="N15" s="254"/>
      <c r="O15" s="254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6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>
        <f t="shared" si="5"/>
        <v>0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6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6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1</v>
      </c>
      <c r="D54" s="199"/>
      <c r="E54" s="206" t="s">
        <v>474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190</v>
      </c>
      <c r="T54" s="114">
        <f>IF(S54="","",S54*C54)</f>
        <v>190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269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80.7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190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378.3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378.3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hyperlinks>
    <hyperlink ref="K11" r:id="rId1" xr:uid="{D9F38FD2-09C9-432E-B1CD-F46A45DFFD21}"/>
  </hyperlinks>
  <pageMargins left="0.25" right="0.25" top="0.27" bottom="0.27" header="0.16" footer="0.17"/>
  <pageSetup scale="49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70.5</v>
      </c>
      <c r="Y7" s="7">
        <f>'CALCULATOR SHEET'!J13</f>
        <v>46.5</v>
      </c>
      <c r="Z7" s="7">
        <f>IF(X7=0,"",MATCH(CEILING(X7,6),$C$7:$R$7,0))</f>
        <v>9</v>
      </c>
      <c r="AA7" s="7">
        <f>IF(Y7=0,"",MATCH(CEILING(Y7,6),$B$10:$B$26,0))</f>
        <v>5</v>
      </c>
      <c r="AB7" s="146">
        <f>IF(Z7="","",INDEX($C$10:$R$26,AA7,Z7))</f>
        <v>272</v>
      </c>
    </row>
    <row r="8" spans="2:28" ht="15.75">
      <c r="U8" s="385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310</v>
      </c>
    </row>
    <row r="8" spans="2:27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298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389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409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70.5</v>
      </c>
      <c r="X7" s="7">
        <f>'CALCULATOR SHEET'!J13</f>
        <v>46.5</v>
      </c>
      <c r="Y7" s="7">
        <f>IF(W7=0,"",MATCH(CEILING(W7,6),$C$7:$Q$7,0))</f>
        <v>9</v>
      </c>
      <c r="Z7" s="7">
        <f>IF(X7=0,"",MATCH(CEILING(X7,6),$B$10:$B$26,0))</f>
        <v>5</v>
      </c>
      <c r="AA7" s="146">
        <f>IF(Y7="","",INDEX($C$10:$Q$26,Z7,Y7))</f>
        <v>399</v>
      </c>
    </row>
    <row r="8" spans="2:27" ht="15" customHeight="1">
      <c r="T8" s="385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70.5</v>
      </c>
      <c r="Y5" s="7">
        <f>'PM-ORDER'!P5</f>
        <v>46.5</v>
      </c>
      <c r="Z5" s="7">
        <f>IF(X5&lt;&gt;"",MATCH(CEILING(X5,6),$C$4:$S$4,0),"")</f>
        <v>9</v>
      </c>
      <c r="AA5" s="7">
        <f>IF(X5&lt;&gt;"",MATCH(CEILING(Y5,6),$B$7:$B$26,0),"")</f>
        <v>5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abSelected="1" topLeftCell="N1" zoomScale="85" zoomScaleNormal="85" workbookViewId="0">
      <selection activeCell="AN7" sqref="AN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45982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251120 A MOTOR REV 1  </v>
      </c>
      <c r="D5" s="229">
        <f>IF('CALCULATOR SHEET'!D13&lt;&gt;"",'CALCULATOR SHEET'!$T$9,"")</f>
        <v>45982</v>
      </c>
      <c r="E5" s="230" t="str">
        <f>IF(D5&lt;&gt;"","BAJA SHADES","")</f>
        <v>BAJA SHADES</v>
      </c>
      <c r="F5" s="231" t="str">
        <f>IF(C5&lt;&gt;"",'CALCULATOR SHEET'!$D$9,"")</f>
        <v xml:space="preserve">MARY WOOD RESIDENCIE 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BO TEXTURE GREY </v>
      </c>
      <c r="M5" s="231" t="str">
        <f>IF(C5&lt;&gt;"",'CALCULATOR SHEET'!O13,"")</f>
        <v>STANDARD ROLL</v>
      </c>
      <c r="N5" s="231" t="str">
        <f>IF(C5&lt;&gt;"",'CALCULATOR SHEET'!H13,"")</f>
        <v xml:space="preserve">KITCHEN WINDOW </v>
      </c>
      <c r="O5" s="233">
        <f>IF(D5&lt;&gt;"",'CALCULATOR SHEET'!I13,"")</f>
        <v>70.5</v>
      </c>
      <c r="P5" s="233">
        <f>IF(E5&lt;&gt;"",'CALCULATOR SHEET'!J13,"")</f>
        <v>46.5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POPOTLA PARK </v>
      </c>
      <c r="AB5" s="232"/>
      <c r="AC5" s="232"/>
      <c r="AD5" s="234"/>
      <c r="AE5" s="235"/>
      <c r="AF5" s="162"/>
      <c r="AG5" s="253" t="s">
        <v>466</v>
      </c>
      <c r="AH5" s="253"/>
      <c r="AI5" s="252">
        <v>72</v>
      </c>
      <c r="AJ5" s="252">
        <v>2</v>
      </c>
      <c r="AK5" s="252">
        <v>2</v>
      </c>
      <c r="AL5" s="252">
        <v>2</v>
      </c>
      <c r="AM5" s="252" t="s">
        <v>476</v>
      </c>
      <c r="AN5" s="253" t="s">
        <v>465</v>
      </c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/>
      </c>
      <c r="D6" s="229" t="str">
        <f>IF('CALCULATOR SHEET'!D14&lt;&gt;"",'CALCULATOR SHEET'!$T$9,"")</f>
        <v/>
      </c>
      <c r="E6" s="230" t="str">
        <f t="shared" ref="E6:E69" si="0">IF(D6&lt;&gt;"","BAJA SHADES","")</f>
        <v/>
      </c>
      <c r="F6" s="231" t="str">
        <f>IF(C6&lt;&gt;"",'CALCULATOR SHEET'!$D$9,"")</f>
        <v/>
      </c>
      <c r="G6" s="231" t="str">
        <f>IF('CALCULATOR SHEET'!D14&lt;&gt;"",'CALCULATOR SHEET'!D14,"")</f>
        <v/>
      </c>
      <c r="H6" s="231" t="str">
        <f>IF(Q6="CCL",BOMS!AG6,"")</f>
        <v/>
      </c>
      <c r="I6" s="230">
        <v>1</v>
      </c>
      <c r="J6" s="231" t="str">
        <f>IF(C6&lt;&gt;"",'CALCULATOR SHEET'!K14,"")</f>
        <v/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/>
      </c>
      <c r="M6" s="231" t="str">
        <f>IF(C6&lt;&gt;"",'CALCULATOR SHEET'!O14,"")</f>
        <v/>
      </c>
      <c r="N6" s="231" t="str">
        <f>IF(C6&lt;&gt;"",'CALCULATOR SHEET'!H14,"")</f>
        <v/>
      </c>
      <c r="O6" s="233" t="str">
        <f>IF(D6&lt;&gt;"",'CALCULATOR SHEET'!I14,"")</f>
        <v/>
      </c>
      <c r="P6" s="233" t="str">
        <f>IF(E6&lt;&gt;"",'CALCULATOR SHEET'!J14,"")</f>
        <v/>
      </c>
      <c r="Q6" s="230" t="str">
        <f>IF('CALCULATOR SHEET'!K14=GENERAL!$H$9,GENERAL!$H$9,IF(OR('CALCULATOR SHEET'!K14=GENERAL!$H$6,'CALCULATOR SHEET'!K14=GENERAL!$H$7,'CALCULATOR SHEET'!K14=GENERAL!$H$8),"CCL",""))</f>
        <v/>
      </c>
      <c r="R6" s="230" t="str">
        <f>IF(C6&lt;&gt;"",'CALCULATOR SHEET'!M14,"")</f>
        <v/>
      </c>
      <c r="S6" s="230" t="str">
        <f>IF(D6&lt;&gt;"",'CALCULATOR SHEET'!N14,"")</f>
        <v/>
      </c>
      <c r="T6" s="232"/>
      <c r="U6" s="246"/>
      <c r="V6" s="246"/>
      <c r="W6" s="230" t="str">
        <f>IF(C6&lt;&gt;"",'CALCULATOR SHEET'!R14,"")</f>
        <v/>
      </c>
      <c r="X6" s="230"/>
      <c r="Y6" s="230">
        <v>1</v>
      </c>
      <c r="Z6" s="232"/>
      <c r="AA6" s="232" t="str">
        <f>IF(C6&lt;&gt;"",'CALCULATOR SHEET'!$H$9,"")</f>
        <v/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6"/>
      <c r="V7" s="246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70.5</v>
      </c>
      <c r="AK7" s="36">
        <f>'CALCULATOR SHEET'!J13</f>
        <v>46.5</v>
      </c>
      <c r="AL7" s="36">
        <f>IF(AJ7=0,"",MATCH(CEILING(AJ7,6),$D$4:$Z$4,0))</f>
        <v>9</v>
      </c>
      <c r="AM7" s="36">
        <f>IF(AK7=0,"",MATCH(CEILING(AK7,6),$C$7:$C$28,0))</f>
        <v>5</v>
      </c>
      <c r="AN7" s="57">
        <f>IF(AL7="","",INDEX($D$7:$Z$28,AM7,AL7))</f>
        <v>123</v>
      </c>
      <c r="AO7" s="58"/>
      <c r="AP7" s="57">
        <f>IF(AJ7&gt;0,HLOOKUP(CEILING(AJ7,6),$D$30:$Z$31,2,0),"")</f>
        <v>74</v>
      </c>
      <c r="AQ7" s="57">
        <f>IF(AJ7&gt;0,HLOOKUP(CEILING(AJ7,6),$D$33:$Z$34,2,0),"")</f>
        <v>81</v>
      </c>
      <c r="AR7" s="59">
        <f>IF(AJ7&gt;0,HLOOKUP(CEILING(AJ7,6),$D$36:$Z$37,2,0))</f>
        <v>44</v>
      </c>
      <c r="AS7" s="57">
        <f>IF(AL7="","",INDEX($AX$6:$BT$27,AM7,AL7))</f>
        <v>471</v>
      </c>
      <c r="AT7" s="37">
        <f>IF(AK7&gt;0,VLOOKUP(CEILING(AK7,6),$AA$7:$AB$28,2,0),"")</f>
        <v>40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>IF(AJ7=0,"",MATCH(CEILING(AJ7,6),$D$4:$Z$4,0))</f>
        <v>9</v>
      </c>
      <c r="AM7" s="53">
        <f>IF(AK7=0,"",MATCH(CEILING(AK7,6),$C$7:$C$28,0))</f>
        <v>5</v>
      </c>
      <c r="AN7" s="54">
        <f>IF(AL7="","",INDEX($D$7:$Z$28,AM7,AL7))</f>
        <v>130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70.5</v>
      </c>
      <c r="AK7" s="53">
        <f>'CALCULATOR SHEET'!J13</f>
        <v>46.5</v>
      </c>
      <c r="AL7" s="53">
        <f t="shared" ref="AL7:AL70" si="0">IF(AJ7=0,"",MATCH(CEILING(AJ7,6),$D$4:$Z$4,0))</f>
        <v>9</v>
      </c>
      <c r="AM7" s="53">
        <f>IF(AK7=0,"",MATCH(CEILING(AK7,6),$C$7:$C$28,0))</f>
        <v>5</v>
      </c>
      <c r="AN7" s="54">
        <f t="shared" ref="AN7:AN70" si="1">IF(AL7="","",INDEX($D$7:$Z$28,AM7,AL7))</f>
        <v>148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2025-11-20T20:48:40Z</cp:lastPrinted>
  <dcterms:created xsi:type="dcterms:W3CDTF">2016-09-27T19:33:28Z</dcterms:created>
  <dcterms:modified xsi:type="dcterms:W3CDTF">2025-11-21T22:34:59Z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