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CAMILLA REAL DE MAR\"/>
    </mc:Choice>
  </mc:AlternateContent>
  <xr:revisionPtr revIDLastSave="0" documentId="8_{062CC7A5-02A8-421D-B968-1DC05B6FFE3D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9" i="59" l="1"/>
  <c r="AA31" i="59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<sst xmlns="http://schemas.openxmlformats.org/spreadsheetml/2006/main" count="3327" uniqueCount="477">
  <si>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</si>
  <si>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</si>
  <si>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</si>
  <si>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</si>
  <si>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</si>
  <si>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</si>
  <si>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</si>
  <si>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</si>
  <si>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</si>
  <si>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</si>
  <si>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</si>
  <si>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</si>
  <si>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</si>
  <si>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</si>
  <si>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</si>
  <si>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</si>
  <si>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</si>
  <si>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</si>
  <si>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</si>
  <si>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</si>
  <si>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</si>
  <si>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</si>
  <si>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</si>
  <si>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</si>
  <si>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</si>
  <si>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</si>
  <si>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</si>
  <si>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</si>
  <si>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</si>
  <si>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</si>
  <si>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</si>
  <si>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</si>
  <si>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</si>
  <si>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</si>
  <si>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</si>
  <si>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</si>
  <si>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</si>
  <si>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</si>
  <si>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</si>
  <si>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</si>
  <si>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</si>
  <si>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</si>
  <si>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</si>
  <si>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</si>
  <si>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</si>
  <si>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</si>
  <si>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</si>
  <si>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</si>
  <si>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</si>
  <si>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</si>
  <si>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</si>
  <si>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</si>
  <si>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</si>
  <si>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</si>
  <si>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</si>
  <si>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</si>
  <si>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</si>
  <si>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</si>
  <si>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</si>
  <si>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</si>
  <si>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</si>
  <si>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</si>
  <si>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</si>
  <si>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</si>
  <si>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</si>
  <si>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</si>
  <si>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</si>
  <si>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</si>
  <si>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</si>
  <si>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</si>
  <si>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</si>
  <si>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</si>
  <si>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</si>
  <si>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</si>
  <si>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</si>
  <si>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</si>
  <si>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</si>
  <si>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</si>
  <si>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</si>
  <si>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</si>
  <si>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</si>
  <si>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</si>
  <si>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</si>
  <si>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</si>
  <si>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</si>
  <si>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</si>
  <si>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</si>
  <si>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</si>
  <si>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</si>
  <si>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</si>
  <si>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</si>
  <si>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</si>
  <si>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</si>
  <si>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</si>
  <si>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</si>
  <si>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</si>
  <si>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</si>
  <si>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</si>
  <si>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</si>
  <si>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</si>
  <si>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</si>
  <si>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</si>
  <si>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</si>
  <si>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</si>
  <si>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</si>
  <si>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</si>
  <si>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</si>
  <si>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</si>
  <si>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</si>
  <si>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</si>
  <si>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</si>
  <si>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</si>
  <si>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</si>
  <si>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</si>
  <si>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</si>
  <si>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</si>
  <si>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</si>
  <si>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</si>
  <si>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</si>
  <si>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</si>
  <si>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</si>
  <si>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</si>
  <si>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</si>
  <si>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</si>
  <si>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</si>
  <si>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</si>
  <si>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</si>
  <si>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</si>
  <si>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</si>
  <si>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</si>
  <si>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</si>
  <si>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</si>
  <si>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</si>
  <si>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</si>
  <si>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</si>
  <si>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</si>
  <si>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</si>
  <si>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</si>
  <si>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</si>
  <si>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</si>
  <si>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</si>
  <si>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</si>
  <si>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</si>
  <si>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</si>
  <si>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</si>
  <si>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</si>
  <si>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</si>
  <si>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</si>
  <si>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</si>
  <si>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</si>
  <si>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</si>
  <si>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</si>
  <si>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</si>
  <si>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</si>
  <si>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</si>
  <si>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</si>
  <si>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</si>
  <si>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</si>
  <si>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</si>
  <si>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</si>
  <si>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</si>
  <si>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</si>
  <si>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</si>
  <si>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</si>
  <si>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</si>
  <si>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</si>
  <si>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</si>
  <si>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</si>
  <si>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</si>
  <si>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</si>
  <si>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</si>
  <si>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</si>
  <si>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</si>
  <si>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</si>
  <si>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</si>
  <si>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</si>
  <si>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</si>
  <si>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</si>
  <si>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</si>
  <si>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</si>
  <si>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</si>
  <si>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</si>
  <si>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</si>
  <si>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</si>
  <si>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</si>
  <si>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</si>
  <si>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</si>
  <si>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</si>
  <si>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</si>
  <si>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</si>
  <si>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</si>
  <si>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</si>
  <si>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</si>
  <si>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</si>
  <si>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</si>
  <si>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</si>
  <si>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</si>
  <si>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</si>
  <si>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</si>
  <si>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</si>
  <si>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</si>
  <si>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</si>
  <si>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</si>
  <si>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</si>
  <si>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</si>
  <si>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</si>
  <si>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</si>
  <si>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</si>
  <si>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</si>
  <si>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</si>
  <si>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</si>
  <si>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</si>
  <si>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</si>
  <si>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</si>
  <si>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</si>
  <si>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</si>
  <si>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</si>
  <si>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</si>
  <si>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</si>
  <si>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</si>
  <si>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</si>
  <si>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</si>
  <si>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</si>
  <si>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</si>
  <si>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</si>
  <si>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</si>
  <si>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</si>
  <si>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</si>
  <si>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</si>
  <si>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</si>
  <si>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</si>
  <si>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</si>
  <si>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</si>
  <si>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</si>
  <si>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</si>
  <si>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</si>
  <si>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</si>
  <si>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</si>
  <si>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</si>
  <si>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</si>
  <si>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</si>
  <si>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</si>
  <si>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</si>
  <si>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</si>
  <si>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</si>
  <si>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</si>
  <si>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</si>
  <si>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</si>
  <si>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</si>
  <si>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</si>
  <si>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</si>
  <si>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</si>
  <si>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</si>
  <si>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</si>
  <si>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</si>
  <si>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</si>
  <si>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</si>
  <si>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</si>
  <si>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</si>
  <si>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</si>
  <si>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</si>
  <si>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</si>
  <si>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</si>
  <si>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</si>
  <si>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</si>
  <si>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</si>
  <si>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</si>
  <si>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</si>
  <si>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</si>
  <si>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</si>
  <si>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</si>
  <si>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</si>
  <si>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</si>
  <si>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</si>
  <si>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</si>
  <si>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</si>
  <si>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</si>
  <si>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</si>
  <si>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</si>
  <si>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</si>
  <si>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</si>
  <si>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</si>
  <si>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</si>
  <si>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</si>
  <si>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</si>
  <si>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</si>
  <si>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</si>
  <si>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</si>
  <si>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</si>
  <si>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</si>
  <si>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</si>
  <si>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</si>
  <si>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</si>
  <si>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</si>
  <si>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</si>
  <si>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</si>
  <si>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</si>
  <si>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</si>
  <si>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</si>
  <si>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</si>
  <si>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</si>
  <si>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</si>
  <si>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</si>
  <si>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</si>
  <si>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</si>
  <si>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</si>
  <si>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</si>
  <si>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</si>
  <si>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</si>
  <si>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</si>
  <si>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</si>
  <si>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</si>
  <si>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</si>
  <si>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</si>
  <si>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</si>
  <si>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</si>
  <si>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</si>
  <si>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</si>
  <si>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</si>
  <si>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</si>
  <si>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</si>
  <si>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</si>
  <si>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</si>
  <si>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</si>
  <si>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</si>
  <si>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</si>
  <si>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</si>
  <si>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</si>
  <si>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</si>
  <si>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</si>
  <si>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</si>
  <si>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</si>
  <si>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</si>
  <si>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</si>
  <si>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</si>
  <si>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</si>
  <si>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</si>
  <si>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</si>
  <si>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</si>
  <si>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</si>
  <si>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</si>
  <si>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</si>
  <si>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</si>
  <si>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</si>
  <si>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</si>
  <si>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</si>
  <si>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</si>
  <si>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</si>
  <si>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</si>
  <si>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</si>
  <si>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</si>
  <si>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</si>
  <si>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</si>
  <si>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</si>
  <si>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</si>
  <si>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</si>
  <si>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</si>
  <si>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</si>
  <si>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</si>
  <si>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</si>
  <si>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</si>
  <si>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</si>
  <si>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</si>
  <si>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</si>
  <si>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</si>
  <si>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</si>
  <si>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</si>
  <si>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</si>
  <si>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</si>
  <si>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</si>
  <si>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</si>
  <si>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</si>
  <si>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</si>
  <si>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</si>
  <si>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</si>
  <si>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</si>
  <si>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</si>
  <si>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</si>
  <si>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</si>
  <si>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</si>
  <si>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</si>
  <si>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</si>
  <si>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</si>
  <si>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</si>
  <si>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</si>
  <si>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</si>
  <si>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</si>
  <si>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</si>
  <si>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</si>
  <si>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</si>
  <si>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</si>
  <si>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</si>
  <si>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</si>
  <si>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</si>
  <si>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</si>
  <si>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</si>
  <si>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</si>
  <si>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</si>
  <si>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</si>
  <si>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</si>
  <si>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</si>
  <si>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</si>
  <si>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</si>
  <si>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</si>
  <si>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</si>
  <si>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</si>
  <si>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</si>
  <si>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</si>
  <si>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</si>
  <si>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</si>
  <si>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</si>
  <si>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</si>
  <si>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</si>
  <si>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</si>
  <si>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</si>
  <si>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</si>
  <si>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</si>
  <si>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</si>
  <si>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</si>
  <si>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</si>
  <si>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</si>
  <si>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</si>
  <si>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</si>
  <si>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</si>
  <si>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</si>
  <si>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</si>
  <si>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</si>
  <si>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</si>
  <si>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</si>
  <si>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</si>
  <si>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</si>
  <si>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</si>
  <si>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</si>
  <si>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</si>
  <si>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</si>
  <si>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</si>
  <si>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</si>
  <si>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</si>
  <si>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</si>
  <si>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</si>
  <si>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</si>
  <si>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</si>
  <si>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</si>
  <si>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</si>
  <si>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</si>
  <si>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</si>
  <si>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</si>
  <si>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</si>
  <si>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</si>
  <si>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</si>
  <si>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</si>
  <si>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</si>
  <si>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</si>
  <si>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</si>
  <si>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</si>
  <si>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</si>
  <si>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</si>
  <si>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</si>
  <si>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</si>
  <si>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</si>
  <si>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</si>
  <si>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</si>
  <si>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</si>
  <si>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</si>
  <si>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</si>
  <si>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SCREEN WHITE BASIC </t>
  </si>
  <si>
    <t xml:space="preserve">VENTANA A </t>
  </si>
  <si>
    <t xml:space="preserve">VENTANA B </t>
  </si>
  <si>
    <t xml:space="preserve">VENTANA C </t>
  </si>
  <si>
    <t xml:space="preserve">RESIDENCIA CAMILA </t>
  </si>
  <si>
    <t xml:space="preserve">CAMILA </t>
  </si>
  <si>
    <t xml:space="preserve">ROSARITO </t>
  </si>
  <si>
    <t xml:space="preserve">REAL DEL MAR </t>
  </si>
  <si>
    <t xml:space="preserve">MONTECARLO </t>
  </si>
  <si>
    <t>.+ 39 351-831-4688</t>
  </si>
  <si>
    <t>*</t>
  </si>
  <si>
    <t xml:space="preserve">BS 251115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</si>
</sst>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45976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 xml:space="preserve">BS 251115 A 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 xml:space="preserve">RESIDENCIA CAMILA </v>
      </c>
      <c r="J7" s="365" t="str">
        <f>IF('CALCULATOR SHEET'!H8&lt;&gt;"","Calle: "&amp;'CALCULATOR SHEET'!H10&amp;", Numero: "&amp;'CALCULATOR SHEET'!H11,"")</f>
        <v>Calle: MONTECARLO , Numero: 1082</v>
      </c>
      <c r="K7" s="365"/>
      <c r="L7" s="365"/>
      <c r="N7" s="156" t="str">
        <f>IF('CALCULATOR SHEET'!P5&lt;&gt;"",'CALCULATOR SHEET'!P5,"")</f>
        <v xml:space="preserve">PENDIENTE </v>
      </c>
      <c r="O7" s="156"/>
      <c r="P7" s="178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REAL DEL MAR  - ROSARITO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CAMILA </v>
      </c>
      <c r="J10" s="365" t="str">
        <f>IF('CALCULATOR SHEET'!K11&lt;&gt;"",'CALCULATOR SHEET'!$K$11&amp;" Cell: "&amp;'CALCULATOR SHEET'!K10,"")</f>
        <v>* Cell: .+ 39 351-831-4688</v>
      </c>
      <c r="K10" s="365"/>
      <c r="L10" s="365"/>
      <c r="N10" s="365" t="str">
        <f>IF('CALCULATOR SHEET'!S70&lt;&gt;"",'CALCULATOR SHEET'!S70,"")</f>
        <v xml:space="preserve">RICARDO GARCIA 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3</v>
      </c>
      <c r="G14" s="170" t="str">
        <f>IF('CALCULATOR SHEET'!G13&lt;&gt;"",'CALCULATOR SHEET'!G13,"")</f>
        <v xml:space="preserve">SCREEN WHITE BASIC </v>
      </c>
      <c r="H14" s="170" t="str">
        <f>IF('CALCULATOR SHEET'!H13&lt;&gt;"",'CALCULATOR SHEET'!H13,"")</f>
        <v xml:space="preserve">VENTANA A </v>
      </c>
      <c r="I14" s="171">
        <f>IF(E14&lt;&gt;"",'CALCULATOR SHEET'!I13,"")</f>
        <v>16.5</v>
      </c>
      <c r="J14" s="171">
        <f>IF(I14&lt;&gt;"",'CALCULATOR SHEET'!J13,"")</f>
        <v>116.5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R</v>
      </c>
      <c r="M14" s="169" t="str">
        <f>IF(E14&lt;&gt;"",IF(OR('CALCULATOR SHEET'!P13&lt;&gt;"NO",'CALCULATOR SHEET'!Q13&lt;&gt;"NO"),"YES",""),"")</f>
        <v/>
      </c>
      <c r="N14" s="172">
        <f>IF(E14&lt;&gt;"",T14,"")</f>
        <v>145</v>
      </c>
      <c r="O14" s="164"/>
      <c r="P14" s="167">
        <f>IF(D14&lt;&gt;"",N14*D14,"")</f>
        <v>145</v>
      </c>
      <c r="Q14" s="194"/>
      <c r="R14" s="64" t="s">
        <v>200</v>
      </c>
      <c r="T14" s="160">
        <f>IF('CALCULATOR SHEET'!$T$58="PESOS",'CALCULATOR SHEET'!S13*'CALCULATOR SHEET'!$W$6,'CALCULATOR SHEET'!S13)</f>
        <v>145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3</v>
      </c>
      <c r="G15" s="175" t="str">
        <f>IF('CALCULATOR SHEET'!G14&lt;&gt;"",'CALCULATOR SHEET'!G14,"")</f>
        <v xml:space="preserve">SCREEN WHITE BASIC </v>
      </c>
      <c r="H15" s="175" t="str">
        <f>IF('CALCULATOR SHEET'!H14&lt;&gt;"",'CALCULATOR SHEET'!H14,"")</f>
        <v xml:space="preserve">VENTANA B </v>
      </c>
      <c r="I15" s="176">
        <f>IF(E15&lt;&gt;"",'CALCULATOR SHEET'!I14,"")</f>
        <v>70.5</v>
      </c>
      <c r="J15" s="176">
        <f>IF(I15&lt;&gt;"",'CALCULATOR SHEET'!J14,"")</f>
        <v>116.5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273</v>
      </c>
      <c r="O15" s="165"/>
      <c r="P15" s="166">
        <f>IF(D15&lt;&gt;"",N15*D15,"")</f>
        <v>273</v>
      </c>
      <c r="Q15" s="195"/>
      <c r="R15" s="64" t="s">
        <v>200</v>
      </c>
      <c r="T15" s="160">
        <f>IF('CALCULATOR SHEET'!$T$58="PESOS",'CALCULATOR SHEET'!S14*'CALCULATOR SHEET'!$W$6,'CALCULATOR SHEET'!S14)</f>
        <v>273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3</v>
      </c>
      <c r="G16" s="175" t="str">
        <f>IF('CALCULATOR SHEET'!G15&lt;&gt;"",'CALCULATOR SHEET'!G15,"")</f>
        <v xml:space="preserve">SCREEN WHITE BASIC </v>
      </c>
      <c r="H16" s="175" t="str">
        <f>IF('CALCULATOR SHEET'!H15&lt;&gt;"",'CALCULATOR SHEET'!H15,"")</f>
        <v xml:space="preserve">VENTANA C </v>
      </c>
      <c r="I16" s="176">
        <f>IF(E16&lt;&gt;"",'CALCULATOR SHEET'!I15,"")</f>
        <v>41.625</v>
      </c>
      <c r="J16" s="176">
        <f>IF(I16&lt;&gt;"",'CALCULATOR SHEET'!J15,"")</f>
        <v>87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151</v>
      </c>
      <c r="O16" s="165"/>
      <c r="P16" s="166">
        <f t="shared" ref="P16:P53" si="1">IF(D16&lt;&gt;"",N16*D16,"")</f>
        <v>151</v>
      </c>
      <c r="Q16" s="195"/>
      <c r="R16" s="64" t="s">
        <v>200</v>
      </c>
      <c r="T16" s="160">
        <f>IF('CALCULATOR SHEET'!$T$58="PESOS",'CALCULATOR SHEET'!S15*'CALCULATOR SHEET'!$W$6,'CALCULATOR SHEET'!S15)</f>
        <v>151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5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569</v>
      </c>
      <c r="Q62" s="188"/>
      <c r="X62" s="163" t="str">
        <f>IF('CALCULATOR SHEET'!$W$2=1,GENERAL!Q35,GENERAL!S35)</f>
        <v>SUB TOTAL</v>
      </c>
      <c r="Y62" s="222">
        <f>P62</f>
        <v>569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0.3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0.3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170.7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398.3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398.3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398.3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398.3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398.3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16.5</v>
      </c>
      <c r="AK7" s="53">
        <f>'CALCULATOR SHEET'!J13</f>
        <v>116.5</v>
      </c>
      <c r="AL7" s="53" t="e">
        <f>IF(AJ7=0,"",MATCH(CEILING(AJ7,6),$D$4:$Z$4,0))</f>
        <v>#N/A</v>
      </c>
      <c r="AM7" s="53">
        <f>IF(AK7=0,"",MATCH(CEILING(AK7,6),$C$7:$C$28,0))</f>
        <v>17</v>
      </c>
      <c r="AN7" s="54" t="e">
        <f>IF(AL7="","",INDEX($D$7:$Z$28,AM7,AL7))</f>
        <v>#N/A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70.5</v>
      </c>
      <c r="AK8" s="53">
        <f>'CALCULATOR SHEET'!J14</f>
        <v>116.5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278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41.625</v>
      </c>
      <c r="AK9" s="53">
        <f>'CALCULATOR SHEET'!J15</f>
        <v>87</v>
      </c>
      <c r="AL9" s="53">
        <f t="shared" si="0"/>
        <v>4</v>
      </c>
      <c r="AM9" s="53">
        <f t="shared" si="1"/>
        <v>12</v>
      </c>
      <c r="AN9" s="54">
        <f t="shared" si="2"/>
        <v>149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16.5</v>
      </c>
      <c r="AK7" s="53">
        <f>'CALCULATOR SHEET'!J13</f>
        <v>116.5</v>
      </c>
      <c r="AL7" s="53" t="e">
        <f t="shared" ref="AL7:AL70" si="0">IF(AJ7=0,"",MATCH(CEILING(AJ7,6),$D$4:$Z$4,0))</f>
        <v>#N/A</v>
      </c>
      <c r="AM7" s="53">
        <f>IF(AK7=0,"",MATCH(CEILING(AK7,6),$C$7:$C$28,0))</f>
        <v>17</v>
      </c>
      <c r="AN7" s="54" t="e">
        <f t="shared" ref="AN7:AN70" si="1">IF(AL7="","",INDEX($D$7:$Z$28,AM7,AL7))</f>
        <v>#N/A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70.5</v>
      </c>
      <c r="AK8" s="53">
        <f>'CALCULATOR SHEET'!J14</f>
        <v>116.5</v>
      </c>
      <c r="AL8" s="53">
        <f t="shared" si="0"/>
        <v>9</v>
      </c>
      <c r="AM8" s="53">
        <f t="shared" ref="AM8:AM71" si="2">IF(AK8=0,"",MATCH(CEILING(AK8,6),$C$7:$C$28,0))</f>
        <v>17</v>
      </c>
      <c r="AN8" s="54">
        <f t="shared" si="1"/>
        <v>335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41.625</v>
      </c>
      <c r="AK9" s="53">
        <f>'CALCULATOR SHEET'!J15</f>
        <v>87</v>
      </c>
      <c r="AL9" s="53">
        <f t="shared" si="0"/>
        <v>4</v>
      </c>
      <c r="AM9" s="53">
        <f t="shared" si="2"/>
        <v>12</v>
      </c>
      <c r="AN9" s="54">
        <f t="shared" si="1"/>
        <v>175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16.5</v>
      </c>
      <c r="AK7" s="53">
        <f>'CALCULATOR SHEET'!J13</f>
        <v>116.5</v>
      </c>
      <c r="AL7" s="53" t="e">
        <f>IF(AJ7=0,"",MATCH(CEILING(AJ7,6),$D$4:$Z$4,0))</f>
        <v>#N/A</v>
      </c>
      <c r="AM7" s="53">
        <f>IF(AK7=0,"",MATCH(CEILING(AK7,6),$C$7:$C$28,0))</f>
        <v>17</v>
      </c>
      <c r="AN7" s="54" t="e">
        <f>IF(AL7="","",INDEX($D$7:$Z$28,AM7,AL7))</f>
        <v>#N/A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70.5</v>
      </c>
      <c r="AK8" s="53">
        <f>'CALCULATOR SHEET'!J14</f>
        <v>116.5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345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41.625</v>
      </c>
      <c r="AK9" s="53">
        <f>'CALCULATOR SHEET'!J15</f>
        <v>87</v>
      </c>
      <c r="AL9" s="53">
        <f t="shared" si="0"/>
        <v>4</v>
      </c>
      <c r="AM9" s="53">
        <f t="shared" si="1"/>
        <v>12</v>
      </c>
      <c r="AN9" s="54">
        <f t="shared" si="2"/>
        <v>179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16.5</v>
      </c>
      <c r="AK7" s="53">
        <f>'CALCULATOR SHEET'!J13</f>
        <v>116.5</v>
      </c>
      <c r="AL7" s="53" t="e">
        <f>IF(AJ7=0,"",MATCH(CEILING(AJ7,6),$D$4:$Z$4,0))</f>
        <v>#N/A</v>
      </c>
      <c r="AM7" s="53">
        <f>IF(AK7=0,"",MATCH(CEILING(AK7,6),$C$7:$C$28,0))</f>
        <v>17</v>
      </c>
      <c r="AN7" s="54" t="e">
        <f>IF(AL7="","",INDEX($D$7:$Z$28,AM7,AL7))</f>
        <v>#N/A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70.5</v>
      </c>
      <c r="AK8" s="53">
        <f>'CALCULATOR SHEET'!J14</f>
        <v>116.5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415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41.625</v>
      </c>
      <c r="AK9" s="53">
        <f>'CALCULATOR SHEET'!J15</f>
        <v>87</v>
      </c>
      <c r="AL9" s="53">
        <f t="shared" si="0"/>
        <v>4</v>
      </c>
      <c r="AM9" s="53">
        <f t="shared" si="1"/>
        <v>12</v>
      </c>
      <c r="AN9" s="54">
        <f t="shared" si="2"/>
        <v>211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16.5</v>
      </c>
      <c r="AK7" s="53">
        <f>'CALCULATOR SHEET'!J13</f>
        <v>116.5</v>
      </c>
      <c r="AL7" s="53" t="e">
        <f>IF(AJ7=0,"",MATCH(CEILING(AJ7,6),$D$4:$Z$4,0))</f>
        <v>#N/A</v>
      </c>
      <c r="AM7" s="53">
        <f>IF(AK7=0,"",MATCH(CEILING(AK7,6),$C$7:$C$28,0))</f>
        <v>17</v>
      </c>
      <c r="AN7" s="54" t="e">
        <f>IF(AL7="","",INDEX($D$7:$Z$28,AM7,AL7))</f>
        <v>#N/A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70.5</v>
      </c>
      <c r="AK8" s="53">
        <f>'CALCULATOR SHEET'!J14</f>
        <v>116.5</v>
      </c>
      <c r="AL8" s="53">
        <f t="shared" ref="AL8:AL71" si="1">IF(AJ8=0,"",MATCH(CEILING(AJ8,6),$D$4:$Z$4,0))</f>
        <v>9</v>
      </c>
      <c r="AM8" s="53">
        <f t="shared" ref="AM8:AM71" si="2">IF(AK8=0,"",MATCH(CEILING(AK8,6),$C$7:$C$28,0))</f>
        <v>17</v>
      </c>
      <c r="AN8" s="54">
        <f t="shared" ref="AN8:AN71" si="3">IF(AL8="","",INDEX($D$7:$Z$28,AM8,AL8))</f>
        <v>477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41.625</v>
      </c>
      <c r="AK9" s="53">
        <f>'CALCULATOR SHEET'!J15</f>
        <v>87</v>
      </c>
      <c r="AL9" s="53">
        <f>IF(AJ9=0,"",MATCH(CEILING(AJ9,6),$D$4:$Z$4,0))</f>
        <v>4</v>
      </c>
      <c r="AM9" s="53">
        <f t="shared" si="2"/>
        <v>12</v>
      </c>
      <c r="AN9" s="54">
        <f t="shared" si="3"/>
        <v>239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16.5</v>
      </c>
      <c r="AK7" s="53">
        <f>'CALCULATOR SHEET'!J13</f>
        <v>116.5</v>
      </c>
      <c r="AL7" s="53" t="e">
        <f>IF(AJ7=0,"",MATCH(CEILING(AJ7,6),$D$4:$Z$4,0))</f>
        <v>#N/A</v>
      </c>
      <c r="AM7" s="53">
        <f>IF(AK7=0,"",MATCH(CEILING(AK7,6),$C$7:$C$28,0))</f>
        <v>17</v>
      </c>
      <c r="AN7" s="54" t="e">
        <f>IF(AL7="","",INDEX($D$7:$Z$28,AM7,AL7))</f>
        <v>#N/A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70.5</v>
      </c>
      <c r="AK8" s="53">
        <f>'CALCULATOR SHEET'!J14</f>
        <v>116.5</v>
      </c>
      <c r="AL8" s="53">
        <f t="shared" ref="AL8:AL71" si="17">IF(AJ8=0,"",MATCH(CEILING(AJ8,6),$D$4:$Z$4,0))</f>
        <v>9</v>
      </c>
      <c r="AM8" s="53">
        <f t="shared" ref="AM8:AM71" si="18">IF(AK8=0,"",MATCH(CEILING(AK8,6),$C$7:$C$28,0))</f>
        <v>17</v>
      </c>
      <c r="AN8" s="54">
        <f t="shared" ref="AN8:AN71" si="19">IF(AL8="","",INDEX($D$7:$Z$28,AM8,AL8))</f>
        <v>624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41.625</v>
      </c>
      <c r="AK9" s="53">
        <f>'CALCULATOR SHEET'!J15</f>
        <v>87</v>
      </c>
      <c r="AL9" s="53">
        <f t="shared" si="17"/>
        <v>4</v>
      </c>
      <c r="AM9" s="53">
        <f t="shared" si="18"/>
        <v>12</v>
      </c>
      <c r="AN9" s="54">
        <f t="shared" si="19"/>
        <v>299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3</v>
      </c>
      <c r="X7" s="1">
        <v>1</v>
      </c>
      <c r="Y7" s="7">
        <f>'CALCULATOR SHEET'!I13</f>
        <v>16.5</v>
      </c>
      <c r="Z7" s="7">
        <f>'CALCULATOR SHEET'!J13</f>
        <v>116.5</v>
      </c>
      <c r="AA7" s="7" t="e">
        <f>IF(Y7=0,"",MATCH(CEILING(Y7,6),$C$7:$R$7,0))</f>
        <v>#N/A</v>
      </c>
      <c r="AB7" s="7">
        <f>IF(Z7=0,"",MATCH(CEILING(Z7,6),$B$10:$B$26,0))</f>
        <v>15</v>
      </c>
      <c r="AC7" s="146" t="e">
        <f>IF(AA7="","",IF(W7="GROUP 1",INDEX($C$10:$R$26,AB7,AA7),IF(W7="GROUP 2",INDEX($C$39:$R$55,AB7,AA7),IF(W7="GROUP 3",INDEX($C$64:$R$80,AB7,AA7),""))))</f>
        <v>#N/A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218</v>
      </c>
      <c r="AF7" s="13" t="e">
        <f>IF(Y7&gt;0,HLOOKUP(AA7,$C$29:$R$30,2,FALSE),"")</f>
        <v>#N/A</v>
      </c>
    </row>
    <row r="8" spans="2:32" ht="15.75">
      <c r="U8" s="385"/>
      <c r="V8" s="147"/>
      <c r="W8" s="147" t="str">
        <f>'CALCULATOR SHEET'!E14</f>
        <v>GROUP 3</v>
      </c>
      <c r="X8" s="1">
        <f>+X7+1</f>
        <v>2</v>
      </c>
      <c r="Y8" s="7">
        <f>'CALCULATOR SHEET'!I14</f>
        <v>70.5</v>
      </c>
      <c r="Z8" s="7">
        <f>'CALCULATOR SHEET'!J14</f>
        <v>116.5</v>
      </c>
      <c r="AA8" s="7">
        <f t="shared" ref="AA8:AA28" si="1">IF(Y8=0,"",MATCH(CEILING(Y8,6),$C$7:$R$7,0))</f>
        <v>8</v>
      </c>
      <c r="AB8" s="7">
        <f t="shared" ref="AB8:AB28" si="2">IF(Z8=0,"",MATCH(CEILING(Z8,6),$B$10:$B$26,0))</f>
        <v>15</v>
      </c>
      <c r="AC8" s="146">
        <f t="shared" ref="AC8:AC71" si="3">IF(AA8="","",IF(W8="GROUP 1",INDEX($C$10:$R$26,AB8,AA8),IF(W8="GROUP 2",INDEX($C$39:$R$55,AB8,AA8),IF(W8="GROUP 3",INDEX($C$64:$R$80,AB8,AA8),""))))</f>
        <v>927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218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3</v>
      </c>
      <c r="X9" s="1">
        <f t="shared" ref="X9:X28" si="6">+X8+1</f>
        <v>3</v>
      </c>
      <c r="Y9" s="7">
        <f>'CALCULATOR SHEET'!I15</f>
        <v>41.625</v>
      </c>
      <c r="Z9" s="7">
        <f>'CALCULATOR SHEET'!J15</f>
        <v>87</v>
      </c>
      <c r="AA9" s="7">
        <f t="shared" si="1"/>
        <v>3</v>
      </c>
      <c r="AB9" s="7">
        <f t="shared" si="2"/>
        <v>10</v>
      </c>
      <c r="AC9" s="146">
        <f t="shared" si="3"/>
        <v>761</v>
      </c>
      <c r="AD9" s="13" t="str">
        <f>IF(AND('CALCULATOR SHEET'!P15="YES",'CALCULATOR SHEET'!Q15="YES"),HLOOKUP(CEILING(Y9,6),$C$28:$Q$31,3,FALSE),"")</f>
        <v/>
      </c>
      <c r="AE9" s="13">
        <f t="shared" si="4"/>
        <v>211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16.5</v>
      </c>
      <c r="W7" s="7">
        <f>'CALCULATOR SHEET'!J13</f>
        <v>116.5</v>
      </c>
      <c r="X7" s="7" t="e">
        <f>IF(V7=0,"",MATCH(CEILING(V7,6),$C$8:$Q$8,0))</f>
        <v>#N/A</v>
      </c>
      <c r="Y7" s="7" t="e">
        <f>IF(W7=0,"",MATCH(CEILING(W7,6),$B$10:$B$26,0))</f>
        <v>#N/A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70.5</v>
      </c>
      <c r="W8" s="7">
        <f>'CALCULATOR SHEET'!J14</f>
        <v>116.5</v>
      </c>
      <c r="X8" s="7">
        <f t="shared" ref="X8:X73" si="0">IF(V8=0,"",MATCH(CEILING(V8,6),$C$8:$Q$8,0))</f>
        <v>9</v>
      </c>
      <c r="Y8" s="7" t="e">
        <f t="shared" ref="Y8:Y71" si="1">IF(W8=0,"",MATCH(CEILING(W8,6),$B$10:$B$26,0))</f>
        <v>#N/A</v>
      </c>
      <c r="Z8" s="146" t="e">
        <f>IF(X8="","",INDEX($C$12:$Q$26,Y8,X8))</f>
        <v>#N/A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41.625</v>
      </c>
      <c r="W9" s="7">
        <f>'CALCULATOR SHEET'!J15</f>
        <v>87</v>
      </c>
      <c r="X9" s="7">
        <f t="shared" si="0"/>
        <v>4</v>
      </c>
      <c r="Y9" s="7">
        <f t="shared" si="1"/>
        <v>12</v>
      </c>
      <c r="Z9" s="146">
        <f>IF(X9="","",INDEX($C$12:$Q$26,Y9,X9))</f>
        <v>241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16.5</v>
      </c>
      <c r="X7" s="7">
        <f>'CALCULATOR SHEET'!J13</f>
        <v>116.5</v>
      </c>
      <c r="Y7" s="7" t="e">
        <f>IF(W7=0,"",MATCH(CEILING(W7,6),$C$7:$Q$7,0))</f>
        <v>#N/A</v>
      </c>
      <c r="Z7" s="7">
        <f>IF(X7=0,"",MATCH(CEILING(X7,6),$B$10:$B$26,0))</f>
        <v>17</v>
      </c>
      <c r="AA7" s="146" t="e">
        <f>IF(Y7="","",INDEX($C$10:$Q$26,Z7,Y7))</f>
        <v>#N/A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70.5</v>
      </c>
      <c r="X8" s="7">
        <f>'CALCULATOR SHEET'!J14</f>
        <v>116.5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252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41.625</v>
      </c>
      <c r="X9" s="7">
        <f>'CALCULATOR SHEET'!J15</f>
        <v>87</v>
      </c>
      <c r="Y9" s="7">
        <f t="shared" si="1"/>
        <v>4</v>
      </c>
      <c r="Z9" s="7">
        <f t="shared" si="2"/>
        <v>12</v>
      </c>
      <c r="AA9" s="146">
        <f t="shared" si="3"/>
        <v>137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16.5</v>
      </c>
      <c r="X7" s="7">
        <f>'CALCULATOR SHEET'!J13</f>
        <v>116.5</v>
      </c>
      <c r="Y7" s="7" t="e">
        <f>IF(W7=0,"",MATCH(CEILING(W7,6),$C$7:$Q$7,0))</f>
        <v>#N/A</v>
      </c>
      <c r="Z7" s="7">
        <f>IF(X7=0,"",MATCH(CEILING(X7,6),$B$10:$B$26,0))</f>
        <v>17</v>
      </c>
      <c r="AA7" s="146" t="e">
        <f>IF(Y7="","",INDEX($C$10:$Q$26,Z7,Y7))</f>
        <v>#N/A</v>
      </c>
    </row>
    <row r="8" spans="2:27">
      <c r="T8" s="385"/>
      <c r="V8" s="1">
        <f>+V7+1</f>
        <v>2</v>
      </c>
      <c r="W8" s="7">
        <f>'CALCULATOR SHEET'!I14</f>
        <v>70.5</v>
      </c>
      <c r="X8" s="7">
        <f>'CALCULATOR SHEET'!J14</f>
        <v>116.5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403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41.625</v>
      </c>
      <c r="X9" s="7">
        <f>'CALCULATOR SHEET'!J15</f>
        <v>87</v>
      </c>
      <c r="Y9" s="7">
        <f t="shared" si="1"/>
        <v>4</v>
      </c>
      <c r="Z9" s="7">
        <f t="shared" si="2"/>
        <v>12</v>
      </c>
      <c r="AA9" s="146">
        <f t="shared" si="3"/>
        <v>200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C1" zoomScale="85" zoomScaleNormal="85" workbookViewId="0">
      <selection activeCell="T10" sqref="T10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 t="s">
        <v>463</v>
      </c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1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 t="s">
        <v>464</v>
      </c>
      <c r="Q5" s="285"/>
      <c r="R5" s="19"/>
      <c r="S5" s="19" t="s">
        <v>42</v>
      </c>
      <c r="T5" s="49" t="s">
        <v>476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471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469</v>
      </c>
      <c r="E9" s="39"/>
      <c r="F9" s="1"/>
      <c r="G9" s="38" t="s">
        <v>443</v>
      </c>
      <c r="H9" s="343" t="s">
        <v>472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45976</v>
      </c>
      <c r="Z9" s="38" t="s">
        <v>304</v>
      </c>
      <c r="AA9" s="34">
        <f>SUMIF(C13:C52,"&gt;0")</f>
        <v>3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470</v>
      </c>
      <c r="E10" s="149"/>
      <c r="F10" s="1"/>
      <c r="G10" s="341" t="s">
        <v>444</v>
      </c>
      <c r="H10" s="343" t="s">
        <v>473</v>
      </c>
      <c r="I10" s="1"/>
      <c r="J10" s="3" t="s">
        <v>449</v>
      </c>
      <c r="K10" s="344" t="s">
        <v>474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>
        <v>1082</v>
      </c>
      <c r="I11" s="46"/>
      <c r="J11" s="38" t="s">
        <v>448</v>
      </c>
      <c r="K11" s="301" t="s">
        <v>475</v>
      </c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21</v>
      </c>
      <c r="F13" s="69"/>
      <c r="G13" s="68" t="s">
        <v>465</v>
      </c>
      <c r="H13" s="68" t="s">
        <v>466</v>
      </c>
      <c r="I13" s="81">
        <v>16.5</v>
      </c>
      <c r="J13" s="81">
        <v>116.5</v>
      </c>
      <c r="K13" s="254" t="s">
        <v>96</v>
      </c>
      <c r="L13" s="70"/>
      <c r="M13" s="284" t="s">
        <v>130</v>
      </c>
      <c r="N13" s="254" t="s">
        <v>212</v>
      </c>
      <c r="O13" s="254" t="s">
        <v>322</v>
      </c>
      <c r="P13" s="70" t="s">
        <v>45</v>
      </c>
      <c r="Q13" s="70" t="s">
        <v>45</v>
      </c>
      <c r="R13" s="70" t="s">
        <v>45</v>
      </c>
      <c r="S13" s="71">
        <v>145</v>
      </c>
      <c r="T13" s="316">
        <f t="shared" ref="T13:T52" si="0">IF(S13="","",S13*C13)</f>
        <v>145</v>
      </c>
      <c r="U13" s="179" t="e">
        <f>IF(OR(AD13="N/A",AL13="N/A",AP13="N/A",AT13="N/A"),"REVISAR MEDIDA","")</f>
        <v>#N/A</v>
      </c>
      <c r="V13" s="153"/>
      <c r="W13" s="124" t="e">
        <f>IF(D13="ROLLER",SUM(AD13:AJ13),IF(D13="VERTICAL D",SUM(AL13:AN13),IF(D13="ZEBRA",SUM(AP13:AR13),IF(D13="EXTERIOR ROLLER",SUM(AT13:AV13),IF(D13="CABLE GUIDES",AW13,0)))))</f>
        <v>#N/A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 t="e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#N/A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13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13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21</v>
      </c>
      <c r="F14" s="69"/>
      <c r="G14" s="68" t="s">
        <v>465</v>
      </c>
      <c r="H14" s="68" t="s">
        <v>467</v>
      </c>
      <c r="I14" s="81">
        <v>70.5</v>
      </c>
      <c r="J14" s="81">
        <v>116.5</v>
      </c>
      <c r="K14" s="254" t="s">
        <v>96</v>
      </c>
      <c r="L14" s="70"/>
      <c r="M14" s="284" t="s">
        <v>129</v>
      </c>
      <c r="N14" s="254" t="s">
        <v>212</v>
      </c>
      <c r="O14" s="254" t="s">
        <v>322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273</v>
      </c>
      <c r="T14" s="316">
        <f t="shared" si="0"/>
        <v>273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273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260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13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13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21</v>
      </c>
      <c r="F15" s="69"/>
      <c r="G15" s="68" t="s">
        <v>465</v>
      </c>
      <c r="H15" s="68" t="s">
        <v>468</v>
      </c>
      <c r="I15" s="81">
        <v>41.625</v>
      </c>
      <c r="J15" s="81">
        <v>87</v>
      </c>
      <c r="K15" s="254" t="s">
        <v>96</v>
      </c>
      <c r="L15" s="70"/>
      <c r="M15" s="284" t="s">
        <v>129</v>
      </c>
      <c r="N15" s="254" t="s">
        <v>212</v>
      </c>
      <c r="O15" s="254" t="s">
        <v>322</v>
      </c>
      <c r="P15" s="70" t="s">
        <v>45</v>
      </c>
      <c r="Q15" s="70" t="s">
        <v>45</v>
      </c>
      <c r="R15" s="70" t="s">
        <v>45</v>
      </c>
      <c r="S15" s="71">
        <f t="shared" si="1"/>
        <v>151</v>
      </c>
      <c r="T15" s="316">
        <f t="shared" si="0"/>
        <v>151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151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141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10</v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6"/>
        <v>10</v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4"/>
      <c r="L16" s="70"/>
      <c r="M16" s="284"/>
      <c r="N16" s="254"/>
      <c r="O16" s="254"/>
      <c r="P16" s="70" t="s">
        <v>45</v>
      </c>
      <c r="Q16" s="70" t="s">
        <v>45</v>
      </c>
      <c r="R16" s="70" t="s">
        <v>45</v>
      </c>
      <c r="S16" s="71">
        <f t="shared" si="1"/>
        <v>0</v>
      </c>
      <c r="T16" s="316">
        <f t="shared" si="0"/>
        <v>0</v>
      </c>
      <c r="U16" s="179" t="str">
        <f t="shared" si="2"/>
        <v/>
      </c>
      <c r="V16" s="120"/>
      <c r="W16" s="124">
        <f t="shared" si="8"/>
        <v>0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>
        <f t="shared" si="5"/>
        <v>0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4"/>
      <c r="L17" s="70"/>
      <c r="M17" s="284"/>
      <c r="N17" s="254"/>
      <c r="O17" s="254"/>
      <c r="P17" s="70" t="s">
        <v>45</v>
      </c>
      <c r="Q17" s="70" t="s">
        <v>45</v>
      </c>
      <c r="R17" s="70" t="s">
        <v>45</v>
      </c>
      <c r="S17" s="71">
        <f t="shared" si="1"/>
        <v>0</v>
      </c>
      <c r="T17" s="316">
        <f t="shared" si="0"/>
        <v>0</v>
      </c>
      <c r="U17" s="179" t="str">
        <f t="shared" si="2"/>
        <v/>
      </c>
      <c r="V17" s="120"/>
      <c r="W17" s="124">
        <f t="shared" si="8"/>
        <v>0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>
        <f t="shared" si="5"/>
        <v>0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6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6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6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6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569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0.3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170.7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398.3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398.3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16.5</v>
      </c>
      <c r="Y7" s="7">
        <f>'CALCULATOR SHEET'!J13</f>
        <v>116.5</v>
      </c>
      <c r="Z7" s="7" t="e">
        <f>IF(X7=0,"",MATCH(CEILING(X7,6),$C$7:$R$7,0))</f>
        <v>#N/A</v>
      </c>
      <c r="AA7" s="7">
        <f>IF(Y7=0,"",MATCH(CEILING(Y7,6),$B$10:$B$26,0))</f>
        <v>17</v>
      </c>
      <c r="AB7" s="146" t="e">
        <f>IF(Z7="","",INDEX($C$10:$R$26,AA7,Z7))</f>
        <v>#N/A</v>
      </c>
    </row>
    <row r="8" spans="2:28" ht="15.75">
      <c r="U8" s="385"/>
      <c r="V8" s="147"/>
      <c r="W8" s="1">
        <f>+W7+1</f>
        <v>2</v>
      </c>
      <c r="X8" s="7">
        <f>'CALCULATOR SHEET'!I14</f>
        <v>70.5</v>
      </c>
      <c r="Y8" s="7">
        <f>'CALCULATOR SHEET'!J14</f>
        <v>116.5</v>
      </c>
      <c r="Z8" s="7">
        <f t="shared" ref="Z8:Z71" si="0">IF(X8=0,"",MATCH(CEILING(X8,6),$C$7:$R$7,0))</f>
        <v>9</v>
      </c>
      <c r="AA8" s="7">
        <f t="shared" ref="AA8:AA71" si="1">IF(Y8=0,"",MATCH(CEILING(Y8,6),$B$10:$B$26,0))</f>
        <v>17</v>
      </c>
      <c r="AB8" s="146">
        <f t="shared" ref="AB8:AB71" si="2">IF(Z8="","",INDEX($C$10:$R$26,AA8,Z8))</f>
        <v>471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41.625</v>
      </c>
      <c r="Y9" s="7">
        <f>'CALCULATOR SHEET'!J15</f>
        <v>87</v>
      </c>
      <c r="Z9" s="7">
        <f t="shared" si="0"/>
        <v>4</v>
      </c>
      <c r="AA9" s="7">
        <f t="shared" si="1"/>
        <v>12</v>
      </c>
      <c r="AB9" s="146">
        <f t="shared" si="2"/>
        <v>226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16.5</v>
      </c>
      <c r="X7" s="7">
        <f>'CALCULATOR SHEET'!J13</f>
        <v>116.5</v>
      </c>
      <c r="Y7" s="7" t="e">
        <f>IF(W7=0,"",MATCH(CEILING(W7,6),$C$7:$Q$7,0))</f>
        <v>#N/A</v>
      </c>
      <c r="Z7" s="7">
        <f>IF(X7=0,"",MATCH(CEILING(X7,6),$B$10:$B$26,0))</f>
        <v>17</v>
      </c>
      <c r="AA7" s="146" t="e">
        <f>IF(Y7="","",INDEX($C$10:$Q$26,Z7,Y7))</f>
        <v>#N/A</v>
      </c>
    </row>
    <row r="8" spans="2:27">
      <c r="T8" s="385"/>
      <c r="V8" s="1">
        <f>+V7+1</f>
        <v>2</v>
      </c>
      <c r="W8" s="7">
        <f>'CALCULATOR SHEET'!I14</f>
        <v>70.5</v>
      </c>
      <c r="X8" s="7">
        <f>'CALCULATOR SHEET'!J14</f>
        <v>116.5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559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41.625</v>
      </c>
      <c r="X9" s="7">
        <f>'CALCULATOR SHEET'!J15</f>
        <v>87</v>
      </c>
      <c r="Y9" s="7">
        <f t="shared" si="1"/>
        <v>4</v>
      </c>
      <c r="Z9" s="7">
        <f t="shared" si="2"/>
        <v>12</v>
      </c>
      <c r="AA9" s="146">
        <f t="shared" si="3"/>
        <v>260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16.5</v>
      </c>
      <c r="X7" s="7">
        <f>'CALCULATOR SHEET'!J13</f>
        <v>116.5</v>
      </c>
      <c r="Y7" s="7" t="e">
        <f>IF(W7=0,"",MATCH(CEILING(W7,6),$C$7:$Q$7,0))</f>
        <v>#N/A</v>
      </c>
      <c r="Z7" s="7">
        <f>IF(X7=0,"",MATCH(CEILING(X7,6),$B$10:$B$26,0))</f>
        <v>17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70.5</v>
      </c>
      <c r="X8" s="7">
        <f>'CALCULATOR SHEET'!J14</f>
        <v>116.5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543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41.625</v>
      </c>
      <c r="X9" s="7">
        <f>'CALCULATOR SHEET'!J15</f>
        <v>87</v>
      </c>
      <c r="Y9" s="7">
        <f t="shared" si="1"/>
        <v>4</v>
      </c>
      <c r="Z9" s="7">
        <f t="shared" si="2"/>
        <v>12</v>
      </c>
      <c r="AA9" s="146">
        <f t="shared" si="3"/>
        <v>252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16.5</v>
      </c>
      <c r="X7" s="7">
        <f>'CALCULATOR SHEET'!J13</f>
        <v>116.5</v>
      </c>
      <c r="Y7" s="7" t="e">
        <f>IF(W7=0,"",MATCH(CEILING(W7,6),$C$7:$Q$7,0))</f>
        <v>#N/A</v>
      </c>
      <c r="Z7" s="7">
        <f>IF(X7=0,"",MATCH(CEILING(X7,6),$B$10:$B$26,0))</f>
        <v>17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70.5</v>
      </c>
      <c r="X8" s="7">
        <f>'CALCULATOR SHEET'!J14</f>
        <v>116.5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748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41.625</v>
      </c>
      <c r="X9" s="7">
        <f>'CALCULATOR SHEET'!J15</f>
        <v>87</v>
      </c>
      <c r="Y9" s="7">
        <f t="shared" si="1"/>
        <v>4</v>
      </c>
      <c r="Z9" s="7">
        <f t="shared" si="2"/>
        <v>12</v>
      </c>
      <c r="AA9" s="146">
        <f t="shared" si="3"/>
        <v>333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16.5</v>
      </c>
      <c r="X7" s="7">
        <f>'CALCULATOR SHEET'!J13</f>
        <v>116.5</v>
      </c>
      <c r="Y7" s="7" t="e">
        <f>IF(W7=0,"",MATCH(CEILING(W7,6),$C$7:$Q$7,0))</f>
        <v>#N/A</v>
      </c>
      <c r="Z7" s="7">
        <f>IF(X7=0,"",MATCH(CEILING(X7,6),$B$10:$B$26,0))</f>
        <v>17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70.5</v>
      </c>
      <c r="X8" s="7">
        <f>'CALCULATOR SHEET'!J14</f>
        <v>116.5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792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41.625</v>
      </c>
      <c r="X9" s="7">
        <f>'CALCULATOR SHEET'!J15</f>
        <v>87</v>
      </c>
      <c r="Y9" s="7">
        <f t="shared" si="1"/>
        <v>4</v>
      </c>
      <c r="Z9" s="7">
        <f t="shared" si="2"/>
        <v>12</v>
      </c>
      <c r="AA9" s="146">
        <f t="shared" si="3"/>
        <v>350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16.5</v>
      </c>
      <c r="X7" s="7">
        <f>'CALCULATOR SHEET'!J13</f>
        <v>116.5</v>
      </c>
      <c r="Y7" s="7" t="e">
        <f>IF(W7=0,"",MATCH(CEILING(W7,6),$C$7:$Q$7,0))</f>
        <v>#N/A</v>
      </c>
      <c r="Z7" s="7">
        <f>IF(X7=0,"",MATCH(CEILING(X7,6),$B$10:$B$26,0))</f>
        <v>17</v>
      </c>
      <c r="AA7" s="146" t="e">
        <f>IF(Y7="","",INDEX($C$10:$Q$26,Z7,Y7))</f>
        <v>#N/A</v>
      </c>
    </row>
    <row r="8" spans="2:27" ht="15" customHeight="1">
      <c r="T8" s="385"/>
      <c r="V8" s="1">
        <f>+V7+1</f>
        <v>2</v>
      </c>
      <c r="W8" s="7">
        <f>'CALCULATOR SHEET'!I14</f>
        <v>70.5</v>
      </c>
      <c r="X8" s="7">
        <f>'CALCULATOR SHEET'!J14</f>
        <v>116.5</v>
      </c>
      <c r="Y8" s="7">
        <f t="shared" ref="Y8:Y71" si="1">IF(W8=0,"",MATCH(CEILING(W8,6),$C$7:$Q$7,0))</f>
        <v>9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797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41.625</v>
      </c>
      <c r="X9" s="7">
        <f>'CALCULATOR SHEET'!J15</f>
        <v>87</v>
      </c>
      <c r="Y9" s="7">
        <f t="shared" si="1"/>
        <v>4</v>
      </c>
      <c r="Z9" s="7">
        <f t="shared" si="2"/>
        <v>12</v>
      </c>
      <c r="AA9" s="146">
        <f t="shared" si="3"/>
        <v>345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16.5</v>
      </c>
      <c r="Y5" s="7">
        <f>'PM-ORDER'!P5</f>
        <v>116.5</v>
      </c>
      <c r="Z5" s="7" t="e">
        <f>IF(X5&lt;&gt;"",MATCH(CEILING(X5,6),$C$4:$S$4,0),"")</f>
        <v>#N/A</v>
      </c>
      <c r="AA5" s="7">
        <f>IF(X5&lt;&gt;"",MATCH(CEILING(Y5,6),$B$7:$B$26,0),"")</f>
        <v>17</v>
      </c>
      <c r="AB5" s="7"/>
      <c r="AC5" s="7" t="e">
        <f>IF('PM-ORDER'!G5="ROLLER",INDEX($C$7:$S$26,AA5,Z5),"")</f>
        <v>#N/A</v>
      </c>
      <c r="AF5" s="7" t="str">
        <f>IF('PM-ORDER'!G5="ZEBRA",INDEX($C$35:$S$54,AA5,Z5),"")</f>
        <v/>
      </c>
      <c r="AG5" s="1" t="e">
        <f>CONCATENATE(AC5,AF5)</f>
        <v>#N/A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70.5</v>
      </c>
      <c r="Y6" s="7">
        <f>'PM-ORDER'!P6</f>
        <v>116.5</v>
      </c>
      <c r="Z6" s="7">
        <f t="shared" ref="Z6:Z44" si="0">IF(X6&lt;&gt;"",MATCH(CEILING(X6,6),$C$4:$S$4,0),"")</f>
        <v>9</v>
      </c>
      <c r="AA6" s="7">
        <f t="shared" ref="AA6:AA44" si="1">IF(X6&lt;&gt;"",MATCH(CEILING(Y6,6),$B$7:$B$26,0),"")</f>
        <v>17</v>
      </c>
      <c r="AC6" s="7" t="str">
        <f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41.625</v>
      </c>
      <c r="Y7" s="7">
        <f>'PM-ORDER'!P7</f>
        <v>87</v>
      </c>
      <c r="Z7" s="7">
        <f t="shared" si="0"/>
        <v>4</v>
      </c>
      <c r="AA7" s="7">
        <f t="shared" si="1"/>
        <v>12</v>
      </c>
      <c r="AC7" s="7" t="str">
        <f>IF('PM-ORDER'!G7="ROLLER",INDEX($C$7:$S$26,AA7,Z7),"")</f>
        <v>RL-MAN -BSCH</v>
      </c>
      <c r="AF7" s="7" t="str">
        <f>IF('PM-ORDER'!G7="ZEBRA",INDEX($C$35:$S$54,AA7,Z7),"")</f>
        <v/>
      </c>
      <c r="AG7" s="1" t="str">
        <f t="shared" si="2"/>
        <v>RL-MAN -BSCH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S11:U11"/>
    <mergeCell ref="S14:U14"/>
    <mergeCell ref="W14:Y14"/>
    <mergeCell ref="S20:U20"/>
    <mergeCell ref="W20:Y20"/>
    <mergeCell ref="E84:F84"/>
    <mergeCell ref="H82:I82"/>
    <mergeCell ref="J82:K82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45976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 xml:space="preserve">BS 251115 A </v>
      </c>
      <c r="D5" s="229">
        <f>IF('CALCULATOR SHEET'!D13&lt;&gt;"",'CALCULATOR SHEET'!$T$9,"")</f>
        <v>45976</v>
      </c>
      <c r="E5" s="230" t="str">
        <f>IF(D5&lt;&gt;"","BAJA SHADES","")</f>
        <v>BAJA SHADES</v>
      </c>
      <c r="F5" s="231" t="str">
        <f>IF(C5&lt;&gt;"",'CALCULATOR SHEET'!$D$9,"")</f>
        <v xml:space="preserve">RESIDENCIA CAMILA </v>
      </c>
      <c r="G5" s="231" t="str">
        <f>IF('CALCULATOR SHEET'!D13&lt;&gt;"",'CALCULATOR SHEET'!D13,"")</f>
        <v>ROLLER</v>
      </c>
      <c r="H5" s="231" t="e">
        <f>IF(Q5="CCL",BOMS!AG5,"")</f>
        <v>#N/A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 xml:space="preserve">SCREEN WHITE BASIC </v>
      </c>
      <c r="M5" s="231" t="str">
        <f>IF(C5&lt;&gt;"",'CALCULATOR SHEET'!O13,"")</f>
        <v>STANDARD ROLL</v>
      </c>
      <c r="N5" s="231" t="str">
        <f>IF(C5&lt;&gt;"",'CALCULATOR SHEET'!H13,"")</f>
        <v xml:space="preserve">VENTANA A </v>
      </c>
      <c r="O5" s="233">
        <f>IF(D5&lt;&gt;"",'CALCULATOR SHEET'!I13,"")</f>
        <v>16.5</v>
      </c>
      <c r="P5" s="233">
        <f>IF(E5&lt;&gt;"",'CALCULATOR SHEET'!J13,"")</f>
        <v>116.5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R</v>
      </c>
      <c r="S5" s="230" t="str">
        <f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 xml:space="preserve">REAL DEL MAR 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 xml:space="preserve">BS 251115 A </v>
      </c>
      <c r="D6" s="229">
        <f>IF('CALCULATOR SHEET'!D14&lt;&gt;"",'CALCULATOR SHEET'!$T$9,"")</f>
        <v>45976</v>
      </c>
      <c r="E6" s="230" t="str">
        <f t="shared" ref="E6:E69" si="0">IF(D6&lt;&gt;"","BAJA SHADES","")</f>
        <v>BAJA SHADES</v>
      </c>
      <c r="F6" s="231" t="str">
        <f>IF(C6&lt;&gt;"",'CALCULATOR SHEET'!$D$9,"")</f>
        <v xml:space="preserve">RESIDENCIA CAMILA </v>
      </c>
      <c r="G6" s="231" t="str">
        <f>IF('CALCULATOR SHEET'!D14&lt;&gt;"",'CALCULATOR SHEET'!D14,"")</f>
        <v>ROLLER</v>
      </c>
      <c r="H6" s="231" t="str">
        <f>IF(Q6="CCL",BOMS!AG6,"")</f>
        <v>RL-MAN-BSMD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 xml:space="preserve">SCREEN WHITE BASIC </v>
      </c>
      <c r="M6" s="231" t="str">
        <f>IF(C6&lt;&gt;"",'CALCULATOR SHEET'!O14,"")</f>
        <v>STANDARD ROLL</v>
      </c>
      <c r="N6" s="231" t="str">
        <f>IF(C6&lt;&gt;"",'CALCULATOR SHEET'!H14,"")</f>
        <v xml:space="preserve">VENTANA B </v>
      </c>
      <c r="O6" s="233">
        <f>IF(D6&lt;&gt;"",'CALCULATOR SHEET'!I14,"")</f>
        <v>70.5</v>
      </c>
      <c r="P6" s="233">
        <f>IF(E6&lt;&gt;"",'CALCULATOR SHEET'!J14,"")</f>
        <v>116.5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L</v>
      </c>
      <c r="S6" s="230" t="str">
        <f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 xml:space="preserve">REAL DEL MAR 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 xml:space="preserve">BS 251115 A </v>
      </c>
      <c r="D7" s="229">
        <f>IF('CALCULATOR SHEET'!D15&lt;&gt;"",'CALCULATOR SHEET'!$T$9,"")</f>
        <v>45976</v>
      </c>
      <c r="E7" s="230" t="str">
        <f t="shared" si="0"/>
        <v>BAJA SHADES</v>
      </c>
      <c r="F7" s="231" t="str">
        <f>IF(C7&lt;&gt;"",'CALCULATOR SHEET'!$D$9,"")</f>
        <v xml:space="preserve">RESIDENCIA CAMILA </v>
      </c>
      <c r="G7" s="231" t="str">
        <f>IF('CALCULATOR SHEET'!D15&lt;&gt;"",'CALCULATOR SHEET'!D15,"")</f>
        <v>ROLLER</v>
      </c>
      <c r="H7" s="231" t="str">
        <f>IF(Q7="CCL",BOMS!AG7,"")</f>
        <v>RL-MAN -BSCH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 xml:space="preserve">SCREEN WHITE BASIC </v>
      </c>
      <c r="M7" s="231" t="str">
        <f>IF(C7&lt;&gt;"",'CALCULATOR SHEET'!O15,"")</f>
        <v>STANDARD ROLL</v>
      </c>
      <c r="N7" s="231" t="str">
        <f>IF(C7&lt;&gt;"",'CALCULATOR SHEET'!H15,"")</f>
        <v xml:space="preserve">VENTANA C </v>
      </c>
      <c r="O7" s="233">
        <f>IF(D7&lt;&gt;"",'CALCULATOR SHEET'!I15,"")</f>
        <v>41.625</v>
      </c>
      <c r="P7" s="233">
        <f>IF(E7&lt;&gt;"",'CALCULATOR SHEET'!J15,"")</f>
        <v>87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>IF(D7&lt;&gt;"",'CALCULATOR SHEET'!N15,"")</f>
        <v>INSIDE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 xml:space="preserve">REAL DEL MAR 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/>
      </c>
      <c r="D8" s="229" t="str">
        <f>IF('CALCULATOR SHEET'!D16&lt;&gt;"",'CALCULATOR SHEET'!$T$9,"")</f>
        <v/>
      </c>
      <c r="E8" s="230" t="str">
        <f t="shared" si="0"/>
        <v/>
      </c>
      <c r="F8" s="231" t="str">
        <f>IF(C8&lt;&gt;"",'CALCULATOR SHEET'!$D$9,"")</f>
        <v/>
      </c>
      <c r="G8" s="231" t="str">
        <f>IF('CALCULATOR SHEET'!D16&lt;&gt;"",'CALCULATOR SHEET'!D16,"")</f>
        <v/>
      </c>
      <c r="H8" s="231" t="str">
        <f>IF(Q8="CCL",BOMS!AG8,"")</f>
        <v/>
      </c>
      <c r="I8" s="230">
        <v>1</v>
      </c>
      <c r="J8" s="231" t="str">
        <f>IF(C8&lt;&gt;"",'CALCULATOR SHEET'!K16,"")</f>
        <v/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/>
      </c>
      <c r="M8" s="231" t="str">
        <f>IF(C8&lt;&gt;"",'CALCULATOR SHEET'!O16,"")</f>
        <v/>
      </c>
      <c r="N8" s="231" t="str">
        <f>IF(C8&lt;&gt;"",'CALCULATOR SHEET'!H16,"")</f>
        <v/>
      </c>
      <c r="O8" s="233" t="str">
        <f>IF(D8&lt;&gt;"",'CALCULATOR SHEET'!I16,"")</f>
        <v/>
      </c>
      <c r="P8" s="233" t="str">
        <f>IF(E8&lt;&gt;"",'CALCULATOR SHEET'!J16,"")</f>
        <v/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 t="str">
        <f>IF(C8&lt;&gt;"",'CALCULATOR SHEET'!M16,"")</f>
        <v/>
      </c>
      <c r="S8" s="230" t="str">
        <f>IF(D8&lt;&gt;"",'CALCULATOR SHEET'!N16,"")</f>
        <v/>
      </c>
      <c r="T8" s="232"/>
      <c r="U8" s="246"/>
      <c r="V8" s="246"/>
      <c r="W8" s="230" t="str">
        <f>IF(C8&lt;&gt;"",'CALCULATOR SHEET'!R16,"")</f>
        <v/>
      </c>
      <c r="X8" s="230"/>
      <c r="Y8" s="230">
        <v>1</v>
      </c>
      <c r="Z8" s="232"/>
      <c r="AA8" s="232" t="str">
        <f>IF(C8&lt;&gt;"",'CALCULATOR SHEET'!$H$9,"")</f>
        <v/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6"/>
      <c r="V9" s="246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16.5</v>
      </c>
      <c r="AK7" s="36">
        <f>'CALCULATOR SHEET'!J13</f>
        <v>116.5</v>
      </c>
      <c r="AL7" s="36" t="e">
        <f>IF(AJ7=0,"",MATCH(CEILING(AJ7,6),$D$4:$Z$4,0))</f>
        <v>#N/A</v>
      </c>
      <c r="AM7" s="36">
        <f>IF(AK7=0,"",MATCH(CEILING(AK7,6),$C$7:$C$28,0))</f>
        <v>17</v>
      </c>
      <c r="AN7" s="57" t="e">
        <f>IF(AL7="","",INDEX($D$7:$Z$28,AM7,AL7))</f>
        <v>#N/A</v>
      </c>
      <c r="AO7" s="58"/>
      <c r="AP7" s="57" t="e">
        <f>IF(AJ7&gt;0,HLOOKUP(CEILING(AJ7,6),$D$30:$Z$31,2,0),"")</f>
        <v>#N/A</v>
      </c>
      <c r="AQ7" s="57" t="e">
        <f>IF(AJ7&gt;0,HLOOKUP(CEILING(AJ7,6),$D$33:$Z$34,2,0),"")</f>
        <v>#N/A</v>
      </c>
      <c r="AR7" s="59" t="e">
        <f>IF(AJ7&gt;0,HLOOKUP(CEILING(AJ7,6),$D$36:$Z$37,2,0))</f>
        <v>#N/A</v>
      </c>
      <c r="AS7" s="57" t="e">
        <f>IF(AL7="","",INDEX($AX$6:$BT$27,AM7,AL7))</f>
        <v>#N/A</v>
      </c>
      <c r="AT7" s="37">
        <f>IF(AK7&gt;0,VLOOKUP(CEILING(AK7,6),$AA$7:$AB$28,2,0),"")</f>
        <v>100</v>
      </c>
      <c r="AU7" s="109">
        <f>IF(AK7&gt;0,VLOOKUP(CEILING(AK7,6),$AA$7:$AC$28,3,0),"")</f>
        <v>13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70.5</v>
      </c>
      <c r="AK8" s="36">
        <f>'CALCULATOR SHEET'!J14</f>
        <v>116.5</v>
      </c>
      <c r="AL8" s="36">
        <f t="shared" ref="AL8:AL71" si="0">IF(AJ8=0,"",MATCH(CEILING(AJ8,6),$D$4:$Z$4,0))</f>
        <v>9</v>
      </c>
      <c r="AM8" s="36">
        <f t="shared" ref="AM8:AM71" si="1">IF(AK8=0,"",MATCH(CEILING(AK8,6),$C$7:$C$28,0))</f>
        <v>17</v>
      </c>
      <c r="AN8" s="57">
        <f t="shared" ref="AN8:AN71" si="2">IF(AL8="","",INDEX($D$7:$Z$28,AM8,AL8))</f>
        <v>206</v>
      </c>
      <c r="AO8" s="58"/>
      <c r="AP8" s="57">
        <f t="shared" ref="AP8:AP71" si="3">IF(AJ8&gt;0,HLOOKUP(CEILING(AJ8,6),$D$30:$Z$31,2,0),"")</f>
        <v>74</v>
      </c>
      <c r="AQ8" s="57">
        <f t="shared" ref="AQ8:AQ71" si="4">IF(AJ8&gt;0,HLOOKUP(CEILING(AJ8,6),$D$33:$Z$34,2,0),"")</f>
        <v>81</v>
      </c>
      <c r="AR8" s="59">
        <f t="shared" ref="AR8:AR71" si="5">IF(AJ8&gt;0,HLOOKUP(CEILING(AJ8,6),$D$36:$Z$37,2,0))</f>
        <v>44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100</v>
      </c>
      <c r="AU8" s="109">
        <f t="shared" ref="AU8:AU71" si="8">IF(AK8&gt;0,VLOOKUP(CEILING(AK8,6),$AA$7:$AC$28,3,0),"")</f>
        <v>13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41.625</v>
      </c>
      <c r="AK9" s="36">
        <f>'CALCULATOR SHEET'!J15</f>
        <v>87</v>
      </c>
      <c r="AL9" s="36">
        <f t="shared" si="0"/>
        <v>4</v>
      </c>
      <c r="AM9" s="36">
        <f t="shared" si="1"/>
        <v>12</v>
      </c>
      <c r="AN9" s="57">
        <f t="shared" si="2"/>
        <v>116</v>
      </c>
      <c r="AO9" s="58"/>
      <c r="AP9" s="57">
        <f t="shared" si="3"/>
        <v>59</v>
      </c>
      <c r="AQ9" s="57">
        <f t="shared" si="4"/>
        <v>50</v>
      </c>
      <c r="AR9" s="59">
        <f t="shared" si="5"/>
        <v>26</v>
      </c>
      <c r="AS9" s="57">
        <f t="shared" si="6"/>
        <v>471</v>
      </c>
      <c r="AT9" s="37">
        <f t="shared" si="7"/>
        <v>75</v>
      </c>
      <c r="AU9" s="109">
        <f t="shared" si="8"/>
        <v>10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16.5</v>
      </c>
      <c r="AK7" s="53">
        <f>'CALCULATOR SHEET'!J13</f>
        <v>116.5</v>
      </c>
      <c r="AL7" s="53" t="e">
        <f>IF(AJ7=0,"",MATCH(CEILING(AJ7,6),$D$4:$Z$4,0))</f>
        <v>#N/A</v>
      </c>
      <c r="AM7" s="53">
        <f>IF(AK7=0,"",MATCH(CEILING(AK7,6),$C$7:$C$28,0))</f>
        <v>17</v>
      </c>
      <c r="AN7" s="54" t="e">
        <f>IF(AL7="","",INDEX($D$7:$Z$28,AM7,AL7))</f>
        <v>#N/A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70.5</v>
      </c>
      <c r="AK8" s="53">
        <f>'CALCULATOR SHEET'!J14</f>
        <v>116.5</v>
      </c>
      <c r="AL8" s="53">
        <f t="shared" ref="AL8:AL71" si="0">IF(AJ8=0,"",MATCH(CEILING(AJ8,6),$D$4:$Z$4,0))</f>
        <v>9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223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41.625</v>
      </c>
      <c r="AK9" s="53">
        <f>'CALCULATOR SHEET'!J15</f>
        <v>87</v>
      </c>
      <c r="AL9" s="53">
        <f t="shared" si="0"/>
        <v>4</v>
      </c>
      <c r="AM9" s="53">
        <f t="shared" si="1"/>
        <v>12</v>
      </c>
      <c r="AN9" s="54">
        <f t="shared" si="2"/>
        <v>124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16.5</v>
      </c>
      <c r="AK7" s="53">
        <f>'CALCULATOR SHEET'!J13</f>
        <v>116.5</v>
      </c>
      <c r="AL7" s="53" t="e">
        <f t="shared" ref="AL7:AL70" si="0">IF(AJ7=0,"",MATCH(CEILING(AJ7,6),$D$4:$Z$4,0))</f>
        <v>#N/A</v>
      </c>
      <c r="AM7" s="53">
        <f>IF(AK7=0,"",MATCH(CEILING(AK7,6),$C$7:$C$28,0))</f>
        <v>17</v>
      </c>
      <c r="AN7" s="54" t="e">
        <f t="shared" ref="AN7:AN70" si="1">IF(AL7="","",INDEX($D$7:$Z$28,AM7,AL7))</f>
        <v>#N/A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70.5</v>
      </c>
      <c r="AK8" s="53">
        <f>'CALCULATOR SHEET'!J14</f>
        <v>116.5</v>
      </c>
      <c r="AL8" s="53">
        <f t="shared" si="0"/>
        <v>9</v>
      </c>
      <c r="AM8" s="53">
        <f t="shared" ref="AM8:AM71" si="2">IF(AK8=0,"",MATCH(CEILING(AK8,6),$C$7:$C$28,0))</f>
        <v>17</v>
      </c>
      <c r="AN8" s="54">
        <f t="shared" si="1"/>
        <v>260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41.625</v>
      </c>
      <c r="AK9" s="53">
        <f>'CALCULATOR SHEET'!J15</f>
        <v>87</v>
      </c>
      <c r="AL9" s="53">
        <f t="shared" si="0"/>
        <v>4</v>
      </c>
      <c r="AM9" s="53">
        <f t="shared" si="2"/>
        <v>12</v>
      </c>
      <c r="AN9" s="54">
        <f t="shared" si="1"/>
        <v>141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2025-07-16T23:47:30Z</cp:lastPrinted>
  <dcterms:created xsi:type="dcterms:W3CDTF">2016-09-27T19:33:28Z</dcterms:created>
  <dcterms:modified xsi:type="dcterms:W3CDTF">2025-11-15T19:56:01Z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