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1925EG-1 YURI C.O RESTAURANT ESTACIONARIOS\"/>
    </mc:Choice>
  </mc:AlternateContent>
  <xr:revisionPtr revIDLastSave="0" documentId="8_{641189A0-3ADD-4AC5-B859-69E8B9CBF1AD}" xr6:coauthVersionLast="47" xr6:coauthVersionMax="47" xr10:uidLastSave="{00000000-0000-0000-0000-000000000000}"/>
  <bookViews>
    <workbookView xWindow="2868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4" i="5" l="1"/>
  <c r="AC65" i="5"/>
  <c r="J15" i="5"/>
  <c r="BG17" i="5"/>
  <c r="BD17" i="5"/>
  <c r="BC17" i="5"/>
  <c r="BB17" i="5"/>
  <c r="AZ17" i="5"/>
  <c r="AY17" i="5"/>
  <c r="BH17" i="5" s="1"/>
  <c r="AX17" i="5"/>
  <c r="AT17" i="5"/>
  <c r="AS17" i="5"/>
  <c r="AU17" i="5" s="1"/>
  <c r="AK17" i="5"/>
  <c r="AJ17" i="5"/>
  <c r="AL17" i="5" s="1"/>
  <c r="AH17" i="5"/>
  <c r="AG17" i="5"/>
  <c r="AF17" i="5"/>
  <c r="AE17" i="5"/>
  <c r="B17" i="5"/>
  <c r="BD16" i="5"/>
  <c r="BD15" i="5"/>
  <c r="BB15" i="5"/>
  <c r="O7" i="5"/>
  <c r="AC7" i="5"/>
  <c r="AI17" i="5" l="1"/>
  <c r="AP17" i="5" s="1"/>
  <c r="AN17" i="5"/>
  <c r="AO17" i="5"/>
  <c r="BE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I19" i="5" s="1"/>
  <c r="AM19" i="5" s="1"/>
  <c r="AG19" i="5"/>
  <c r="AJ19" i="5" s="1"/>
  <c r="AH19" i="5"/>
  <c r="AK19" i="5"/>
  <c r="AL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AE20" i="5"/>
  <c r="AF20" i="5"/>
  <c r="AI20" i="5" s="1"/>
  <c r="AG20" i="5"/>
  <c r="AH20" i="5"/>
  <c r="AJ20" i="5"/>
  <c r="AL20" i="5" s="1"/>
  <c r="AK20" i="5"/>
  <c r="AS20" i="5"/>
  <c r="AT20" i="5"/>
  <c r="AU20" i="5" s="1"/>
  <c r="AX20" i="5"/>
  <c r="BG20" i="5" s="1"/>
  <c r="BI20" i="5" s="1"/>
  <c r="W20" i="5" s="1"/>
  <c r="AY20" i="5"/>
  <c r="BH20" i="5" s="1"/>
  <c r="AZ20" i="5"/>
  <c r="BB20" i="5"/>
  <c r="BC20" i="5" s="1"/>
  <c r="BD20" i="5"/>
  <c r="AE21" i="5"/>
  <c r="AF21" i="5"/>
  <c r="AG21" i="5"/>
  <c r="AH21" i="5"/>
  <c r="AI21" i="5"/>
  <c r="AM21" i="5" s="1"/>
  <c r="AJ21" i="5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AE22" i="5"/>
  <c r="AF22" i="5"/>
  <c r="AG22" i="5"/>
  <c r="AH22" i="5"/>
  <c r="AI22" i="5"/>
  <c r="AM22" i="5" s="1"/>
  <c r="AJ22" i="5"/>
  <c r="AL22" i="5" s="1"/>
  <c r="AK22" i="5"/>
  <c r="AS22" i="5"/>
  <c r="AT22" i="5"/>
  <c r="AU22" i="5" s="1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J23" i="5" s="1"/>
  <c r="AH23" i="5"/>
  <c r="AK23" i="5"/>
  <c r="AS23" i="5"/>
  <c r="AT23" i="5"/>
  <c r="AU23" i="5"/>
  <c r="AX23" i="5"/>
  <c r="AY23" i="5"/>
  <c r="BH23" i="5" s="1"/>
  <c r="AZ23" i="5"/>
  <c r="BB23" i="5"/>
  <c r="BC23" i="5"/>
  <c r="BD23" i="5"/>
  <c r="BG23" i="5"/>
  <c r="AE24" i="5"/>
  <c r="AF24" i="5"/>
  <c r="AG24" i="5"/>
  <c r="AJ24" i="5" s="1"/>
  <c r="AH24" i="5"/>
  <c r="AI24" i="5"/>
  <c r="AM24" i="5" s="1"/>
  <c r="AK24" i="5"/>
  <c r="AL24" i="5" s="1"/>
  <c r="AR24" i="5"/>
  <c r="AS24" i="5"/>
  <c r="AT24" i="5"/>
  <c r="AU24" i="5" s="1"/>
  <c r="AV24" i="5" s="1"/>
  <c r="AW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M17" i="5" l="1"/>
  <c r="AR17" i="5"/>
  <c r="AV17" i="5" s="1"/>
  <c r="AW17" i="5" s="1"/>
  <c r="AQ17" i="5"/>
  <c r="BA17" i="5"/>
  <c r="BF17" i="5" s="1"/>
  <c r="AU19" i="5"/>
  <c r="AN19" i="5"/>
  <c r="AO19" i="5" s="1"/>
  <c r="BE19" i="5" s="1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L15" i="5" s="1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N24" i="5"/>
  <c r="AO24" i="5"/>
  <c r="BE24" i="5" s="1"/>
  <c r="AP24" i="5"/>
  <c r="AL23" i="5"/>
  <c r="AR23" i="5"/>
  <c r="AV23" i="5" s="1"/>
  <c r="AW23" i="5" s="1"/>
  <c r="AM23" i="5"/>
  <c r="AO20" i="5"/>
  <c r="BE20" i="5" s="1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O21" i="5"/>
  <c r="BE21" i="5" s="1"/>
  <c r="AP21" i="5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BJ17" i="5" l="1"/>
  <c r="T17" i="5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N18" i="5"/>
  <c r="AO18" i="5" s="1"/>
  <c r="BE18" i="5" s="1"/>
  <c r="BA24" i="5"/>
  <c r="BF24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BF20" i="5" s="1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Z17" i="5" l="1"/>
  <c r="AA17" i="5" s="1"/>
  <c r="AB17" i="5"/>
  <c r="AC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BJ20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AQ18" i="5" l="1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18" i="5" l="1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B16" i="5"/>
  <c r="BC16" i="5" s="1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130B551-B451-4632-8AEA-14B9A73E5D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0F620DF-9D9F-4AA9-B0AB-164C53A275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1AE0E27-D79F-4443-93CB-08F1EFCB73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5E092B1B-7DE4-475C-978E-8731CB3E03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5E529609-4F40-440F-B21E-AF3AA2AD2A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11E41C9E-0D07-46E7-B393-775A0F3224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B881EA0-A121-4EF3-9D1F-891230B01C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C144FFE8-2E16-4D2E-B840-DD636F181A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7821BD80-7C0F-4C8D-855B-D2B596F640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D76280BF-0BC3-4DA9-AF4C-474DC4B16C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FF1FFF14-D515-40EC-8678-4A861CC8D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698DCEC7-1827-46F4-99C8-225647880E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0607128-CD0F-4BDE-BC15-A2757796E0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949B9528-39CF-4FB7-B3FD-394363BBF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B335A014-DC80-4DBA-B134-864226B92A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61C884-2BEF-4141-9094-4CED4CC88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8D2BE6F-A691-4D5B-9987-DCD215EC36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8AC0292D-1605-4046-8853-41755AE499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<sst xmlns="http://schemas.openxmlformats.org/spreadsheetml/2006/main" count="9378" uniqueCount="757">
  <si>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</si>
  <si>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</si>
  <si>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</si>
  <si>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</si>
  <si>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</si>
  <si>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</si>
  <si>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</si>
  <si>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</si>
  <si>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</si>
  <si>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</si>
  <si>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</si>
  <si>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</si>
  <si>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</si>
  <si>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</si>
  <si>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</si>
  <si>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</si>
  <si>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</si>
  <si>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</si>
  <si>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</si>
  <si>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</si>
  <si>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</si>
  <si>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</si>
  <si>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</si>
  <si>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</si>
  <si>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</si>
  <si>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</si>
  <si>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</si>
  <si>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</si>
  <si>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</si>
  <si>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</si>
  <si>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</si>
  <si>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</si>
  <si>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</si>
  <si>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</si>
  <si>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</si>
  <si>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</si>
  <si>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</si>
  <si>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</si>
  <si>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</si>
  <si>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</si>
  <si>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</si>
  <si>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</si>
  <si>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</si>
  <si>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</si>
  <si>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</si>
  <si>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</si>
  <si>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</si>
  <si>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</si>
  <si>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</si>
  <si>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</si>
  <si>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</si>
  <si>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</si>
  <si>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</si>
  <si>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</si>
  <si>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</si>
  <si>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</si>
  <si>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</si>
  <si>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</si>
  <si>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</si>
  <si>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</si>
  <si>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</si>
  <si>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</si>
  <si>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</si>
  <si>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</si>
  <si>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</si>
  <si>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</si>
  <si>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</si>
  <si>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</si>
  <si>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</si>
  <si>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</si>
  <si>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</si>
  <si>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</si>
  <si>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</si>
  <si>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</si>
  <si>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</si>
  <si>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</si>
  <si>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</si>
  <si>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</si>
  <si>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</si>
  <si>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</si>
  <si>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</si>
  <si>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</si>
  <si>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</si>
  <si>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</si>
  <si>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</si>
  <si>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</si>
  <si>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</si>
  <si>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</si>
  <si>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</si>
  <si>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</si>
  <si>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</si>
  <si>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</si>
  <si>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</si>
  <si>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</si>
  <si>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</si>
  <si>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</si>
  <si>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</si>
  <si>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</si>
  <si>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</si>
  <si>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</si>
  <si>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</si>
  <si>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</si>
  <si>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</si>
  <si>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</si>
  <si>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</si>
  <si>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</si>
  <si>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</si>
  <si>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</si>
  <si>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</si>
  <si>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</si>
  <si>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</si>
  <si>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</si>
  <si>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</si>
  <si>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</si>
  <si>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</si>
  <si>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</si>
  <si>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</si>
  <si>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</si>
  <si>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</si>
  <si>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</si>
  <si>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</si>
  <si>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</si>
  <si>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</si>
  <si>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</si>
  <si>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</si>
  <si>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</si>
  <si>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</si>
  <si>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</si>
  <si>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</si>
  <si>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</si>
  <si>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</si>
  <si>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</si>
  <si>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</si>
  <si>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</si>
  <si>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</si>
  <si>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</si>
  <si>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</si>
  <si>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</si>
  <si>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</si>
  <si>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</si>
  <si>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</si>
  <si>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</si>
  <si>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</si>
  <si>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</si>
  <si>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</si>
  <si>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</si>
  <si>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</si>
  <si>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</si>
  <si>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</si>
  <si>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</si>
  <si>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</si>
  <si>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</si>
  <si>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</si>
  <si>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</si>
  <si>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</si>
  <si>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</si>
  <si>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</si>
  <si>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</si>
  <si>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</si>
  <si>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</si>
  <si>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</si>
  <si>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</si>
  <si>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</si>
  <si>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</si>
  <si>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</si>
  <si>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</si>
  <si>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</si>
  <si>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</si>
  <si>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</si>
  <si>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</si>
  <si>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</si>
  <si>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</si>
  <si>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</si>
  <si>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</si>
  <si>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</si>
  <si>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</si>
  <si>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</si>
  <si>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</si>
  <si>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</si>
  <si>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</si>
  <si>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</si>
  <si>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</si>
  <si>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</si>
  <si>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</si>
  <si>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</si>
  <si>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</si>
  <si>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</si>
  <si>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</si>
  <si>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</si>
  <si>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</si>
  <si>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</si>
  <si>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</si>
  <si>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</si>
  <si>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</si>
  <si>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</si>
  <si>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</si>
  <si>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</si>
  <si>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</si>
  <si>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</si>
  <si>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</si>
  <si>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</si>
  <si>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</si>
  <si>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</si>
  <si>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</si>
  <si>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</si>
  <si>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</si>
  <si>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</si>
  <si>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</si>
  <si>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</si>
  <si>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</si>
  <si>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</si>
  <si>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</si>
  <si>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</si>
  <si>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</si>
  <si>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</si>
  <si>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</si>
  <si>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</si>
  <si>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</si>
  <si>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</si>
  <si>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</si>
  <si>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</si>
  <si>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</si>
  <si>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</si>
  <si>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</si>
  <si>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</si>
  <si>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</si>
  <si>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</si>
  <si>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</si>
  <si>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</si>
  <si>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</si>
  <si>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</si>
  <si>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</si>
  <si>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</si>
  <si>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</si>
  <si>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</si>
  <si>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</si>
  <si>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</si>
  <si>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</si>
  <si>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</si>
  <si>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</si>
  <si>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</si>
  <si>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</si>
  <si>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</si>
  <si>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</si>
  <si>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</si>
  <si>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</si>
  <si>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</si>
  <si>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</si>
  <si>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</si>
  <si>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</si>
  <si>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</si>
  <si>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</si>
  <si>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</si>
  <si>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</si>
  <si>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</si>
  <si>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</si>
  <si>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</si>
  <si>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</si>
  <si>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</si>
  <si>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</si>
  <si>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</si>
  <si>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</si>
  <si>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</si>
  <si>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</si>
  <si>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</si>
  <si>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</si>
  <si>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</si>
  <si>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</si>
  <si>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</si>
  <si>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</si>
  <si>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</si>
  <si>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</si>
  <si>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</si>
  <si>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</si>
  <si>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</si>
  <si>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</si>
  <si>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</si>
  <si>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</si>
  <si>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</si>
  <si>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</si>
  <si>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</si>
  <si>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</si>
  <si>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</si>
  <si>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</si>
  <si>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</si>
  <si>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</si>
  <si>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</si>
  <si>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</si>
  <si>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</si>
  <si>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</si>
  <si>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</si>
  <si>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</si>
  <si>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</si>
  <si>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</si>
  <si>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</si>
  <si>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</si>
  <si>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</si>
  <si>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</si>
  <si>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</si>
  <si>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</si>
  <si>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</si>
  <si>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</si>
  <si>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</si>
  <si>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</si>
  <si>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</si>
  <si>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</si>
  <si>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</si>
  <si>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</si>
  <si>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</si>
  <si>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</si>
  <si>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</si>
  <si>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</si>
  <si>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</si>
  <si>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</si>
  <si>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</si>
  <si>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</si>
  <si>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</si>
  <si>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</si>
  <si>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</si>
  <si>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</si>
  <si>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</si>
  <si>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</si>
  <si>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</si>
  <si>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</si>
  <si>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</si>
  <si>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</si>
  <si>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</si>
  <si>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</si>
  <si>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</si>
  <si>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</si>
  <si>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</si>
  <si>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</si>
  <si>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</si>
  <si>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</si>
  <si>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</si>
  <si>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</si>
  <si>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</si>
  <si>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</si>
  <si>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</si>
  <si>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</si>
  <si>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</si>
  <si>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</si>
  <si>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</si>
  <si>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</si>
  <si>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</si>
  <si>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</si>
  <si>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</si>
  <si>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</si>
  <si>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</si>
  <si>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</si>
  <si>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</si>
  <si>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</si>
  <si>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</si>
  <si>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</si>
  <si>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</si>
  <si>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</si>
  <si>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</si>
  <si>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</si>
  <si>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</si>
  <si>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</si>
  <si>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</si>
  <si>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</si>
  <si>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</si>
  <si>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</si>
  <si>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</si>
  <si>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</si>
  <si>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</si>
  <si>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</si>
  <si>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</si>
  <si>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</si>
  <si>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</si>
  <si>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</si>
  <si>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</si>
  <si>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</si>
  <si>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</si>
  <si>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</si>
  <si>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</si>
  <si>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</si>
  <si>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</si>
  <si>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</si>
  <si>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</si>
  <si>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</si>
  <si>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</si>
  <si>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</si>
  <si>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</si>
  <si>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</si>
  <si>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</si>
  <si>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</si>
  <si>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</si>
  <si>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</si>
  <si>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</si>
  <si>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</si>
  <si>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</si>
  <si>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</si>
  <si>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</si>
  <si>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</si>
  <si>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</si>
  <si>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</si>
  <si>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</si>
  <si>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</si>
  <si>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</si>
  <si>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</si>
  <si>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</si>
  <si>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</si>
  <si>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</si>
  <si>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</si>
  <si>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</si>
  <si>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</si>
  <si>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</si>
  <si>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</si>
  <si>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</si>
  <si>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</si>
  <si>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</si>
  <si>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</si>
  <si>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</si>
  <si>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</si>
  <si>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</si>
  <si>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</si>
  <si>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</si>
  <si>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</si>
  <si>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</si>
  <si>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</si>
  <si>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</si>
  <si>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</si>
  <si>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</si>
  <si>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</si>
  <si>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</si>
  <si>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</si>
  <si>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</si>
  <si>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</si>
  <si>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</si>
  <si>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</si>
  <si>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</si>
  <si>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</si>
  <si>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</si>
  <si>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</si>
  <si>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</si>
  <si>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</si>
  <si>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</si>
  <si>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</si>
  <si>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</si>
  <si>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</si>
  <si>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</si>
  <si>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</si>
  <si>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</si>
  <si>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</si>
  <si>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</si>
  <si>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</si>
  <si>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</si>
  <si>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</si>
  <si>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</si>
  <si>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</si>
  <si>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</si>
  <si>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</si>
  <si>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</si>
  <si>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</si>
  <si>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</si>
  <si>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</si>
  <si>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</si>
  <si>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</si>
  <si>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</si>
  <si>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</si>
  <si>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</si>
  <si>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</si>
  <si>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</si>
  <si>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</si>
  <si>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</si>
  <si>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</si>
  <si>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</si>
  <si>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</si>
  <si>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</si>
  <si>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</si>
  <si>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</si>
  <si>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</si>
  <si>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</si>
  <si>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</si>
  <si>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</si>
  <si>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</si>
  <si>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</si>
  <si>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</si>
  <si>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</si>
  <si>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</si>
  <si>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</si>
  <si>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</si>
  <si>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</si>
  <si>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</si>
  <si>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</si>
  <si>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</si>
  <si>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</si>
  <si>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</si>
  <si>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</si>
  <si>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</si>
  <si>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</si>
  <si>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</si>
  <si>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</si>
  <si>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</si>
  <si>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</si>
  <si>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</si>
  <si>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</si>
  <si>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</si>
  <si>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</si>
  <si>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</si>
  <si>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</si>
  <si>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</si>
  <si>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</si>
  <si>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</si>
  <si>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</si>
  <si>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</si>
  <si>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</si>
  <si>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</si>
  <si>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</si>
  <si>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</si>
  <si>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</si>
  <si>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</si>
  <si>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</si>
  <si>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</si>
  <si>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</si>
  <si>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</si>
  <si>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</si>
  <si>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</si>
  <si>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</si>
  <si>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</si>
  <si>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</si>
  <si>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</si>
  <si>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</si>
  <si>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</si>
  <si>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</si>
  <si>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</si>
  <si>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</si>
  <si>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</si>
  <si>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</si>
  <si>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</si>
  <si>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</si>
  <si>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</si>
  <si>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</si>
  <si>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</si>
  <si>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</si>
  <si>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</si>
  <si>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</si>
  <si>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</si>
  <si>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</si>
  <si>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</si>
  <si>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</si>
  <si>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</si>
  <si>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</si>
  <si>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</si>
  <si>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</si>
  <si>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</si>
  <si>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</si>
  <si>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</si>
  <si>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</si>
  <si>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</si>
  <si>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</si>
  <si>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</si>
  <si>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</si>
  <si>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</si>
  <si>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</si>
  <si>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</si>
  <si>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</si>
  <si>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</si>
  <si>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</si>
  <si>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</si>
  <si>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</si>
  <si>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</si>
  <si>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</si>
  <si>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</si>
  <si>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</si>
  <si>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</si>
  <si>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</si>
  <si>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</si>
  <si>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</si>
  <si>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</si>
  <si>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</si>
  <si>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</si>
  <si>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</si>
  <si>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</si>
  <si>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</si>
  <si>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</si>
  <si>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</si>
  <si>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</si>
  <si>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</si>
  <si>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</si>
  <si>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</si>
  <si>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</si>
  <si>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</si>
  <si>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</si>
  <si>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</si>
  <si>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</si>
  <si>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</si>
  <si>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</si>
  <si>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</si>
  <si>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</si>
  <si>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</si>
  <si>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</si>
  <si>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</si>
  <si>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</si>
  <si>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</si>
  <si>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</si>
  <si>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</si>
  <si>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</si>
  <si>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</si>
  <si>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</si>
  <si>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</si>
  <si>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</si>
  <si>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</si>
  <si>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</si>
  <si>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</si>
  <si>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</si>
  <si>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</si>
  <si>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</si>
  <si>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</si>
  <si>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</si>
  <si>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</si>
  <si>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</si>
  <si>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</si>
  <si>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</si>
  <si>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</si>
  <si>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</si>
  <si>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</si>
  <si>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</si>
  <si>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</si>
  <si>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</si>
  <si>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</si>
  <si>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</si>
  <si>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</si>
  <si>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</si>
  <si>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</si>
  <si>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</si>
  <si>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</si>
  <si>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</si>
  <si>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</si>
  <si>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</si>
  <si>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</si>
  <si>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</si>
  <si>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</si>
  <si>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</si>
  <si>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</si>
  <si>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</si>
  <si>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</si>
  <si>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</si>
  <si>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</si>
  <si>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</si>
  <si>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</si>
  <si>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</si>
  <si>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</si>
  <si>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</si>
  <si>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</si>
  <si>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</si>
  <si>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</si>
  <si>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</si>
  <si>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</si>
  <si>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</si>
  <si>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</si>
  <si>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</si>
  <si>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</si>
  <si>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</si>
  <si>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</si>
  <si>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</si>
  <si>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</si>
  <si>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</si>
  <si>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</si>
  <si>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</si>
  <si>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</si>
  <si>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</si>
  <si>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</si>
  <si>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</si>
  <si>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</si>
  <si>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</si>
  <si>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</si>
  <si>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</si>
  <si>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</si>
  <si>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</si>
  <si>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</si>
  <si>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</si>
  <si>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</si>
  <si>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</si>
  <si>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</si>
  <si>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</si>
  <si>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</si>
  <si>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</si>
  <si>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</si>
  <si>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</si>
  <si>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</si>
  <si>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</si>
  <si>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</si>
  <si>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</si>
  <si>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</si>
  <si>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</si>
  <si>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</si>
  <si>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</si>
  <si>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</si>
  <si>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</si>
  <si>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</si>
  <si>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</si>
  <si>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</si>
  <si>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</si>
  <si>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</si>
  <si>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</si>
  <si>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</si>
  <si>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</si>
  <si>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</si>
  <si>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</si>
  <si>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</si>
  <si>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</si>
  <si>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</si>
  <si>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</si>
  <si>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</si>
  <si>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</si>
  <si>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</si>
  <si>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</si>
  <si>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</si>
  <si>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</si>
  <si>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</si>
  <si>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</si>
  <si>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</si>
  <si>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</si>
  <si>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</si>
  <si>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</si>
  <si>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</si>
  <si>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</si>
  <si>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</si>
  <si>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</si>
  <si>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</si>
  <si>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</si>
  <si>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</si>
  <si>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</si>
  <si>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</si>
  <si>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</si>
  <si>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</si>
  <si>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</si>
  <si>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</si>
  <si>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</si>
  <si>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</si>
  <si>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</si>
  <si>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</si>
  <si>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</si>
  <si>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</si>
  <si>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</si>
  <si>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</si>
  <si>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</si>
  <si>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</si>
  <si>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</si>
  <si>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</si>
  <si>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</si>
  <si>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</si>
  <si>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</si>
  <si>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</si>
  <si>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</si>
  <si>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</si>
  <si>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</si>
  <si>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TERGAL</t>
  </si>
  <si>
    <t>SALA A</t>
  </si>
  <si>
    <t>2 SECCIONES DE TELAS ESTACIONARIAS PARA INSTALACION, SELECCION DE TELA PENDIENTE Y MEDIDA DE ALTURA - INSTALACION Y FABRICACION</t>
  </si>
  <si>
    <t>RESTAURANT</t>
  </si>
  <si>
    <t>YURI C.O</t>
  </si>
  <si>
    <t>TIJUANA</t>
  </si>
  <si>
    <t>BS 111925EG-1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</si>
</sst>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4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0" fillId="2" borderId="0" xfId="0" applyFont="1" applyFill="1" applyAlignment="1" applyProtection="1">
      <alignment horizontal="center" vertical="center"/>
      <protection hidden="1"/>
    </xf>
    <xf numFmtId="0" fontId="38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6" fontId="5" fillId="2" borderId="0" xfId="3" applyFont="1" applyFill="1" applyBorder="1" applyAlignment="1" applyProtection="1">
      <alignment horizontal="center" vertical="center"/>
      <protection hidden="1"/>
    </xf>
    <xf numFmtId="166" fontId="6" fillId="2" borderId="0" xfId="3" applyFont="1" applyFill="1" applyBorder="1" applyAlignment="1" applyProtection="1">
      <alignment horizontal="center" vertical="center"/>
      <protection hidden="1"/>
    </xf>
    <xf numFmtId="166" fontId="6" fillId="2" borderId="0" xfId="0" applyNumberFormat="1" applyFont="1" applyFill="1" applyAlignment="1" applyProtection="1">
      <alignment vertical="center"/>
      <protection hidden="1"/>
    </xf>
    <xf numFmtId="44" fontId="6" fillId="17" borderId="0" xfId="0" applyNumberFormat="1" applyFont="1" applyFill="1" applyAlignment="1" applyProtection="1">
      <alignment horizontal="center" vertical="center"/>
      <protection hidden="1"/>
    </xf>
    <xf numFmtId="166" fontId="18" fillId="17" borderId="0" xfId="0" applyNumberFormat="1" applyFont="1" applyFill="1" applyAlignment="1" applyProtection="1">
      <alignment vertical="center"/>
      <protection hidden="1"/>
    </xf>
    <xf numFmtId="170" fontId="60" fillId="23" borderId="0" xfId="2" applyNumberFormat="1" applyFont="1" applyFill="1" applyBorder="1" applyAlignment="1" applyProtection="1">
      <alignment horizontal="center" vertical="center"/>
      <protection hidden="1"/>
    </xf>
    <xf numFmtId="166" fontId="6" fillId="24" borderId="0" xfId="0" applyNumberFormat="1" applyFont="1" applyFill="1" applyAlignment="1" applyProtection="1">
      <alignment vertical="center"/>
      <protection hidden="1"/>
    </xf>
    <xf numFmtId="166" fontId="7" fillId="25" borderId="73" xfId="0" applyNumberFormat="1" applyFont="1" applyFill="1" applyBorder="1" applyAlignment="1" applyProtection="1">
      <alignment vertical="center"/>
      <protection hidden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A4" zoomScale="70" zoomScaleNormal="70" workbookViewId="0">
      <selection activeCell="O72" sqref="O72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111925EG-1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RESTAURANT</v>
      </c>
      <c r="L4" s="340"/>
      <c r="N4" s="340" t="str">
        <f>'FILL QUOTE-CALCULATIONS'!O6</f>
        <v>TIJUANA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YURI C.O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45980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3" t="str">
        <f>'FILL QUOTE-CALCULATIONS'!P12:S12</f>
        <v>HARDWARE</v>
      </c>
      <c r="Q10" s="903"/>
      <c r="R10" s="903"/>
      <c r="S10" s="903"/>
      <c r="T10" s="352" t="str">
        <f>'FILL QUOTE-CALCULATIONS'!T12</f>
        <v>DRAPERIES</v>
      </c>
      <c r="U10" s="352" t="str">
        <f>'FILL QUOTE-CALCULATIONS'!W12</f>
        <v>HARDWARE</v>
      </c>
      <c r="V10" s="903" t="str">
        <f>'FILL QUOTE-CALCULATIONS'!AB12</f>
        <v>TOTALS</v>
      </c>
      <c r="W10" s="903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3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8</v>
      </c>
      <c r="D12" s="360" t="str">
        <f>IF(OR(C12&lt;1,C12=""),"",IF('FILL QUOTE-CALCULATIONS'!$S$4="INGLES",'FILL QUOTE-CALCULATIONS'!D15,VLOOKUP('FILL QUOTE-CALCULATIONS'!D15,'DROP LIST'!$B$7:$C$13,2,0)))</f>
        <v>STAT.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SHEER</v>
      </c>
      <c r="G12" s="361">
        <f>IF(OR(C12&lt;1,C12=""),"",'FILL QUOTE-CALCULATIONS'!G15)</f>
        <v>1.5</v>
      </c>
      <c r="H12" s="360" t="str">
        <f>IF(OR(C12&lt;1,C12=""),"",IF('FILL QUOTE-CALCULATIONS'!$S$4="INGLES",'FILL QUOTE-CALCULATIONS'!H15,VLOOKUP('FILL QUOTE-CALCULATIONS'!H15,'DROP LIST'!$M$7:$N$10,2,0)))</f>
        <v>STOCK</v>
      </c>
      <c r="I12" s="360" t="str">
        <f>IF(OR(C12&lt;1,C12=""),"",IF('FILL QUOTE-CALCULATIONS'!$S$4="INGLES",'FILL QUOTE-CALCULATIONS'!I15,VLOOKUP('FILL QUOTE-CALCULATIONS'!I15,'DROP LIST'!$M$15:$N$18,2,0)))</f>
        <v>DECORATIVE SHEER</v>
      </c>
      <c r="J12" s="360" t="str">
        <f>'FILL QUOTE-CALCULATIONS'!J15</f>
        <v/>
      </c>
      <c r="K12" s="360" t="str">
        <f>IF(OR(C12&lt;1,C12=""),"",'FILL QUOTE-CALCULATIONS'!K15)</f>
        <v>TERGAL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SALA A</v>
      </c>
      <c r="N12" s="362">
        <f>IF(OR(C12&lt;1,C12=""),"",'FILL QUOTE-CALCULATIONS'!N15)</f>
        <v>102</v>
      </c>
      <c r="O12" s="362">
        <f>IF(OR(C12&lt;1,C12=""),"",'FILL QUOTE-CALCULATIONS'!O15)</f>
        <v>56</v>
      </c>
      <c r="P12" s="360" t="str">
        <f>IF(OR(C12&lt;1,C12=""),"",IF('FILL QUOTE-CALCULATIONS'!$S$4="INGLES",'FILL QUOTE-CALCULATIONS'!P15, VLOOKUP('FILL QUOTE-CALCULATIONS'!P15,'DROP LIST'!$E$25:$F$27,2,0)))</f>
        <v>TO CEILING</v>
      </c>
      <c r="Q12" s="360" t="str">
        <f>IF(OR(C12&lt;1,C12=""),"",IF('FILL QUOTE-CALCULATIONS'!$S$4="INGLES",'FILL QUOTE-CALCULATIONS'!Q15,VLOOKUP('FILL QUOTE-CALCULATIONS'!Q15,'DROP LIST'!$H$25:$I$36,2,0)))</f>
        <v>STD. TRACK - RIPP. -BATON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26.85</v>
      </c>
      <c r="U12" s="364">
        <f>IF(OR(C12&lt;1,C12=""),"",'FILL QUOTE-CALCULATIONS'!W15)</f>
        <v>67</v>
      </c>
      <c r="V12" s="365">
        <f>IF(OR(C12&lt;1,C12=""),"",IF('FILL QUOTE-CALCULATIONS'!$S$3="DOLLARS",'FILL QUOTE-CALCULATIONS'!AB15,'FILL QUOTE-CALCULATIONS'!AB15*'FILL QUOTE-CALCULATIONS'!$AC$4))</f>
        <v>93.85</v>
      </c>
      <c r="W12" s="989">
        <f>IF(OR(C12&lt;1,C12=""),"",IF('FILL QUOTE-CALCULATIONS'!$S$3="DOLLARS",'FILL QUOTE-CALCULATIONS'!AC15,'FILL QUOTE-CALCULATIONS'!AC15*'FILL QUOTE-CALCULATIONS'!$AC$4))</f>
        <v>750.8</v>
      </c>
      <c r="Y12" s="327"/>
      <c r="AA12" s="692" t="s">
        <v>746</v>
      </c>
    </row>
    <row r="13" spans="2:27" s="353" customFormat="1" ht="30" customHeight="1" x14ac:dyDescent="0.25">
      <c r="B13" s="359" t="str">
        <f>IF(OR('FILL QUOTE-CALCULATIONS'!C16=0,'FILL QUOTE-CALCULATIONS'!C16=""),"",'FILL QUOTE-CALCULATIONS'!B16)</f>
        <v/>
      </c>
      <c r="C13" s="360" t="str">
        <f>IF(OR('FILL QUOTE-CALCULATIONS'!C16&lt;1,'FILL QUOTE-CALCULATIONS'!C16=""),"",'FILL QUOTE-CALCULATIONS'!C16)</f>
        <v/>
      </c>
      <c r="D13" s="360" t="str">
        <f>IF(OR(C13&lt;1,C13=""),"",IF('FILL QUOTE-CALCULATIONS'!$S$4="INGLES",'FILL QUOTE-CALCULATIONS'!D16,VLOOKUP('FILL QUOTE-CALCULATIONS'!D16,'DROP LIST'!$B$7:$C$13,2,0)))</f>
        <v/>
      </c>
      <c r="E13" s="360" t="str">
        <f>IF(OR(C13&lt;1,C13=""),"",IF('FILL QUOTE-CALCULATIONS'!$S$4="INGLES",'FILL QUOTE-CALCULATIONS'!E16,VLOOKUP('FILL QUOTE-CALCULATIONS'!E16,'DROP LIST'!$E$7:$F$15,2,0)))</f>
        <v/>
      </c>
      <c r="F13" s="360" t="str">
        <f>IF(OR(C13&lt;1,C13=""),"",IF('FILL QUOTE-CALCULATIONS'!$S$4="INGLES",'FILL QUOTE-CALCULATIONS'!F16,VLOOKUP('FILL QUOTE-CALCULATIONS'!F16,'DROP LIST'!$H$7:$I$19,2,0)))</f>
        <v/>
      </c>
      <c r="G13" s="361" t="str">
        <f>IF(OR(C13&lt;1,C13=""),"",'FILL QUOTE-CALCULATIONS'!G16)</f>
        <v/>
      </c>
      <c r="H13" s="360" t="str">
        <f>IF(OR(C13&lt;1,C13=""),"",IF('FILL QUOTE-CALCULATIONS'!$S$4="INGLES",'FILL QUOTE-CALCULATIONS'!H16,VLOOKUP('FILL QUOTE-CALCULATIONS'!H16,'DROP LIST'!$M$7:$N$10,2,0)))</f>
        <v/>
      </c>
      <c r="I13" s="360" t="str">
        <f>IF(OR(C13&lt;1,C13=""),"",IF('FILL QUOTE-CALCULATIONS'!$S$4="INGLES",'FILL QUOTE-CALCULATIONS'!I16,VLOOKUP('FILL QUOTE-CALCULATIONS'!I16,'DROP LIST'!$M$15:$N$18,2,0)))</f>
        <v/>
      </c>
      <c r="J13" s="360">
        <f>'FILL QUOTE-CALCULATIONS'!J16</f>
        <v>0</v>
      </c>
      <c r="K13" s="360" t="str">
        <f>IF(OR(C13&lt;1,C13=""),"",'FILL QUOTE-CALCULATIONS'!K16)</f>
        <v/>
      </c>
      <c r="L13" s="360" t="str">
        <f>IF(OR(C13&lt;1,C13=""),"",IF('FILL QUOTE-CALCULATIONS'!$S$4="INGLES",'FILL QUOTE-CALCULATIONS'!L16,VLOOKUP('FILL QUOTE-CALCULATIONS'!L16,'DROP LIST'!$B$25:$C$31,2,0)))</f>
        <v/>
      </c>
      <c r="M13" s="360" t="str">
        <f>IF(OR(E13&lt;1,E13=""),"",'FILL QUOTE-CALCULATIONS'!M16)</f>
        <v/>
      </c>
      <c r="N13" s="362" t="str">
        <f>IF(OR(C13&lt;1,C13=""),"",'FILL QUOTE-CALCULATIONS'!N16)</f>
        <v/>
      </c>
      <c r="O13" s="362" t="str">
        <f>IF(OR(C13&lt;1,C13=""),"",'FILL QUOTE-CALCULATIONS'!O16)</f>
        <v/>
      </c>
      <c r="P13" s="360" t="str">
        <f>IF(OR(C13&lt;1,C13=""),"",IF('FILL QUOTE-CALCULATIONS'!$S$4="INGLES",'FILL QUOTE-CALCULATIONS'!P16, VLOOKUP('FILL QUOTE-CALCULATIONS'!P16,'DROP LIST'!$E$25:$F$27,2,0)))</f>
        <v/>
      </c>
      <c r="Q13" s="360" t="str">
        <f>IF(OR(C13&lt;1,C13=""),"",IF('FILL QUOTE-CALCULATIONS'!$S$4="INGLES",'FILL QUOTE-CALCULATIONS'!Q16,VLOOKUP('FILL QUOTE-CALCULATIONS'!Q16,'DROP LIST'!$H$25:$I$36,2,0)))</f>
        <v/>
      </c>
      <c r="R13" s="362" t="str">
        <f>IF('FILL QUOTE-CALCULATIONS'!R16="","",'FILL QUOTE-CALCULATIONS'!R16)</f>
        <v/>
      </c>
      <c r="S13" s="360" t="str">
        <f>IF(OR(C13&lt;1,C13=""),"",IF('FILL QUOTE-CALCULATIONS'!$S$4="INGLES",'FILL QUOTE-CALCULATIONS'!S16,VLOOKUP('FILL QUOTE-CALCULATIONS'!S16,'DROP LIST'!$H$43:$I$46,2,0)))</f>
        <v/>
      </c>
      <c r="T13" s="363" t="str">
        <f>IF(OR(C13&lt;1,C13=""),"",'FILL QUOTE-CALCULATIONS'!T16)</f>
        <v/>
      </c>
      <c r="U13" s="364" t="str">
        <f>IF(OR(C13&lt;1,C13=""),"",'FILL QUOTE-CALCULATIONS'!W16)</f>
        <v/>
      </c>
      <c r="V13" s="365" t="str">
        <f>IF(OR(C13&lt;1,C13=""),"",IF('FILL QUOTE-CALCULATIONS'!$S$3="DOLLARS",'FILL QUOTE-CALCULATIONS'!AB16,'FILL QUOTE-CALCULATIONS'!AB16*'FILL QUOTE-CALCULATIONS'!$AC$4))</f>
        <v/>
      </c>
      <c r="W13" s="366" t="str">
        <f>IF(OR(C13&lt;1,C13=""),"",IF('FILL QUOTE-CALCULATIONS'!$S$3="DOLLARS",'FILL QUOTE-CALCULATIONS'!AC16,'FILL QUOTE-CALCULATIONS'!AC16*'FILL QUOTE-CALCULATIONS'!$AC$4))</f>
        <v/>
      </c>
      <c r="Y13" s="367"/>
      <c r="AA13" s="692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2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2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2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2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2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2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2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2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2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2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2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2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2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2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2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2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2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2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983">
        <f>IF(OR('FILL QUOTE-CALCULATIONS'!C64&lt;1,'FILL QUOTE-CALCULATIONS'!C64=""),"",'FILL QUOTE-CALCULATIONS'!C64)</f>
        <v>2</v>
      </c>
      <c r="D62" s="984" t="str">
        <f>IF(OR('FILL QUOTE-CALCULATIONS'!D64&lt;1,'FILL QUOTE-CALCULATIONS'!D64=""),"",'FILL QUOTE-CALCULATIONS'!D64)</f>
        <v>2 SECCIONES DE TELAS ESTACIONARIAS PARA INSTALACION, SELECCION DE TELA PENDIENTE Y MEDIDA DE ALTURA - INSTALACION Y FABRICACION</v>
      </c>
      <c r="E62" s="985"/>
      <c r="F62" s="985"/>
      <c r="G62" s="379"/>
      <c r="H62" s="379"/>
      <c r="I62" s="379"/>
      <c r="J62" s="379"/>
      <c r="K62" s="985"/>
      <c r="L62" s="985"/>
      <c r="M62" s="985"/>
      <c r="N62" s="985"/>
      <c r="O62" s="985"/>
      <c r="P62" s="985"/>
      <c r="Q62" s="985"/>
      <c r="R62" s="985"/>
      <c r="S62" s="985"/>
      <c r="T62" s="379"/>
      <c r="U62" s="379"/>
      <c r="V62" s="986">
        <f>IF(OR('FILL QUOTE-CALCULATIONS'!AB64&lt;1,'FILL QUOTE-CALCULATIONS'!AB64=""),"",IF('FILL QUOTE-CALCULATIONS'!$S$3="DOLLARS",'FILL QUOTE-CALCULATIONS'!AB64,'FILL QUOTE-CALCULATIONS'!AB64*'FILL QUOTE-CALCULATIONS'!$AC$4))</f>
        <v>400</v>
      </c>
      <c r="W62" s="987">
        <f>IF(V62="","",V62*C62)</f>
        <v>800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990">
        <f>'FILL QUOTE-CALCULATIONS'!AC69</f>
        <v>750.8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3"/>
      <c r="T69" s="393" t="str">
        <f>IF(P69&lt;&gt;"","X","")</f>
        <v/>
      </c>
      <c r="U69" s="393" t="str">
        <f>IF(Q69&lt;&gt;"","X","")</f>
        <v/>
      </c>
      <c r="V69" s="394" t="str">
        <f>IF(OR('FILL QUOTE-CALCULATIONS'!AC70="",'FILL QUOTE-CALCULATIONS'!AC70=0),"",'FILL QUOTE-CALCULATIONS'!AB70)</f>
        <v>PERCENTAGE DISCOUNT (%) =</v>
      </c>
      <c r="W69" s="991">
        <f>IF(OR('FILL QUOTE-CALCULATIONS'!AC70="",'FILL QUOTE-CALCULATIONS'!AC70=0),"",'FILL QUOTE-CALCULATIONS'!AC70)</f>
        <v>0.4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4" t="str">
        <f>IF(OR('FILL QUOTE-CALCULATIONS'!AC71="",'FILL QUOTE-CALCULATIONS'!AC71=0),"",'FILL QUOTE-CALCULATIONS'!AB71)</f>
        <v>MONEY DISCOUNT ( $) =</v>
      </c>
      <c r="W70" s="992">
        <f>IF(OR('FILL QUOTE-CALCULATIONS'!AC71="",'FILL QUOTE-CALCULATIONS'!AC71=0),"",'FILL QUOTE-CALCULATIONS'!AC71)</f>
        <v>300.32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4" t="str">
        <f>IF(OR('FILL QUOTE-CALCULATIONS'!AC72="",'FILL QUOTE-CALCULATIONS'!AC72=0),"",'FILL QUOTE-CALCULATIONS'!AB72)</f>
        <v>ADDITIONAL SERVICES=</v>
      </c>
      <c r="W71" s="988">
        <f>IF(OR('FILL QUOTE-CALCULATIONS'!AC72="",'FILL QUOTE-CALCULATIONS'!AC72=0),"",'FILL QUOTE-CALCULATIONS'!AC72)</f>
        <v>800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5" t="str">
        <f>'FILL QUOTE-CALCULATIONS'!AB73</f>
        <v>GRAND TOTAL =</v>
      </c>
      <c r="W72" s="993">
        <f>'FILL QUOTE-CALCULATIONS'!AC73</f>
        <v>1250.48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6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397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398"/>
      <c r="W74" s="265"/>
      <c r="Y74" s="354"/>
    </row>
    <row r="75" spans="1:25" s="353" customFormat="1" ht="42" customHeight="1" x14ac:dyDescent="1.1000000000000001">
      <c r="B75" s="399" t="s">
        <v>227</v>
      </c>
      <c r="D75" s="369"/>
      <c r="E75" s="400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1" t="str">
        <f>'FILL QUOTE-CALCULATIONS'!AA76</f>
        <v>Quoted by:</v>
      </c>
      <c r="V76" s="904" t="str">
        <f>'FILL QUOTE-CALCULATIONS'!AB76</f>
        <v>ESAU GOMEZ</v>
      </c>
      <c r="W76" s="904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2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2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3" t="s">
        <v>330</v>
      </c>
      <c r="C85" s="404"/>
      <c r="D85" s="405"/>
      <c r="E85" s="404"/>
      <c r="F85" s="404"/>
      <c r="G85" s="404"/>
      <c r="H85" s="404"/>
      <c r="I85" s="404"/>
      <c r="J85" s="404"/>
      <c r="K85" s="404"/>
      <c r="L85" s="404"/>
      <c r="M85" s="404"/>
      <c r="N85" s="404"/>
      <c r="O85" s="404"/>
    </row>
    <row r="86" spans="1:25" ht="28.5" x14ac:dyDescent="0.45">
      <c r="B86" s="404"/>
      <c r="C86" s="404"/>
      <c r="D86" s="406" t="s">
        <v>331</v>
      </c>
      <c r="E86" s="404"/>
      <c r="F86" s="404"/>
      <c r="G86" s="404"/>
      <c r="H86" s="404"/>
      <c r="I86" s="404"/>
      <c r="J86" s="404"/>
      <c r="K86" s="404"/>
      <c r="L86" s="404"/>
      <c r="M86" s="404"/>
      <c r="N86" s="404"/>
      <c r="O86" s="404"/>
    </row>
    <row r="87" spans="1:25" ht="28.5" x14ac:dyDescent="0.45">
      <c r="B87" s="404"/>
      <c r="C87" s="404"/>
      <c r="D87" s="406" t="s">
        <v>332</v>
      </c>
      <c r="E87" s="404"/>
      <c r="F87" s="404"/>
      <c r="G87" s="404"/>
      <c r="H87" s="404"/>
      <c r="I87" s="404"/>
      <c r="J87" s="404"/>
      <c r="K87" s="404"/>
      <c r="L87" s="404"/>
      <c r="M87" s="404"/>
      <c r="N87" s="404"/>
      <c r="O87" s="404"/>
    </row>
    <row r="88" spans="1:25" ht="28.5" x14ac:dyDescent="0.45">
      <c r="B88" s="404"/>
      <c r="C88" s="404"/>
      <c r="D88" s="406" t="s">
        <v>333</v>
      </c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09" t="str">
        <f>IF(S4="INGLES","DRAPERIES","CORTINAS")</f>
        <v>CORTINAS</v>
      </c>
      <c r="C12" s="910"/>
      <c r="D12" s="910"/>
      <c r="E12" s="910"/>
      <c r="F12" s="910"/>
      <c r="G12" s="910"/>
      <c r="H12" s="910"/>
      <c r="I12" s="910"/>
      <c r="J12" s="910"/>
      <c r="K12" s="910"/>
      <c r="L12" s="910"/>
      <c r="M12" s="910"/>
      <c r="N12" s="910"/>
      <c r="O12" s="911"/>
      <c r="P12" s="909" t="str">
        <f>IF(S4="INGLES","HARDWARE","HERRAJE")</f>
        <v>HERRAJE</v>
      </c>
      <c r="Q12" s="910"/>
      <c r="R12" s="910"/>
      <c r="S12" s="910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09" t="str">
        <f>IF(S4="INGLES","TOTALS","TOTALES")</f>
        <v>TOTALES</v>
      </c>
      <c r="AI12" s="911"/>
      <c r="AJ12" s="181"/>
      <c r="AK12" s="963" t="s">
        <v>256</v>
      </c>
      <c r="AL12" s="963"/>
      <c r="AM12" s="963"/>
      <c r="AN12" s="964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5" t="s">
        <v>258</v>
      </c>
      <c r="AY12" s="907"/>
      <c r="AZ12" s="907"/>
      <c r="BA12" s="907"/>
      <c r="BB12" s="907"/>
      <c r="BC12" s="906"/>
      <c r="BD12" s="905" t="s">
        <v>189</v>
      </c>
      <c r="BE12" s="906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8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-P.P. - H-RAIL HW'!$S4="INGLES","UNIT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131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08">
        <f t="shared" ref="T15:T62" si="1">IF(OR(C15&lt;1,C15=""),"",BL15)</f>
        <v>342.70000000000005</v>
      </c>
      <c r="U15" s="557">
        <f>T15*0.7*0.6*0.6</f>
        <v>86.360399999999998</v>
      </c>
      <c r="V15" s="564"/>
      <c r="W15" s="564"/>
      <c r="X15" s="564"/>
      <c r="Y15" s="519"/>
      <c r="Z15" s="631">
        <f>AVERAGE(Z17:Z20,Z23:Z26,Z29:Z32,Z35:Z38)</f>
        <v>0.14078820088993857</v>
      </c>
      <c r="AA15" s="409">
        <f t="shared" ref="AA15:AA62" si="2">IF(OR(C15&lt;1,C15=""),"",BO15)</f>
        <v>408.35</v>
      </c>
      <c r="AB15" s="557">
        <f>AA15*0.7*0.6*0.6</f>
        <v>102.90419999999999</v>
      </c>
      <c r="AC15" s="564"/>
      <c r="AD15" s="564"/>
      <c r="AE15" s="564"/>
      <c r="AF15" s="519"/>
      <c r="AG15" s="631">
        <f>AVERAGE(AG17:AG20,AG23:AG26,AG29:AG32,AG35:AG38)</f>
        <v>0.47402679073342796</v>
      </c>
      <c r="AH15" s="408">
        <f t="shared" ref="AH15:AH62" si="3">IF(OR(C15&lt;1,C15=""),"",T15+AA15)</f>
        <v>751.05000000000007</v>
      </c>
      <c r="AI15" s="409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131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08">
        <f t="shared" si="1"/>
        <v>561.55000000000007</v>
      </c>
      <c r="U16" s="557">
        <f t="shared" ref="U16:U62" si="29">T16*0.7*0.6*0.6</f>
        <v>141.51059999999998</v>
      </c>
      <c r="V16" s="564"/>
      <c r="W16" s="564"/>
      <c r="X16" s="564"/>
      <c r="Y16" s="519"/>
      <c r="Z16" s="570">
        <f>AVERAGE(Z17:Z20)</f>
        <v>0.2059626719499123</v>
      </c>
      <c r="AA16" s="409">
        <f t="shared" si="2"/>
        <v>408.35</v>
      </c>
      <c r="AB16" s="557">
        <f>AA16*0.7*0.6*0.6</f>
        <v>102.90419999999999</v>
      </c>
      <c r="AC16" s="564"/>
      <c r="AD16" s="564"/>
      <c r="AE16" s="564"/>
      <c r="AF16" s="519"/>
      <c r="AG16" s="570">
        <f>AVERAGE(AG17:AG20)</f>
        <v>0.55652311071041327</v>
      </c>
      <c r="AH16" s="408">
        <f t="shared" si="3"/>
        <v>969.90000000000009</v>
      </c>
      <c r="AI16" s="409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0">
        <v>1</v>
      </c>
      <c r="D17" s="501" t="s">
        <v>298</v>
      </c>
      <c r="E17" s="502" t="s">
        <v>131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08">
        <f t="shared" si="1"/>
        <v>335</v>
      </c>
      <c r="U17" s="557">
        <f t="shared" si="29"/>
        <v>84.419999999999987</v>
      </c>
      <c r="V17" s="565">
        <v>2767.92</v>
      </c>
      <c r="W17" s="564">
        <f>V17/$W$11</f>
        <v>138.39600000000002</v>
      </c>
      <c r="X17" s="564">
        <f>W17*$X$11</f>
        <v>27.679200000000005</v>
      </c>
      <c r="Y17" s="519">
        <f>W17-X17</f>
        <v>110.71680000000001</v>
      </c>
      <c r="Z17" s="569">
        <f>(Y17-U17)/Y17</f>
        <v>0.23751409000260137</v>
      </c>
      <c r="AA17" s="409">
        <f t="shared" si="2"/>
        <v>408.35</v>
      </c>
      <c r="AB17" s="557">
        <f>AA17*0.7*0.6*0.6</f>
        <v>102.90419999999999</v>
      </c>
      <c r="AC17" s="565">
        <f>5480.05+320.94</f>
        <v>5800.99</v>
      </c>
      <c r="AD17" s="564">
        <f>AC17/$AD$11</f>
        <v>290.04949999999997</v>
      </c>
      <c r="AE17" s="564">
        <f>AD17*$AE$11</f>
        <v>58.009899999999995</v>
      </c>
      <c r="AF17" s="519">
        <f>AD17-AE17</f>
        <v>232.03959999999998</v>
      </c>
      <c r="AG17" s="569">
        <f>(AF17-AB17)/AF17</f>
        <v>0.55652311071041327</v>
      </c>
      <c r="AH17" s="408">
        <f t="shared" si="3"/>
        <v>743.35</v>
      </c>
      <c r="AI17" s="409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0">
        <v>1</v>
      </c>
      <c r="D18" s="501" t="s">
        <v>298</v>
      </c>
      <c r="E18" s="502" t="s">
        <v>131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08">
        <f t="shared" si="1"/>
        <v>470.8</v>
      </c>
      <c r="U18" s="557">
        <f t="shared" si="29"/>
        <v>118.64159999999998</v>
      </c>
      <c r="V18" s="565">
        <f>3997.08</f>
        <v>3997.08</v>
      </c>
      <c r="W18" s="564">
        <f>V18/$W$11</f>
        <v>199.85399999999998</v>
      </c>
      <c r="X18" s="564">
        <f>W18*$X$11</f>
        <v>39.970799999999997</v>
      </c>
      <c r="Y18" s="519">
        <f>W18-X18</f>
        <v>159.88319999999999</v>
      </c>
      <c r="Z18" s="569">
        <f>(Y18-U18)/Y18</f>
        <v>0.25794830226065035</v>
      </c>
      <c r="AA18" s="409">
        <f>IF(OR(C18&lt;1,C18=""),"",BO18)</f>
        <v>408.35</v>
      </c>
      <c r="AB18" s="557">
        <f>AA18*0.7*0.6*0.6</f>
        <v>102.90419999999999</v>
      </c>
      <c r="AC18" s="565">
        <f>5480.05+320.94</f>
        <v>5800.99</v>
      </c>
      <c r="AD18" s="564">
        <f>AC18/$AD$11</f>
        <v>290.04949999999997</v>
      </c>
      <c r="AE18" s="564">
        <f>AD18*$AE$11</f>
        <v>58.009899999999995</v>
      </c>
      <c r="AF18" s="519">
        <f>AD18-AE18</f>
        <v>232.03959999999998</v>
      </c>
      <c r="AG18" s="569">
        <f>(AF18-AB18)/AF18</f>
        <v>0.55652311071041327</v>
      </c>
      <c r="AH18" s="408">
        <f t="shared" si="3"/>
        <v>879.15000000000009</v>
      </c>
      <c r="AI18" s="409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0">
        <v>1</v>
      </c>
      <c r="D19" s="501" t="s">
        <v>298</v>
      </c>
      <c r="E19" s="502" t="s">
        <v>131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08">
        <f t="shared" si="1"/>
        <v>505.15000000000003</v>
      </c>
      <c r="U19" s="557">
        <f t="shared" si="29"/>
        <v>127.2978</v>
      </c>
      <c r="V19" s="565">
        <f>4176.47</f>
        <v>4176.47</v>
      </c>
      <c r="W19" s="564">
        <f>V19/$W$11</f>
        <v>208.82350000000002</v>
      </c>
      <c r="X19" s="564">
        <f>W19*$X$11</f>
        <v>41.764700000000005</v>
      </c>
      <c r="Y19" s="519">
        <f>W19-X19</f>
        <v>167.05880000000002</v>
      </c>
      <c r="Z19" s="569">
        <f>(Y19-U19)/Y19</f>
        <v>0.23800601943746763</v>
      </c>
      <c r="AA19" s="409">
        <f t="shared" si="2"/>
        <v>408.35</v>
      </c>
      <c r="AB19" s="557">
        <f t="shared" ref="AB19:AB62" si="34">AA19*0.7*0.6*0.6</f>
        <v>102.90419999999999</v>
      </c>
      <c r="AC19" s="565">
        <f>5480.05+320.94</f>
        <v>5800.99</v>
      </c>
      <c r="AD19" s="564">
        <f>AC19/$AD$11</f>
        <v>290.04949999999997</v>
      </c>
      <c r="AE19" s="564">
        <f>AD19*$AE$11</f>
        <v>58.009899999999995</v>
      </c>
      <c r="AF19" s="519">
        <f>AD19-AE19</f>
        <v>232.03959999999998</v>
      </c>
      <c r="AG19" s="569">
        <f>(AF19-AB19)/AF19</f>
        <v>0.55652311071041327</v>
      </c>
      <c r="AH19" s="408">
        <f t="shared" si="3"/>
        <v>913.5</v>
      </c>
      <c r="AI19" s="409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0">
        <v>1</v>
      </c>
      <c r="D20" s="501" t="s">
        <v>298</v>
      </c>
      <c r="E20" s="502" t="s">
        <v>131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08">
        <f t="shared" si="1"/>
        <v>618.40000000000009</v>
      </c>
      <c r="U20" s="557">
        <f t="shared" si="29"/>
        <v>155.83680000000001</v>
      </c>
      <c r="V20" s="565">
        <f>4283.03</f>
        <v>4283.03</v>
      </c>
      <c r="W20" s="564">
        <f>V20/$W$11</f>
        <v>214.1515</v>
      </c>
      <c r="X20" s="564">
        <f>W20*$X$11</f>
        <v>42.830300000000001</v>
      </c>
      <c r="Y20" s="519">
        <f>W20-X20</f>
        <v>171.3212</v>
      </c>
      <c r="Z20" s="569">
        <f>(Y20-U20)/Y20</f>
        <v>9.0382276098929917E-2</v>
      </c>
      <c r="AA20" s="409">
        <f t="shared" si="2"/>
        <v>408.35</v>
      </c>
      <c r="AB20" s="557">
        <f t="shared" si="34"/>
        <v>102.90419999999999</v>
      </c>
      <c r="AC20" s="565">
        <f>5480.05+320.94</f>
        <v>5800.99</v>
      </c>
      <c r="AD20" s="564">
        <f>AC20/$AD$11</f>
        <v>290.04949999999997</v>
      </c>
      <c r="AE20" s="564">
        <f>AD20*$AE$11</f>
        <v>58.009899999999995</v>
      </c>
      <c r="AF20" s="519">
        <f>AD20-AE20</f>
        <v>232.03959999999998</v>
      </c>
      <c r="AG20" s="569">
        <f>(AF20-AB20)/AF20</f>
        <v>0.55652311071041327</v>
      </c>
      <c r="AH20" s="408">
        <f t="shared" si="3"/>
        <v>1026.75</v>
      </c>
      <c r="AI20" s="409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4">
        <v>1</v>
      </c>
      <c r="D21" s="545" t="s">
        <v>298</v>
      </c>
      <c r="E21" s="546" t="s">
        <v>131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08">
        <f t="shared" si="1"/>
        <v>459.25</v>
      </c>
      <c r="U21" s="557">
        <f t="shared" si="29"/>
        <v>115.73099999999997</v>
      </c>
      <c r="V21" s="565"/>
      <c r="W21" s="565"/>
      <c r="X21" s="564"/>
      <c r="Y21" s="519"/>
      <c r="Z21" s="519"/>
      <c r="AA21" s="409">
        <f t="shared" si="2"/>
        <v>531.85</v>
      </c>
      <c r="AB21" s="557">
        <f t="shared" si="34"/>
        <v>134.02619999999999</v>
      </c>
      <c r="AC21" s="565"/>
      <c r="AD21" s="565"/>
      <c r="AE21" s="564"/>
      <c r="AF21" s="519"/>
      <c r="AG21" s="519"/>
      <c r="AH21" s="408">
        <f t="shared" si="3"/>
        <v>991.1</v>
      </c>
      <c r="AI21" s="409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38">
        <v>1</v>
      </c>
      <c r="D22" s="539" t="s">
        <v>298</v>
      </c>
      <c r="E22" s="540" t="s">
        <v>131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08">
        <f t="shared" si="1"/>
        <v>752.80000000000007</v>
      </c>
      <c r="U22" s="557">
        <f t="shared" si="29"/>
        <v>189.70559999999998</v>
      </c>
      <c r="V22" s="565"/>
      <c r="W22" s="565"/>
      <c r="X22" s="564"/>
      <c r="Y22" s="519"/>
      <c r="Z22" s="570">
        <f>AVERAGE(Z23:Z26)</f>
        <v>0.14614017499195722</v>
      </c>
      <c r="AA22" s="409">
        <f t="shared" si="2"/>
        <v>531.85</v>
      </c>
      <c r="AB22" s="557">
        <f t="shared" si="34"/>
        <v>134.02619999999999</v>
      </c>
      <c r="AC22" s="565"/>
      <c r="AD22" s="565"/>
      <c r="AE22" s="564"/>
      <c r="AF22" s="519"/>
      <c r="AG22" s="570">
        <f>AVERAGE(AG23:AG26)</f>
        <v>0.50954229480553137</v>
      </c>
      <c r="AH22" s="408">
        <f t="shared" si="3"/>
        <v>1284.6500000000001</v>
      </c>
      <c r="AI22" s="409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0">
        <v>1</v>
      </c>
      <c r="D23" s="501" t="s">
        <v>298</v>
      </c>
      <c r="E23" s="502" t="s">
        <v>131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08">
        <f t="shared" si="1"/>
        <v>448.95000000000005</v>
      </c>
      <c r="U23" s="557">
        <f t="shared" si="29"/>
        <v>113.13539999999999</v>
      </c>
      <c r="V23" s="565">
        <f>3448.29</f>
        <v>3448.29</v>
      </c>
      <c r="W23" s="564">
        <f>V23/$W$11</f>
        <v>172.4145</v>
      </c>
      <c r="X23" s="564">
        <f>W23*$X$11</f>
        <v>34.482900000000001</v>
      </c>
      <c r="Y23" s="519">
        <f>W23-X23</f>
        <v>137.9316</v>
      </c>
      <c r="Z23" s="569">
        <f>(Y23-U23)/Y23</f>
        <v>0.17977171293597705</v>
      </c>
      <c r="AA23" s="409">
        <f t="shared" si="2"/>
        <v>531.85</v>
      </c>
      <c r="AB23" s="557">
        <f t="shared" si="34"/>
        <v>134.02619999999999</v>
      </c>
      <c r="AC23" s="565">
        <f>6510.75+320.94</f>
        <v>6831.69</v>
      </c>
      <c r="AD23" s="564">
        <f>AC23/$AD$11</f>
        <v>341.58449999999999</v>
      </c>
      <c r="AE23" s="564">
        <f>AD23*$AE$11</f>
        <v>68.316900000000004</v>
      </c>
      <c r="AF23" s="519">
        <f>AD23-AE23</f>
        <v>273.26760000000002</v>
      </c>
      <c r="AG23" s="569">
        <f>(AF23-AB23)/AF23</f>
        <v>0.50954229480553137</v>
      </c>
      <c r="AH23" s="408">
        <f t="shared" si="3"/>
        <v>980.80000000000007</v>
      </c>
      <c r="AI23" s="409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0">
        <v>1</v>
      </c>
      <c r="D24" s="501" t="s">
        <v>298</v>
      </c>
      <c r="E24" s="502" t="s">
        <v>131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08">
        <f t="shared" si="1"/>
        <v>631.1</v>
      </c>
      <c r="U24" s="557">
        <f t="shared" si="29"/>
        <v>159.03719999999996</v>
      </c>
      <c r="V24" s="565">
        <v>4988.5200000000004</v>
      </c>
      <c r="W24" s="564">
        <f>V24/$W$11</f>
        <v>249.42600000000002</v>
      </c>
      <c r="X24" s="564">
        <f>W24*$X$11</f>
        <v>49.885200000000005</v>
      </c>
      <c r="Y24" s="519">
        <f>W24-X24</f>
        <v>199.54080000000002</v>
      </c>
      <c r="Z24" s="569">
        <f>(Y24-U24)/Y24</f>
        <v>0.20298405138197331</v>
      </c>
      <c r="AA24" s="409">
        <f t="shared" si="2"/>
        <v>531.85</v>
      </c>
      <c r="AB24" s="557">
        <f t="shared" si="34"/>
        <v>134.02619999999999</v>
      </c>
      <c r="AC24" s="565">
        <f>6510.75+320.94</f>
        <v>6831.69</v>
      </c>
      <c r="AD24" s="564">
        <f>AC24/$AD$11</f>
        <v>341.58449999999999</v>
      </c>
      <c r="AE24" s="564">
        <f>AD24*$AE$11</f>
        <v>68.316900000000004</v>
      </c>
      <c r="AF24" s="519">
        <f>AD24-AE24</f>
        <v>273.26760000000002</v>
      </c>
      <c r="AG24" s="569">
        <f>(AF24-AB24)/AF24</f>
        <v>0.50954229480553137</v>
      </c>
      <c r="AH24" s="408">
        <f t="shared" si="3"/>
        <v>1162.95</v>
      </c>
      <c r="AI24" s="409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0">
        <v>1</v>
      </c>
      <c r="D25" s="501" t="s">
        <v>298</v>
      </c>
      <c r="E25" s="502" t="s">
        <v>131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08">
        <f t="shared" si="1"/>
        <v>677.2</v>
      </c>
      <c r="U25" s="557">
        <f t="shared" si="29"/>
        <v>170.65439999999998</v>
      </c>
      <c r="V25" s="565">
        <f>5205.22</f>
        <v>5205.22</v>
      </c>
      <c r="W25" s="564">
        <f>V25/$W$11</f>
        <v>260.26100000000002</v>
      </c>
      <c r="X25" s="564">
        <f>W25*$X$11</f>
        <v>52.052200000000006</v>
      </c>
      <c r="Y25" s="519">
        <f>W25-X25</f>
        <v>208.20880000000002</v>
      </c>
      <c r="Z25" s="569">
        <f>(Y25-U25)/Y25</f>
        <v>0.18036893733598214</v>
      </c>
      <c r="AA25" s="409">
        <f t="shared" si="2"/>
        <v>531.85</v>
      </c>
      <c r="AB25" s="557">
        <f t="shared" si="34"/>
        <v>134.02619999999999</v>
      </c>
      <c r="AC25" s="565">
        <f>6510.75+320.94</f>
        <v>6831.69</v>
      </c>
      <c r="AD25" s="564">
        <f>AC25/$AD$11</f>
        <v>341.58449999999999</v>
      </c>
      <c r="AE25" s="564">
        <f>AD25*$AE$11</f>
        <v>68.316900000000004</v>
      </c>
      <c r="AF25" s="519">
        <f>AD25-AE25</f>
        <v>273.26760000000002</v>
      </c>
      <c r="AG25" s="569">
        <f>(AF25-AB25)/AF25</f>
        <v>0.50954229480553137</v>
      </c>
      <c r="AH25" s="408">
        <f t="shared" si="3"/>
        <v>1209.0500000000002</v>
      </c>
      <c r="AI25" s="409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0">
        <v>1</v>
      </c>
      <c r="D26" s="501" t="s">
        <v>298</v>
      </c>
      <c r="E26" s="502" t="s">
        <v>131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08">
        <f t="shared" si="1"/>
        <v>829.1</v>
      </c>
      <c r="U26" s="557">
        <f t="shared" si="29"/>
        <v>208.93319999999997</v>
      </c>
      <c r="V26" s="565">
        <f>5337.75</f>
        <v>5337.75</v>
      </c>
      <c r="W26" s="564">
        <f>V26/$W$11</f>
        <v>266.88749999999999</v>
      </c>
      <c r="X26" s="564">
        <f>W26*$X$11</f>
        <v>53.377499999999998</v>
      </c>
      <c r="Y26" s="519">
        <f>W26-X26</f>
        <v>213.51</v>
      </c>
      <c r="Z26" s="569">
        <f>(Y26-U26)/Y26</f>
        <v>2.14359983138964E-2</v>
      </c>
      <c r="AA26" s="409">
        <f t="shared" si="2"/>
        <v>531.85</v>
      </c>
      <c r="AB26" s="557">
        <f t="shared" si="34"/>
        <v>134.02619999999999</v>
      </c>
      <c r="AC26" s="565">
        <f>6510.75+320.94</f>
        <v>6831.69</v>
      </c>
      <c r="AD26" s="564">
        <f>AC26/$AD$11</f>
        <v>341.58449999999999</v>
      </c>
      <c r="AE26" s="564">
        <f>AD26*$AE$11</f>
        <v>68.316900000000004</v>
      </c>
      <c r="AF26" s="519">
        <f>AD26-AE26</f>
        <v>273.26760000000002</v>
      </c>
      <c r="AG26" s="569">
        <f>(AF26-AB26)/AF26</f>
        <v>0.50954229480553137</v>
      </c>
      <c r="AH26" s="408">
        <f t="shared" si="3"/>
        <v>1360.95</v>
      </c>
      <c r="AI26" s="409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4">
        <v>1</v>
      </c>
      <c r="D27" s="545" t="s">
        <v>298</v>
      </c>
      <c r="E27" s="546" t="s">
        <v>131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08">
        <f t="shared" si="1"/>
        <v>568.80000000000007</v>
      </c>
      <c r="U27" s="557">
        <f t="shared" si="29"/>
        <v>143.33760000000001</v>
      </c>
      <c r="V27" s="565"/>
      <c r="W27" s="565"/>
      <c r="X27" s="564"/>
      <c r="Y27" s="519"/>
      <c r="Z27" s="519"/>
      <c r="AA27" s="409">
        <f t="shared" si="2"/>
        <v>655.40000000000009</v>
      </c>
      <c r="AB27" s="557">
        <f t="shared" si="34"/>
        <v>165.16080000000002</v>
      </c>
      <c r="AC27" s="565"/>
      <c r="AD27" s="565"/>
      <c r="AE27" s="564"/>
      <c r="AF27" s="519"/>
      <c r="AG27" s="519"/>
      <c r="AH27" s="408">
        <f t="shared" si="3"/>
        <v>1224.2000000000003</v>
      </c>
      <c r="AI27" s="409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38">
        <v>1</v>
      </c>
      <c r="D28" s="539" t="s">
        <v>298</v>
      </c>
      <c r="E28" s="540" t="s">
        <v>131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08">
        <f t="shared" si="1"/>
        <v>931.75</v>
      </c>
      <c r="U28" s="557">
        <f t="shared" si="29"/>
        <v>234.80099999999993</v>
      </c>
      <c r="V28" s="565"/>
      <c r="W28" s="565"/>
      <c r="X28" s="564"/>
      <c r="Y28" s="519"/>
      <c r="Z28" s="570">
        <f>AVERAGE(Z29:Z32)</f>
        <v>0.1174794713209369</v>
      </c>
      <c r="AA28" s="409">
        <f t="shared" si="2"/>
        <v>655.40000000000009</v>
      </c>
      <c r="AB28" s="557">
        <f t="shared" si="34"/>
        <v>165.16080000000002</v>
      </c>
      <c r="AC28" s="565"/>
      <c r="AD28" s="565"/>
      <c r="AE28" s="564"/>
      <c r="AF28" s="519"/>
      <c r="AG28" s="570">
        <f>AVERAGE(AG29:AG32)</f>
        <v>0.43937042513411451</v>
      </c>
      <c r="AH28" s="408">
        <f t="shared" si="3"/>
        <v>1587.15</v>
      </c>
      <c r="AI28" s="409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0">
        <v>1</v>
      </c>
      <c r="D29" s="501" t="s">
        <v>298</v>
      </c>
      <c r="E29" s="502" t="s">
        <v>131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08">
        <f t="shared" si="1"/>
        <v>556.05000000000007</v>
      </c>
      <c r="U29" s="557">
        <f t="shared" si="29"/>
        <v>140.12459999999999</v>
      </c>
      <c r="V29" s="565">
        <f>4127.3</f>
        <v>4127.3</v>
      </c>
      <c r="W29" s="564">
        <f>V29/$W$11</f>
        <v>206.36500000000001</v>
      </c>
      <c r="X29" s="564">
        <f>W29*$X$11</f>
        <v>41.273000000000003</v>
      </c>
      <c r="Y29" s="519">
        <f>W29-X29</f>
        <v>165.09200000000001</v>
      </c>
      <c r="Z29" s="569">
        <f>(Y29-U29)/Y29</f>
        <v>0.1512332517626537</v>
      </c>
      <c r="AA29" s="409">
        <f t="shared" si="2"/>
        <v>655.40000000000009</v>
      </c>
      <c r="AB29" s="557">
        <f t="shared" si="34"/>
        <v>165.16080000000002</v>
      </c>
      <c r="AC29" s="565">
        <f>7044.03+320.94</f>
        <v>7364.9699999999993</v>
      </c>
      <c r="AD29" s="564">
        <f>AC29/$AD$11</f>
        <v>368.24849999999998</v>
      </c>
      <c r="AE29" s="564">
        <f>AD29*$AE$11</f>
        <v>73.649699999999996</v>
      </c>
      <c r="AF29" s="519">
        <f>AD29-AE29</f>
        <v>294.59879999999998</v>
      </c>
      <c r="AG29" s="569">
        <f>(AF29-AB29)/AF29</f>
        <v>0.43937042513411451</v>
      </c>
      <c r="AH29" s="408">
        <f t="shared" si="3"/>
        <v>1211.4500000000003</v>
      </c>
      <c r="AI29" s="409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0">
        <v>1</v>
      </c>
      <c r="D30" s="501" t="s">
        <v>298</v>
      </c>
      <c r="E30" s="502" t="s">
        <v>131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08">
        <f t="shared" si="1"/>
        <v>781.30000000000007</v>
      </c>
      <c r="U30" s="557">
        <f t="shared" si="29"/>
        <v>196.88759999999996</v>
      </c>
      <c r="V30" s="565">
        <f>5979.96</f>
        <v>5979.96</v>
      </c>
      <c r="W30" s="564">
        <f>V30/$W$11</f>
        <v>298.99799999999999</v>
      </c>
      <c r="X30" s="564">
        <f>W30*$X$11</f>
        <v>59.799599999999998</v>
      </c>
      <c r="Y30" s="519">
        <f>W30-X30</f>
        <v>239.19839999999999</v>
      </c>
      <c r="Z30" s="569">
        <f>(Y30-U30)/Y30</f>
        <v>0.17688579856721462</v>
      </c>
      <c r="AA30" s="409">
        <f t="shared" si="2"/>
        <v>655.40000000000009</v>
      </c>
      <c r="AB30" s="557">
        <f t="shared" si="34"/>
        <v>165.16080000000002</v>
      </c>
      <c r="AC30" s="565">
        <f>7044.03+320.94</f>
        <v>7364.9699999999993</v>
      </c>
      <c r="AD30" s="564">
        <f>AC30/$AD$11</f>
        <v>368.24849999999998</v>
      </c>
      <c r="AE30" s="564">
        <f>AD30*$AE$11</f>
        <v>73.649699999999996</v>
      </c>
      <c r="AF30" s="519">
        <f>AD30-AE30</f>
        <v>294.59879999999998</v>
      </c>
      <c r="AG30" s="569">
        <f>(AF30-AB30)/AF30</f>
        <v>0.43937042513411451</v>
      </c>
      <c r="AH30" s="408">
        <f t="shared" si="3"/>
        <v>1436.7000000000003</v>
      </c>
      <c r="AI30" s="409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0">
        <v>1</v>
      </c>
      <c r="D31" s="501" t="s">
        <v>298</v>
      </c>
      <c r="E31" s="502" t="s">
        <v>131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08">
        <f t="shared" si="1"/>
        <v>838.25</v>
      </c>
      <c r="U31" s="557">
        <f t="shared" si="29"/>
        <v>211.239</v>
      </c>
      <c r="V31" s="565">
        <v>6235.34</v>
      </c>
      <c r="W31" s="564">
        <f>V31/$W$11</f>
        <v>311.767</v>
      </c>
      <c r="X31" s="564">
        <f>W31*$X$11</f>
        <v>62.353400000000001</v>
      </c>
      <c r="Y31" s="519">
        <f>W31-X31</f>
        <v>249.4136</v>
      </c>
      <c r="Z31" s="569">
        <f>(Y31-U31)/Y31</f>
        <v>0.15305741146433072</v>
      </c>
      <c r="AA31" s="409">
        <f t="shared" si="2"/>
        <v>655.40000000000009</v>
      </c>
      <c r="AB31" s="557">
        <f t="shared" si="34"/>
        <v>165.16080000000002</v>
      </c>
      <c r="AC31" s="565">
        <f>7044.03+320.94</f>
        <v>7364.9699999999993</v>
      </c>
      <c r="AD31" s="564">
        <f>AC31/$AD$11</f>
        <v>368.24849999999998</v>
      </c>
      <c r="AE31" s="564">
        <f>AD31*$AE$11</f>
        <v>73.649699999999996</v>
      </c>
      <c r="AF31" s="519">
        <f>AD31-AE31</f>
        <v>294.59879999999998</v>
      </c>
      <c r="AG31" s="569">
        <f>(AF31-AB31)/AF31</f>
        <v>0.43937042513411451</v>
      </c>
      <c r="AH31" s="408">
        <f t="shared" si="3"/>
        <v>1493.65</v>
      </c>
      <c r="AI31" s="409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0">
        <v>1</v>
      </c>
      <c r="D32" s="501" t="s">
        <v>298</v>
      </c>
      <c r="E32" s="502" t="s">
        <v>131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08">
        <f t="shared" si="1"/>
        <v>1026.1000000000001</v>
      </c>
      <c r="U32" s="557">
        <f t="shared" si="29"/>
        <v>258.5772</v>
      </c>
      <c r="V32" s="565">
        <f>6392.46</f>
        <v>6392.46</v>
      </c>
      <c r="W32" s="564">
        <f>V32/$W$11</f>
        <v>319.62299999999999</v>
      </c>
      <c r="X32" s="564">
        <f>W32*$X$11</f>
        <v>63.924599999999998</v>
      </c>
      <c r="Y32" s="519">
        <f>W32-X32</f>
        <v>255.69839999999999</v>
      </c>
      <c r="Z32" s="569">
        <f>(Y32-U32)/Y32</f>
        <v>-1.1258576510451425E-2</v>
      </c>
      <c r="AA32" s="409">
        <f t="shared" si="2"/>
        <v>655.40000000000009</v>
      </c>
      <c r="AB32" s="557">
        <f t="shared" si="34"/>
        <v>165.16080000000002</v>
      </c>
      <c r="AC32" s="565">
        <f>7044.03+320.94</f>
        <v>7364.9699999999993</v>
      </c>
      <c r="AD32" s="564">
        <f>AC32/$AD$11</f>
        <v>368.24849999999998</v>
      </c>
      <c r="AE32" s="564">
        <f>AD32*$AE$11</f>
        <v>73.649699999999996</v>
      </c>
      <c r="AF32" s="519">
        <f>AD32-AE32</f>
        <v>294.59879999999998</v>
      </c>
      <c r="AG32" s="569">
        <f>(AF32-AB32)/AF32</f>
        <v>0.43937042513411451</v>
      </c>
      <c r="AH32" s="408">
        <f t="shared" si="3"/>
        <v>1681.5000000000002</v>
      </c>
      <c r="AI32" s="409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4">
        <v>1</v>
      </c>
      <c r="D33" s="545" t="s">
        <v>298</v>
      </c>
      <c r="E33" s="546" t="s">
        <v>131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08">
        <f t="shared" si="1"/>
        <v>685.35</v>
      </c>
      <c r="U33" s="557">
        <f t="shared" si="29"/>
        <v>172.70819999999998</v>
      </c>
      <c r="V33" s="565"/>
      <c r="W33" s="565"/>
      <c r="X33" s="564"/>
      <c r="Y33" s="519"/>
      <c r="Z33" s="519"/>
      <c r="AA33" s="409">
        <f t="shared" si="2"/>
        <v>778.90000000000009</v>
      </c>
      <c r="AB33" s="557">
        <f t="shared" si="34"/>
        <v>196.28279999999998</v>
      </c>
      <c r="AC33" s="565"/>
      <c r="AD33" s="565"/>
      <c r="AE33" s="564"/>
      <c r="AF33" s="519"/>
      <c r="AG33" s="519"/>
      <c r="AH33" s="408">
        <f t="shared" si="3"/>
        <v>1464.25</v>
      </c>
      <c r="AI33" s="409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38">
        <v>1</v>
      </c>
      <c r="D34" s="539" t="s">
        <v>298</v>
      </c>
      <c r="E34" s="540" t="s">
        <v>131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08">
        <f t="shared" si="1"/>
        <v>1123.05</v>
      </c>
      <c r="U34" s="557">
        <f t="shared" si="29"/>
        <v>283.00859999999994</v>
      </c>
      <c r="V34" s="565"/>
      <c r="W34" s="565"/>
      <c r="X34" s="564"/>
      <c r="Y34" s="519"/>
      <c r="Z34" s="570">
        <f>AVERAGE(Z35:Z38)</f>
        <v>9.3570485296947795E-2</v>
      </c>
      <c r="AA34" s="409">
        <f t="shared" si="2"/>
        <v>778.90000000000009</v>
      </c>
      <c r="AB34" s="557">
        <f t="shared" si="34"/>
        <v>196.28279999999998</v>
      </c>
      <c r="AC34" s="565"/>
      <c r="AD34" s="565"/>
      <c r="AE34" s="564"/>
      <c r="AF34" s="519"/>
      <c r="AG34" s="570">
        <f>AVERAGE(AG35:AG38)</f>
        <v>0.39067133228365231</v>
      </c>
      <c r="AH34" s="408">
        <f t="shared" si="3"/>
        <v>1901.95</v>
      </c>
      <c r="AI34" s="409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0">
        <v>1</v>
      </c>
      <c r="D35" s="501" t="s">
        <v>298</v>
      </c>
      <c r="E35" s="502" t="s">
        <v>131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08">
        <f t="shared" si="1"/>
        <v>670</v>
      </c>
      <c r="U35" s="557">
        <f t="shared" si="29"/>
        <v>168.83999999999997</v>
      </c>
      <c r="V35" s="565">
        <f>4847.28</f>
        <v>4847.28</v>
      </c>
      <c r="W35" s="564">
        <f>V35/$W$11</f>
        <v>242.36399999999998</v>
      </c>
      <c r="X35" s="564">
        <f>W35*$X$11</f>
        <v>48.472799999999999</v>
      </c>
      <c r="Y35" s="519">
        <f>W35-X35</f>
        <v>193.89119999999997</v>
      </c>
      <c r="Z35" s="569">
        <f>(Y35-U35)/Y35</f>
        <v>0.12920235678566122</v>
      </c>
      <c r="AA35" s="409">
        <f t="shared" si="2"/>
        <v>778.90000000000009</v>
      </c>
      <c r="AB35" s="557">
        <f t="shared" si="34"/>
        <v>196.28279999999998</v>
      </c>
      <c r="AC35" s="565">
        <f>7732.3+320.94</f>
        <v>8053.24</v>
      </c>
      <c r="AD35" s="564">
        <f>AC35/$AD$11</f>
        <v>402.66199999999998</v>
      </c>
      <c r="AE35" s="564">
        <f>AD35*$AE$11</f>
        <v>80.532399999999996</v>
      </c>
      <c r="AF35" s="519">
        <f>AD35-AE35</f>
        <v>322.12959999999998</v>
      </c>
      <c r="AG35" s="569">
        <f>(AF35-AB35)/AF35</f>
        <v>0.39067133228365231</v>
      </c>
      <c r="AH35" s="408">
        <f t="shared" si="3"/>
        <v>1448.9</v>
      </c>
      <c r="AI35" s="409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0">
        <v>1</v>
      </c>
      <c r="D36" s="501" t="s">
        <v>298</v>
      </c>
      <c r="E36" s="502" t="s">
        <v>131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08">
        <f t="shared" si="1"/>
        <v>941.6</v>
      </c>
      <c r="U36" s="557">
        <f t="shared" si="29"/>
        <v>237.28319999999997</v>
      </c>
      <c r="V36" s="565">
        <f>7028.64</f>
        <v>7028.64</v>
      </c>
      <c r="W36" s="564">
        <f>V36/$W$11</f>
        <v>351.43200000000002</v>
      </c>
      <c r="X36" s="564">
        <f>W36*$X$11</f>
        <v>70.2864</v>
      </c>
      <c r="Y36" s="519">
        <f>W36-X36</f>
        <v>281.1456</v>
      </c>
      <c r="Z36" s="569">
        <f>(Y36-U36)/Y36</f>
        <v>0.15601311206719948</v>
      </c>
      <c r="AA36" s="409">
        <f t="shared" si="2"/>
        <v>778.90000000000009</v>
      </c>
      <c r="AB36" s="557">
        <f t="shared" si="34"/>
        <v>196.28279999999998</v>
      </c>
      <c r="AC36" s="565">
        <f>7732.3+320.94</f>
        <v>8053.24</v>
      </c>
      <c r="AD36" s="564">
        <f>AC36/$AD$11</f>
        <v>402.66199999999998</v>
      </c>
      <c r="AE36" s="564">
        <f>AD36*$AE$11</f>
        <v>80.532399999999996</v>
      </c>
      <c r="AF36" s="519">
        <f>AD36-AE36</f>
        <v>322.12959999999998</v>
      </c>
      <c r="AG36" s="569">
        <f>(AF36-AB36)/AF36</f>
        <v>0.39067133228365231</v>
      </c>
      <c r="AH36" s="408">
        <f t="shared" si="3"/>
        <v>1720.5</v>
      </c>
      <c r="AI36" s="409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0">
        <v>1</v>
      </c>
      <c r="D37" s="501" t="s">
        <v>298</v>
      </c>
      <c r="E37" s="502" t="s">
        <v>131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08">
        <f t="shared" si="1"/>
        <v>1010.3000000000001</v>
      </c>
      <c r="U37" s="557">
        <f t="shared" si="29"/>
        <v>254.59559999999999</v>
      </c>
      <c r="V37" s="565">
        <f>7306.44</f>
        <v>7306.44</v>
      </c>
      <c r="W37" s="564">
        <f>V37/$W$11</f>
        <v>365.322</v>
      </c>
      <c r="X37" s="564">
        <f>W37*$X$11</f>
        <v>73.064400000000006</v>
      </c>
      <c r="Y37" s="519">
        <f>W37-X37</f>
        <v>292.25760000000002</v>
      </c>
      <c r="Z37" s="569">
        <f>(Y37-U37)/Y37</f>
        <v>0.12886576773367067</v>
      </c>
      <c r="AA37" s="409">
        <f t="shared" si="2"/>
        <v>778.90000000000009</v>
      </c>
      <c r="AB37" s="557">
        <f t="shared" si="34"/>
        <v>196.28279999999998</v>
      </c>
      <c r="AC37" s="565">
        <f>7732.3+320.94</f>
        <v>8053.24</v>
      </c>
      <c r="AD37" s="564">
        <f>AC37/$AD$11</f>
        <v>402.66199999999998</v>
      </c>
      <c r="AE37" s="564">
        <f>AD37*$AE$11</f>
        <v>80.532399999999996</v>
      </c>
      <c r="AF37" s="519">
        <f>AD37-AE37</f>
        <v>322.12959999999998</v>
      </c>
      <c r="AG37" s="569">
        <f>(AF37-AB37)/AF37</f>
        <v>0.39067133228365231</v>
      </c>
      <c r="AH37" s="408">
        <f t="shared" si="3"/>
        <v>1789.2000000000003</v>
      </c>
      <c r="AI37" s="409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0">
        <v>1</v>
      </c>
      <c r="D38" s="501" t="s">
        <v>298</v>
      </c>
      <c r="E38" s="502" t="s">
        <v>131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08">
        <f t="shared" si="1"/>
        <v>1236.8000000000002</v>
      </c>
      <c r="U38" s="557">
        <f t="shared" si="29"/>
        <v>311.67360000000002</v>
      </c>
      <c r="V38" s="565">
        <f>7493.6</f>
        <v>7493.6</v>
      </c>
      <c r="W38" s="564">
        <f>V38/$W$11</f>
        <v>374.68</v>
      </c>
      <c r="X38" s="564">
        <f>W38*$X$11</f>
        <v>74.936000000000007</v>
      </c>
      <c r="Y38" s="519">
        <f>W38-X38</f>
        <v>299.74400000000003</v>
      </c>
      <c r="Z38" s="569">
        <f>(Y38-U38)/Y38</f>
        <v>-3.9799295398740234E-2</v>
      </c>
      <c r="AA38" s="409">
        <f t="shared" si="2"/>
        <v>778.90000000000009</v>
      </c>
      <c r="AB38" s="557">
        <f t="shared" si="34"/>
        <v>196.28279999999998</v>
      </c>
      <c r="AC38" s="565">
        <f>7732.3+320.94</f>
        <v>8053.24</v>
      </c>
      <c r="AD38" s="564">
        <f>AC38/$AD$11</f>
        <v>402.66199999999998</v>
      </c>
      <c r="AE38" s="564">
        <f>AD38*$AE$11</f>
        <v>80.532399999999996</v>
      </c>
      <c r="AF38" s="519">
        <f>AD38-AE38</f>
        <v>322.12959999999998</v>
      </c>
      <c r="AG38" s="569">
        <f>(AF38-AB38)/AF38</f>
        <v>0.39067133228365231</v>
      </c>
      <c r="AH38" s="408">
        <f t="shared" si="3"/>
        <v>2015.7000000000003</v>
      </c>
      <c r="AI38" s="409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0">
        <v>1</v>
      </c>
      <c r="D39" s="551" t="s">
        <v>298</v>
      </c>
      <c r="E39" s="552" t="s">
        <v>131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08">
        <f t="shared" si="1"/>
        <v>207.75</v>
      </c>
      <c r="U39" s="557">
        <f t="shared" si="29"/>
        <v>52.352999999999987</v>
      </c>
      <c r="V39" s="565"/>
      <c r="W39" s="565"/>
      <c r="X39" s="564"/>
      <c r="Y39" s="519"/>
      <c r="Z39" s="631">
        <f>AVERAGE(Z41:Z44,Z47:Z50,Z53:Z56,Z59:Z62)</f>
        <v>0.12861687269765615</v>
      </c>
      <c r="AA39" s="409">
        <f t="shared" si="2"/>
        <v>408.35</v>
      </c>
      <c r="AB39" s="557">
        <f t="shared" si="34"/>
        <v>102.90419999999999</v>
      </c>
      <c r="AC39" s="565"/>
      <c r="AD39" s="565"/>
      <c r="AE39" s="564"/>
      <c r="AF39" s="519"/>
      <c r="AG39" s="631">
        <f>AVERAGE(AG41:AG44,AG47:AG50,AG53:AG56,AG59:AG62)</f>
        <v>0.47402679073342796</v>
      </c>
      <c r="AH39" s="408">
        <f t="shared" si="3"/>
        <v>616.1</v>
      </c>
      <c r="AI39" s="409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6">
        <v>1</v>
      </c>
      <c r="D40" s="507" t="s">
        <v>298</v>
      </c>
      <c r="E40" s="508" t="s">
        <v>131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08">
        <f t="shared" si="1"/>
        <v>315.75</v>
      </c>
      <c r="U40" s="557">
        <f t="shared" si="29"/>
        <v>79.568999999999988</v>
      </c>
      <c r="V40" s="567">
        <v>3251.56</v>
      </c>
      <c r="W40" s="567" t="s">
        <v>698</v>
      </c>
      <c r="X40" s="565"/>
      <c r="Y40" s="519"/>
      <c r="Z40" s="570">
        <f>AVERAGE(Z41:Z44)</f>
        <v>0.16924058000806241</v>
      </c>
      <c r="AA40" s="409">
        <f t="shared" si="2"/>
        <v>408.35</v>
      </c>
      <c r="AB40" s="557">
        <f t="shared" si="34"/>
        <v>102.90419999999999</v>
      </c>
      <c r="AC40" s="565"/>
      <c r="AD40" s="565"/>
      <c r="AE40" s="564"/>
      <c r="AF40" s="519"/>
      <c r="AG40" s="570">
        <f>AVERAGE(AG41:AG44)</f>
        <v>0.55652311071041327</v>
      </c>
      <c r="AH40" s="408">
        <f t="shared" si="3"/>
        <v>724.1</v>
      </c>
      <c r="AI40" s="409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2">
        <v>1</v>
      </c>
      <c r="D41" s="513" t="s">
        <v>298</v>
      </c>
      <c r="E41" s="514" t="s">
        <v>131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08">
        <f t="shared" si="1"/>
        <v>265.75</v>
      </c>
      <c r="U41" s="557">
        <f t="shared" si="29"/>
        <v>66.96899999999998</v>
      </c>
      <c r="V41" s="565">
        <f>2289.6</f>
        <v>2289.6</v>
      </c>
      <c r="W41" s="564">
        <f>V41/$W$11</f>
        <v>114.47999999999999</v>
      </c>
      <c r="X41" s="564">
        <f>W41*$X$11</f>
        <v>22.896000000000001</v>
      </c>
      <c r="Y41" s="519">
        <f>W41-X41</f>
        <v>91.583999999999989</v>
      </c>
      <c r="Z41" s="569">
        <f>(Y41-U41)/Y41</f>
        <v>0.26876965408805042</v>
      </c>
      <c r="AA41" s="409">
        <f t="shared" si="2"/>
        <v>408.35</v>
      </c>
      <c r="AB41" s="557">
        <f t="shared" si="34"/>
        <v>102.90419999999999</v>
      </c>
      <c r="AC41" s="565">
        <f>5480.05+320.94</f>
        <v>5800.99</v>
      </c>
      <c r="AD41" s="564">
        <f>AC41/$AD$11</f>
        <v>290.04949999999997</v>
      </c>
      <c r="AE41" s="564">
        <f>AD41*$AE$11</f>
        <v>58.009899999999995</v>
      </c>
      <c r="AF41" s="519">
        <f>AD41-AE41</f>
        <v>232.03959999999998</v>
      </c>
      <c r="AG41" s="569">
        <f>(AF41-AB41)/AF41</f>
        <v>0.55652311071041327</v>
      </c>
      <c r="AH41" s="408">
        <f t="shared" si="3"/>
        <v>674.1</v>
      </c>
      <c r="AI41" s="409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2">
        <v>1</v>
      </c>
      <c r="D42" s="513" t="s">
        <v>298</v>
      </c>
      <c r="E42" s="514" t="s">
        <v>131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08">
        <f t="shared" si="1"/>
        <v>321</v>
      </c>
      <c r="U42" s="557">
        <f t="shared" si="29"/>
        <v>80.891999999999996</v>
      </c>
      <c r="V42" s="565">
        <f>2550.69</f>
        <v>2550.69</v>
      </c>
      <c r="W42" s="564">
        <f>V42/$W$11</f>
        <v>127.53450000000001</v>
      </c>
      <c r="X42" s="564">
        <f>W42*$X$11</f>
        <v>25.506900000000002</v>
      </c>
      <c r="Y42" s="519">
        <f>W42-X42</f>
        <v>102.02760000000001</v>
      </c>
      <c r="Z42" s="569">
        <f>(Y42-U42)/Y42</f>
        <v>0.2071557108076639</v>
      </c>
      <c r="AA42" s="409">
        <f t="shared" si="2"/>
        <v>408.35</v>
      </c>
      <c r="AB42" s="557">
        <f t="shared" si="34"/>
        <v>102.90419999999999</v>
      </c>
      <c r="AC42" s="565">
        <f>5480.05+320.94</f>
        <v>5800.99</v>
      </c>
      <c r="AD42" s="564">
        <f>AC42/$AD$11</f>
        <v>290.04949999999997</v>
      </c>
      <c r="AE42" s="564">
        <f>AD42*$AE$11</f>
        <v>58.009899999999995</v>
      </c>
      <c r="AF42" s="519">
        <f>AD42-AE42</f>
        <v>232.03959999999998</v>
      </c>
      <c r="AG42" s="569">
        <f>(AF42-AB42)/AF42</f>
        <v>0.55652311071041327</v>
      </c>
      <c r="AH42" s="408">
        <f t="shared" si="3"/>
        <v>729.35</v>
      </c>
      <c r="AI42" s="409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2">
        <v>1</v>
      </c>
      <c r="D43" s="513" t="s">
        <v>298</v>
      </c>
      <c r="E43" s="514" t="s">
        <v>131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08">
        <f t="shared" si="1"/>
        <v>386.25</v>
      </c>
      <c r="U43" s="557">
        <f t="shared" si="29"/>
        <v>97.334999999999994</v>
      </c>
      <c r="V43" s="565">
        <v>2547.9699999999998</v>
      </c>
      <c r="W43" s="564">
        <f>V43/$W$11</f>
        <v>127.39849999999998</v>
      </c>
      <c r="X43" s="564">
        <f>W43*$X$11</f>
        <v>25.479699999999998</v>
      </c>
      <c r="Y43" s="519">
        <f>W43-X43</f>
        <v>101.91879999999999</v>
      </c>
      <c r="Z43" s="569">
        <f>(Y43-U43)/Y43</f>
        <v>4.497501932911295E-2</v>
      </c>
      <c r="AA43" s="409">
        <f t="shared" si="2"/>
        <v>408.35</v>
      </c>
      <c r="AB43" s="557">
        <f t="shared" si="34"/>
        <v>102.90419999999999</v>
      </c>
      <c r="AC43" s="565">
        <f>5480.05+320.94</f>
        <v>5800.99</v>
      </c>
      <c r="AD43" s="564">
        <f>AC43/$AD$11</f>
        <v>290.04949999999997</v>
      </c>
      <c r="AE43" s="564">
        <f>AD43*$AE$11</f>
        <v>58.009899999999995</v>
      </c>
      <c r="AF43" s="519">
        <f>AD43-AE43</f>
        <v>232.03959999999998</v>
      </c>
      <c r="AG43" s="569">
        <f>(AF43-AB43)/AF43</f>
        <v>0.55652311071041327</v>
      </c>
      <c r="AH43" s="408">
        <f t="shared" si="3"/>
        <v>794.6</v>
      </c>
      <c r="AI43" s="409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2">
        <v>1</v>
      </c>
      <c r="D44" s="513" t="s">
        <v>298</v>
      </c>
      <c r="E44" s="514" t="s">
        <v>131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08">
        <f t="shared" si="1"/>
        <v>448.75</v>
      </c>
      <c r="U44" s="557">
        <f t="shared" si="29"/>
        <v>113.08499999999999</v>
      </c>
      <c r="V44" s="565">
        <v>3349.92</v>
      </c>
      <c r="W44" s="564">
        <f>V44/$W$11</f>
        <v>167.49600000000001</v>
      </c>
      <c r="X44" s="564">
        <f>W44*$X$11</f>
        <v>33.499200000000002</v>
      </c>
      <c r="Y44" s="519">
        <f>W44-X44</f>
        <v>133.99680000000001</v>
      </c>
      <c r="Z44" s="569">
        <f>(Y44-U44)/Y44</f>
        <v>0.15606193580742236</v>
      </c>
      <c r="AA44" s="409">
        <f t="shared" si="2"/>
        <v>408.35</v>
      </c>
      <c r="AB44" s="557">
        <f t="shared" si="34"/>
        <v>102.90419999999999</v>
      </c>
      <c r="AC44" s="565">
        <f>5480.05+320.94</f>
        <v>5800.99</v>
      </c>
      <c r="AD44" s="564">
        <f>AC44/$AD$11</f>
        <v>290.04949999999997</v>
      </c>
      <c r="AE44" s="564">
        <f>AD44*$AE$11</f>
        <v>58.009899999999995</v>
      </c>
      <c r="AF44" s="519">
        <f>AD44-AE44</f>
        <v>232.03959999999998</v>
      </c>
      <c r="AG44" s="569">
        <f>(AF44-AB44)/AF44</f>
        <v>0.55652311071041327</v>
      </c>
      <c r="AH44" s="408">
        <f t="shared" si="3"/>
        <v>857.1</v>
      </c>
      <c r="AI44" s="409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0">
        <v>1</v>
      </c>
      <c r="D45" s="551" t="s">
        <v>298</v>
      </c>
      <c r="E45" s="552" t="s">
        <v>131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08">
        <f t="shared" si="1"/>
        <v>271.7</v>
      </c>
      <c r="U45" s="557">
        <f t="shared" si="29"/>
        <v>68.468399999999988</v>
      </c>
      <c r="V45" s="565"/>
      <c r="W45" s="565"/>
      <c r="X45" s="564"/>
      <c r="Y45" s="519"/>
      <c r="Z45" s="519"/>
      <c r="AA45" s="409">
        <f t="shared" si="2"/>
        <v>531.85</v>
      </c>
      <c r="AB45" s="557">
        <f t="shared" si="34"/>
        <v>134.02619999999999</v>
      </c>
      <c r="AC45" s="565"/>
      <c r="AD45" s="565"/>
      <c r="AE45" s="564"/>
      <c r="AF45" s="519"/>
      <c r="AG45" s="519"/>
      <c r="AH45" s="408">
        <f t="shared" si="3"/>
        <v>803.55</v>
      </c>
      <c r="AI45" s="409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6">
        <v>1</v>
      </c>
      <c r="D46" s="507" t="s">
        <v>298</v>
      </c>
      <c r="E46" s="508" t="s">
        <v>131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08">
        <f t="shared" si="1"/>
        <v>412.1</v>
      </c>
      <c r="U46" s="557">
        <f t="shared" si="29"/>
        <v>103.84919999999998</v>
      </c>
      <c r="V46" s="567">
        <v>4056.24</v>
      </c>
      <c r="W46" s="567" t="s">
        <v>698</v>
      </c>
      <c r="X46" s="565"/>
      <c r="Y46" s="519"/>
      <c r="Z46" s="570">
        <f>AVERAGE(Z47:Z50)</f>
        <v>0.13094669085281782</v>
      </c>
      <c r="AA46" s="409">
        <f t="shared" si="2"/>
        <v>531.85</v>
      </c>
      <c r="AB46" s="557">
        <f t="shared" si="34"/>
        <v>134.02619999999999</v>
      </c>
      <c r="AC46" s="565"/>
      <c r="AD46" s="565"/>
      <c r="AE46" s="564"/>
      <c r="AF46" s="519"/>
      <c r="AG46" s="570">
        <f>AVERAGE(AG47:AG50)</f>
        <v>0.50954229480553137</v>
      </c>
      <c r="AH46" s="408">
        <f t="shared" si="3"/>
        <v>943.95</v>
      </c>
      <c r="AI46" s="409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2">
        <v>1</v>
      </c>
      <c r="D47" s="513" t="s">
        <v>298</v>
      </c>
      <c r="E47" s="514" t="s">
        <v>131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08">
        <f t="shared" si="1"/>
        <v>347.1</v>
      </c>
      <c r="U47" s="557">
        <f t="shared" si="29"/>
        <v>87.469199999999987</v>
      </c>
      <c r="V47" s="565">
        <f>2854.44</f>
        <v>2854.44</v>
      </c>
      <c r="W47" s="564">
        <f>V47/$W$11</f>
        <v>142.72200000000001</v>
      </c>
      <c r="X47" s="564">
        <f>W47*$X$11</f>
        <v>28.544400000000003</v>
      </c>
      <c r="Y47" s="519">
        <f>W47-X47</f>
        <v>114.17760000000001</v>
      </c>
      <c r="Z47" s="569">
        <f>(Y47-U47)/Y47</f>
        <v>0.23391978811956129</v>
      </c>
      <c r="AA47" s="409">
        <f t="shared" si="2"/>
        <v>531.85</v>
      </c>
      <c r="AB47" s="557">
        <f t="shared" si="34"/>
        <v>134.02619999999999</v>
      </c>
      <c r="AC47" s="565">
        <f>6510.75+320.94</f>
        <v>6831.69</v>
      </c>
      <c r="AD47" s="564">
        <f>AC47/$AD$11</f>
        <v>341.58449999999999</v>
      </c>
      <c r="AE47" s="564">
        <f>AD47*$AE$11</f>
        <v>68.316900000000004</v>
      </c>
      <c r="AF47" s="519">
        <f>AD47-AE47</f>
        <v>273.26760000000002</v>
      </c>
      <c r="AG47" s="569">
        <f>(AF47-AB47)/AF47</f>
        <v>0.50954229480553137</v>
      </c>
      <c r="AH47" s="408">
        <f t="shared" si="3"/>
        <v>878.95</v>
      </c>
      <c r="AI47" s="409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2">
        <v>1</v>
      </c>
      <c r="D48" s="513" t="s">
        <v>298</v>
      </c>
      <c r="E48" s="514" t="s">
        <v>131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08">
        <f t="shared" si="1"/>
        <v>418.95000000000005</v>
      </c>
      <c r="U48" s="557">
        <f t="shared" si="29"/>
        <v>105.57539999999999</v>
      </c>
      <c r="V48" s="565">
        <f>3180.51</f>
        <v>3180.51</v>
      </c>
      <c r="W48" s="564">
        <f>V48/$W$11</f>
        <v>159.02550000000002</v>
      </c>
      <c r="X48" s="564">
        <f>W48*$X$11</f>
        <v>31.805100000000007</v>
      </c>
      <c r="Y48" s="519">
        <f>W48-X48</f>
        <v>127.22040000000001</v>
      </c>
      <c r="Z48" s="569">
        <f>(Y48-U48)/Y48</f>
        <v>0.17013780808738238</v>
      </c>
      <c r="AA48" s="409">
        <f t="shared" si="2"/>
        <v>531.85</v>
      </c>
      <c r="AB48" s="557">
        <f t="shared" si="34"/>
        <v>134.02619999999999</v>
      </c>
      <c r="AC48" s="565">
        <f>6510.75+320.94</f>
        <v>6831.69</v>
      </c>
      <c r="AD48" s="564">
        <f>AC48/$AD$11</f>
        <v>341.58449999999999</v>
      </c>
      <c r="AE48" s="564">
        <f>AD48*$AE$11</f>
        <v>68.316900000000004</v>
      </c>
      <c r="AF48" s="519">
        <f>AD48-AE48</f>
        <v>273.26760000000002</v>
      </c>
      <c r="AG48" s="569">
        <f>(AF48-AB48)/AF48</f>
        <v>0.50954229480553137</v>
      </c>
      <c r="AH48" s="408">
        <f t="shared" si="3"/>
        <v>950.80000000000007</v>
      </c>
      <c r="AI48" s="409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2">
        <v>1</v>
      </c>
      <c r="D49" s="513" t="s">
        <v>298</v>
      </c>
      <c r="E49" s="514" t="s">
        <v>131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08">
        <f t="shared" si="1"/>
        <v>503.75</v>
      </c>
      <c r="U49" s="557">
        <f t="shared" si="29"/>
        <v>126.94499999999999</v>
      </c>
      <c r="V49" s="565">
        <v>3177.78</v>
      </c>
      <c r="W49" s="564">
        <f>V49/$W$11</f>
        <v>158.88900000000001</v>
      </c>
      <c r="X49" s="564">
        <f>W49*$X$11</f>
        <v>31.777800000000003</v>
      </c>
      <c r="Y49" s="519">
        <f>W49-X49</f>
        <v>127.11120000000001</v>
      </c>
      <c r="Z49" s="569">
        <f>(Y49-U49)/Y49</f>
        <v>1.3075165681703709E-3</v>
      </c>
      <c r="AA49" s="409">
        <f t="shared" si="2"/>
        <v>531.85</v>
      </c>
      <c r="AB49" s="557">
        <f t="shared" si="34"/>
        <v>134.02619999999999</v>
      </c>
      <c r="AC49" s="565">
        <f>6510.75+320.94</f>
        <v>6831.69</v>
      </c>
      <c r="AD49" s="564">
        <f>AC49/$AD$11</f>
        <v>341.58449999999999</v>
      </c>
      <c r="AE49" s="564">
        <f>AD49*$AE$11</f>
        <v>68.316900000000004</v>
      </c>
      <c r="AF49" s="519">
        <f>AD49-AE49</f>
        <v>273.26760000000002</v>
      </c>
      <c r="AG49" s="569">
        <f>(AF49-AB49)/AF49</f>
        <v>0.50954229480553137</v>
      </c>
      <c r="AH49" s="408">
        <f t="shared" si="3"/>
        <v>1035.5999999999999</v>
      </c>
      <c r="AI49" s="409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2">
        <v>1</v>
      </c>
      <c r="D50" s="513" t="s">
        <v>298</v>
      </c>
      <c r="E50" s="514" t="s">
        <v>131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08">
        <f t="shared" si="1"/>
        <v>585</v>
      </c>
      <c r="U50" s="557">
        <f t="shared" si="29"/>
        <v>147.41999999999999</v>
      </c>
      <c r="V50" s="565">
        <f>4180.57</f>
        <v>4180.57</v>
      </c>
      <c r="W50" s="564">
        <f>V50/$W$11</f>
        <v>209.02849999999998</v>
      </c>
      <c r="X50" s="564">
        <f>W50*$X$11</f>
        <v>41.805700000000002</v>
      </c>
      <c r="Y50" s="519">
        <f>W50-X50</f>
        <v>167.22279999999998</v>
      </c>
      <c r="Z50" s="569">
        <f>(Y50-U50)/Y50</f>
        <v>0.11842165063615723</v>
      </c>
      <c r="AA50" s="409">
        <f t="shared" si="2"/>
        <v>531.85</v>
      </c>
      <c r="AB50" s="557">
        <f t="shared" si="34"/>
        <v>134.02619999999999</v>
      </c>
      <c r="AC50" s="565">
        <f>6510.75+320.94</f>
        <v>6831.69</v>
      </c>
      <c r="AD50" s="564">
        <f>AC50/$AD$11</f>
        <v>341.58449999999999</v>
      </c>
      <c r="AE50" s="564">
        <f>AD50*$AE$11</f>
        <v>68.316900000000004</v>
      </c>
      <c r="AF50" s="519">
        <f>AD50-AE50</f>
        <v>273.26760000000002</v>
      </c>
      <c r="AG50" s="569">
        <f>(AF50-AB50)/AF50</f>
        <v>0.50954229480553137</v>
      </c>
      <c r="AH50" s="408">
        <f t="shared" si="3"/>
        <v>1116.8499999999999</v>
      </c>
      <c r="AI50" s="409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0">
        <v>1</v>
      </c>
      <c r="D51" s="551" t="s">
        <v>298</v>
      </c>
      <c r="E51" s="552" t="s">
        <v>131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08">
        <f t="shared" si="1"/>
        <v>335.65000000000003</v>
      </c>
      <c r="U51" s="557">
        <f t="shared" si="29"/>
        <v>84.583800000000011</v>
      </c>
      <c r="V51" s="565"/>
      <c r="W51" s="565"/>
      <c r="X51" s="564"/>
      <c r="Y51" s="519"/>
      <c r="Z51" s="519"/>
      <c r="AA51" s="409">
        <f t="shared" si="2"/>
        <v>655.40000000000009</v>
      </c>
      <c r="AB51" s="557">
        <f t="shared" si="34"/>
        <v>165.16080000000002</v>
      </c>
      <c r="AC51" s="565"/>
      <c r="AD51" s="565"/>
      <c r="AE51" s="564"/>
      <c r="AF51" s="519"/>
      <c r="AG51" s="519"/>
      <c r="AH51" s="408">
        <f t="shared" si="3"/>
        <v>991.05000000000018</v>
      </c>
      <c r="AI51" s="409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6">
        <v>1</v>
      </c>
      <c r="D52" s="507" t="s">
        <v>298</v>
      </c>
      <c r="E52" s="508" t="s">
        <v>131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08">
        <f t="shared" si="1"/>
        <v>508.45000000000005</v>
      </c>
      <c r="U52" s="557">
        <f t="shared" si="29"/>
        <v>128.1294</v>
      </c>
      <c r="V52" s="567">
        <v>4289.87</v>
      </c>
      <c r="W52" s="567" t="s">
        <v>698</v>
      </c>
      <c r="X52" s="565"/>
      <c r="Y52" s="519"/>
      <c r="Z52" s="570">
        <f>AVERAGE(Z53:Z56)</f>
        <v>0.10551231757279279</v>
      </c>
      <c r="AA52" s="409">
        <f t="shared" si="2"/>
        <v>655.40000000000009</v>
      </c>
      <c r="AB52" s="557">
        <f t="shared" si="34"/>
        <v>165.16080000000002</v>
      </c>
      <c r="AC52" s="565"/>
      <c r="AD52" s="565"/>
      <c r="AE52" s="564"/>
      <c r="AF52" s="519"/>
      <c r="AG52" s="570">
        <f>AVERAGE(AG53:AG56)</f>
        <v>0.43937042513411451</v>
      </c>
      <c r="AH52" s="408">
        <f t="shared" si="3"/>
        <v>1163.8500000000001</v>
      </c>
      <c r="AI52" s="409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2">
        <v>1</v>
      </c>
      <c r="D53" s="513" t="s">
        <v>298</v>
      </c>
      <c r="E53" s="514" t="s">
        <v>131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08">
        <f t="shared" si="1"/>
        <v>428.45000000000005</v>
      </c>
      <c r="U53" s="557">
        <f t="shared" si="29"/>
        <v>107.96940000000001</v>
      </c>
      <c r="V53" s="565">
        <f>3419.28</f>
        <v>3419.28</v>
      </c>
      <c r="W53" s="564">
        <f>V53/$W$11</f>
        <v>170.964</v>
      </c>
      <c r="X53" s="564">
        <f>W53*$X$11</f>
        <v>34.192799999999998</v>
      </c>
      <c r="Y53" s="519">
        <f>W53-X53</f>
        <v>136.77119999999999</v>
      </c>
      <c r="Z53" s="569">
        <f>(Y53-U53)/Y53</f>
        <v>0.21058380711728775</v>
      </c>
      <c r="AA53" s="409">
        <f t="shared" si="2"/>
        <v>655.40000000000009</v>
      </c>
      <c r="AB53" s="557">
        <f t="shared" si="34"/>
        <v>165.16080000000002</v>
      </c>
      <c r="AC53" s="565">
        <f>7044.03+320.94</f>
        <v>7364.9699999999993</v>
      </c>
      <c r="AD53" s="564">
        <f>AC53/$AD$11</f>
        <v>368.24849999999998</v>
      </c>
      <c r="AE53" s="564">
        <f>AD53*$AE$11</f>
        <v>73.649699999999996</v>
      </c>
      <c r="AF53" s="519">
        <f>AD53-AE53</f>
        <v>294.59879999999998</v>
      </c>
      <c r="AG53" s="569">
        <f>(AF53-AB53)/AF53</f>
        <v>0.43937042513411451</v>
      </c>
      <c r="AH53" s="408">
        <f t="shared" si="3"/>
        <v>1083.8500000000001</v>
      </c>
      <c r="AI53" s="409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2">
        <v>1</v>
      </c>
      <c r="D54" s="513" t="s">
        <v>298</v>
      </c>
      <c r="E54" s="514" t="s">
        <v>131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08">
        <f t="shared" si="1"/>
        <v>516.85</v>
      </c>
      <c r="U54" s="557">
        <f t="shared" si="29"/>
        <v>130.24619999999999</v>
      </c>
      <c r="V54" s="565">
        <f>3811.7</f>
        <v>3811.7</v>
      </c>
      <c r="W54" s="564">
        <f>V54/$W$11</f>
        <v>190.58499999999998</v>
      </c>
      <c r="X54" s="564">
        <f>W54*$X$11</f>
        <v>38.116999999999997</v>
      </c>
      <c r="Y54" s="519">
        <f>W54-X54</f>
        <v>152.46799999999999</v>
      </c>
      <c r="Z54" s="569">
        <f>(Y54-U54)/Y54</f>
        <v>0.14574730435238872</v>
      </c>
      <c r="AA54" s="409">
        <f t="shared" si="2"/>
        <v>655.40000000000009</v>
      </c>
      <c r="AB54" s="557">
        <f t="shared" si="34"/>
        <v>165.16080000000002</v>
      </c>
      <c r="AC54" s="565">
        <f>7044.03+320.94</f>
        <v>7364.9699999999993</v>
      </c>
      <c r="AD54" s="564">
        <f>AC54/$AD$11</f>
        <v>368.24849999999998</v>
      </c>
      <c r="AE54" s="564">
        <f>AD54*$AE$11</f>
        <v>73.649699999999996</v>
      </c>
      <c r="AF54" s="519">
        <f>AD54-AE54</f>
        <v>294.59879999999998</v>
      </c>
      <c r="AG54" s="569">
        <f>(AF54-AB54)/AF54</f>
        <v>0.43937042513411451</v>
      </c>
      <c r="AH54" s="408">
        <f t="shared" si="3"/>
        <v>1172.25</v>
      </c>
      <c r="AI54" s="409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2">
        <v>1</v>
      </c>
      <c r="D55" s="513" t="s">
        <v>298</v>
      </c>
      <c r="E55" s="514" t="s">
        <v>131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08">
        <f t="shared" si="1"/>
        <v>621.25</v>
      </c>
      <c r="U55" s="557">
        <f t="shared" si="29"/>
        <v>156.55500000000001</v>
      </c>
      <c r="V55" s="565">
        <v>3808.97</v>
      </c>
      <c r="W55" s="564">
        <f>V55/$W$11</f>
        <v>190.4485</v>
      </c>
      <c r="X55" s="564">
        <f>W55*$X$11</f>
        <v>38.089700000000001</v>
      </c>
      <c r="Y55" s="519">
        <f>W55-X55</f>
        <v>152.3588</v>
      </c>
      <c r="Z55" s="569">
        <f>(Y55-U55)/Y55</f>
        <v>-2.7541566355208918E-2</v>
      </c>
      <c r="AA55" s="409">
        <f t="shared" si="2"/>
        <v>655.40000000000009</v>
      </c>
      <c r="AB55" s="557">
        <f t="shared" si="34"/>
        <v>165.16080000000002</v>
      </c>
      <c r="AC55" s="565">
        <f>7044.03+320.94</f>
        <v>7364.9699999999993</v>
      </c>
      <c r="AD55" s="564">
        <f>AC55/$AD$11</f>
        <v>368.24849999999998</v>
      </c>
      <c r="AE55" s="564">
        <f>AD55*$AE$11</f>
        <v>73.649699999999996</v>
      </c>
      <c r="AF55" s="519">
        <f>AD55-AE55</f>
        <v>294.59879999999998</v>
      </c>
      <c r="AG55" s="569">
        <f>(AF55-AB55)/AF55</f>
        <v>0.43937042513411451</v>
      </c>
      <c r="AH55" s="408">
        <f t="shared" si="3"/>
        <v>1276.6500000000001</v>
      </c>
      <c r="AI55" s="409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2">
        <v>1</v>
      </c>
      <c r="D56" s="513" t="s">
        <v>298</v>
      </c>
      <c r="E56" s="514" t="s">
        <v>131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08">
        <f t="shared" si="1"/>
        <v>721.25</v>
      </c>
      <c r="U56" s="557">
        <f t="shared" si="29"/>
        <v>181.75499999999997</v>
      </c>
      <c r="V56" s="565">
        <v>5011.22</v>
      </c>
      <c r="W56" s="564">
        <f>V56/$W$11</f>
        <v>250.56100000000001</v>
      </c>
      <c r="X56" s="564">
        <f>W56*$X$11</f>
        <v>50.112200000000001</v>
      </c>
      <c r="Y56" s="519">
        <f>W56-X56</f>
        <v>200.44880000000001</v>
      </c>
      <c r="Z56" s="569">
        <f>(Y56-U56)/Y56</f>
        <v>9.3259725176703667E-2</v>
      </c>
      <c r="AA56" s="409">
        <f t="shared" si="2"/>
        <v>655.40000000000009</v>
      </c>
      <c r="AB56" s="557">
        <f t="shared" si="34"/>
        <v>165.16080000000002</v>
      </c>
      <c r="AC56" s="565">
        <f>7044.03+320.94</f>
        <v>7364.9699999999993</v>
      </c>
      <c r="AD56" s="564">
        <f>AC56/$AD$11</f>
        <v>368.24849999999998</v>
      </c>
      <c r="AE56" s="564">
        <f>AD56*$AE$11</f>
        <v>73.649699999999996</v>
      </c>
      <c r="AF56" s="519">
        <f>AD56-AE56</f>
        <v>294.59879999999998</v>
      </c>
      <c r="AG56" s="569">
        <f>(AF56-AB56)/AF56</f>
        <v>0.43937042513411451</v>
      </c>
      <c r="AH56" s="408">
        <f t="shared" si="3"/>
        <v>1376.65</v>
      </c>
      <c r="AI56" s="409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0">
        <v>1</v>
      </c>
      <c r="D57" s="551" t="s">
        <v>298</v>
      </c>
      <c r="E57" s="552" t="s">
        <v>131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08">
        <f t="shared" si="1"/>
        <v>407.55</v>
      </c>
      <c r="U57" s="557">
        <f t="shared" si="29"/>
        <v>102.70259999999998</v>
      </c>
      <c r="V57" s="565"/>
      <c r="W57" s="565"/>
      <c r="X57" s="564"/>
      <c r="Y57" s="519"/>
      <c r="Z57" s="519"/>
      <c r="AA57" s="409">
        <f t="shared" si="2"/>
        <v>778.90000000000009</v>
      </c>
      <c r="AB57" s="557">
        <f t="shared" si="34"/>
        <v>196.28279999999998</v>
      </c>
      <c r="AC57" s="565"/>
      <c r="AD57" s="565"/>
      <c r="AE57" s="564"/>
      <c r="AF57" s="519"/>
      <c r="AG57" s="519"/>
      <c r="AH57" s="408">
        <f t="shared" si="3"/>
        <v>1186.45</v>
      </c>
      <c r="AI57" s="409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6">
        <v>1</v>
      </c>
      <c r="D58" s="507" t="s">
        <v>298</v>
      </c>
      <c r="E58" s="508" t="s">
        <v>131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08">
        <f t="shared" si="1"/>
        <v>618.15000000000009</v>
      </c>
      <c r="U58" s="557">
        <f t="shared" si="29"/>
        <v>155.77379999999999</v>
      </c>
      <c r="V58" s="567">
        <v>5743.5</v>
      </c>
      <c r="W58" s="567" t="s">
        <v>698</v>
      </c>
      <c r="X58" s="565"/>
      <c r="Y58" s="519"/>
      <c r="Z58" s="570">
        <f>AVERAGE(Z59:Z62)</f>
        <v>0.10876790235695155</v>
      </c>
      <c r="AA58" s="409">
        <f t="shared" si="2"/>
        <v>778.90000000000009</v>
      </c>
      <c r="AB58" s="557">
        <f t="shared" si="34"/>
        <v>196.28279999999998</v>
      </c>
      <c r="AC58" s="565"/>
      <c r="AD58" s="565"/>
      <c r="AE58" s="564"/>
      <c r="AF58" s="519"/>
      <c r="AG58" s="570">
        <f>AVERAGE(AG59:AG62)</f>
        <v>0.39067133228365231</v>
      </c>
      <c r="AH58" s="408">
        <f t="shared" si="3"/>
        <v>1397.0500000000002</v>
      </c>
      <c r="AI58" s="409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2">
        <v>1</v>
      </c>
      <c r="D59" s="513" t="s">
        <v>298</v>
      </c>
      <c r="E59" s="514" t="s">
        <v>131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08">
        <f t="shared" si="1"/>
        <v>520.65</v>
      </c>
      <c r="U59" s="557">
        <f t="shared" si="29"/>
        <v>131.20379999999997</v>
      </c>
      <c r="V59" s="565">
        <f>4172.04</f>
        <v>4172.04</v>
      </c>
      <c r="W59" s="564">
        <f>V59/$W$11</f>
        <v>208.602</v>
      </c>
      <c r="X59" s="564">
        <f>W59*$X$11</f>
        <v>41.720400000000005</v>
      </c>
      <c r="Y59" s="519">
        <f>W59-X59</f>
        <v>166.88159999999999</v>
      </c>
      <c r="Z59" s="569">
        <f>(Y59-U59)/Y59</f>
        <v>0.21379109500388313</v>
      </c>
      <c r="AA59" s="409">
        <f t="shared" si="2"/>
        <v>778.90000000000009</v>
      </c>
      <c r="AB59" s="557">
        <f t="shared" si="34"/>
        <v>196.28279999999998</v>
      </c>
      <c r="AC59" s="565">
        <f>7732.3+320.94</f>
        <v>8053.24</v>
      </c>
      <c r="AD59" s="564">
        <f>AC59/$AD$11</f>
        <v>402.66199999999998</v>
      </c>
      <c r="AE59" s="564">
        <f>AD59*$AE$11</f>
        <v>80.532399999999996</v>
      </c>
      <c r="AF59" s="519">
        <f>AD59-AE59</f>
        <v>322.12959999999998</v>
      </c>
      <c r="AG59" s="569">
        <f>(AF59-AB59)/AF59</f>
        <v>0.39067133228365231</v>
      </c>
      <c r="AH59" s="408">
        <f t="shared" si="3"/>
        <v>1299.5500000000002</v>
      </c>
      <c r="AI59" s="409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2">
        <v>1</v>
      </c>
      <c r="D60" s="513" t="s">
        <v>298</v>
      </c>
      <c r="E60" s="514" t="s">
        <v>131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08">
        <f t="shared" si="1"/>
        <v>628.40000000000009</v>
      </c>
      <c r="U60" s="557">
        <f t="shared" si="29"/>
        <v>158.35679999999999</v>
      </c>
      <c r="V60" s="565">
        <f>4651.92</f>
        <v>4651.92</v>
      </c>
      <c r="W60" s="564">
        <f>V60/$W$11</f>
        <v>232.596</v>
      </c>
      <c r="X60" s="564">
        <f>W60*$X$11</f>
        <v>46.519200000000005</v>
      </c>
      <c r="Y60" s="519">
        <f>W60-X60</f>
        <v>186.07679999999999</v>
      </c>
      <c r="Z60" s="569">
        <f>(Y60-U60)/Y60</f>
        <v>0.14897074756229686</v>
      </c>
      <c r="AA60" s="409">
        <f t="shared" si="2"/>
        <v>778.90000000000009</v>
      </c>
      <c r="AB60" s="557">
        <f t="shared" si="34"/>
        <v>196.28279999999998</v>
      </c>
      <c r="AC60" s="565">
        <f>7732.3+320.94</f>
        <v>8053.24</v>
      </c>
      <c r="AD60" s="564">
        <f>AC60/$AD$11</f>
        <v>402.66199999999998</v>
      </c>
      <c r="AE60" s="564">
        <f>AD60*$AE$11</f>
        <v>80.532399999999996</v>
      </c>
      <c r="AF60" s="519">
        <f>AD60-AE60</f>
        <v>322.12959999999998</v>
      </c>
      <c r="AG60" s="569">
        <f>(AF60-AB60)/AF60</f>
        <v>0.39067133228365231</v>
      </c>
      <c r="AH60" s="408">
        <f t="shared" si="3"/>
        <v>1407.3000000000002</v>
      </c>
      <c r="AI60" s="409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2">
        <v>1</v>
      </c>
      <c r="D61" s="513" t="s">
        <v>298</v>
      </c>
      <c r="E61" s="514" t="s">
        <v>131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08">
        <f t="shared" si="1"/>
        <v>755.65000000000009</v>
      </c>
      <c r="U61" s="557">
        <f t="shared" si="29"/>
        <v>190.4238</v>
      </c>
      <c r="V61" s="565">
        <v>4647.8100000000004</v>
      </c>
      <c r="W61" s="564">
        <f>V61/$W$11</f>
        <v>232.39050000000003</v>
      </c>
      <c r="X61" s="564">
        <f>W61*$X$11</f>
        <v>46.478100000000012</v>
      </c>
      <c r="Y61" s="519">
        <f>W61-X61</f>
        <v>185.91240000000002</v>
      </c>
      <c r="Z61" s="569">
        <f>(Y61-U61)/Y61</f>
        <v>-2.4266267338811074E-2</v>
      </c>
      <c r="AA61" s="409">
        <f t="shared" si="2"/>
        <v>778.90000000000009</v>
      </c>
      <c r="AB61" s="557">
        <f t="shared" si="34"/>
        <v>196.28279999999998</v>
      </c>
      <c r="AC61" s="565">
        <f>7732.3+320.94</f>
        <v>8053.24</v>
      </c>
      <c r="AD61" s="564">
        <f>AC61/$AD$11</f>
        <v>402.66199999999998</v>
      </c>
      <c r="AE61" s="564">
        <f>AD61*$AE$11</f>
        <v>80.532399999999996</v>
      </c>
      <c r="AF61" s="519">
        <f>AD61-AE61</f>
        <v>322.12959999999998</v>
      </c>
      <c r="AG61" s="569">
        <f>(AF61-AB61)/AF61</f>
        <v>0.39067133228365231</v>
      </c>
      <c r="AH61" s="408">
        <f t="shared" si="3"/>
        <v>1534.5500000000002</v>
      </c>
      <c r="AI61" s="409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2">
        <v>1</v>
      </c>
      <c r="D62" s="513" t="s">
        <v>298</v>
      </c>
      <c r="E62" s="514" t="s">
        <v>131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08">
        <f t="shared" si="1"/>
        <v>877.5</v>
      </c>
      <c r="U62" s="557">
        <f t="shared" si="29"/>
        <v>221.13</v>
      </c>
      <c r="V62" s="565">
        <v>6119.22</v>
      </c>
      <c r="W62" s="564">
        <f>V62/$W$11</f>
        <v>305.96100000000001</v>
      </c>
      <c r="X62" s="564">
        <f>W62*$X$11</f>
        <v>61.192200000000007</v>
      </c>
      <c r="Y62" s="519">
        <f>W62-X62</f>
        <v>244.7688</v>
      </c>
      <c r="Z62" s="569">
        <f>(Y62-U62)/Y62</f>
        <v>9.6576034200437325E-2</v>
      </c>
      <c r="AA62" s="409">
        <f t="shared" si="2"/>
        <v>778.90000000000009</v>
      </c>
      <c r="AB62" s="557">
        <f t="shared" si="34"/>
        <v>196.28279999999998</v>
      </c>
      <c r="AC62" s="565">
        <f>7732.3+320.94</f>
        <v>8053.24</v>
      </c>
      <c r="AD62" s="564">
        <f>AC62/$AD$11</f>
        <v>402.66199999999998</v>
      </c>
      <c r="AE62" s="564">
        <f>AD62*$AE$11</f>
        <v>80.532399999999996</v>
      </c>
      <c r="AF62" s="519">
        <f>AD62-AE62</f>
        <v>322.12959999999998</v>
      </c>
      <c r="AG62" s="569">
        <f>(AF62-AB62)/AF62</f>
        <v>0.39067133228365231</v>
      </c>
      <c r="AH62" s="408">
        <f t="shared" si="3"/>
        <v>1656.4</v>
      </c>
      <c r="AI62" s="409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07" t="str">
        <f>IF('CALC -P.P. - H-RAIL HW'!S4="INGLES","QTY.","CANT.")</f>
        <v>CANT.</v>
      </c>
      <c r="D63" s="908" t="str">
        <f>IF('CALC -P.P. - H-RAIL HW'!S4="INGLES","DESCRIPTION OF ADDITIONAL SERVICES","DESCRIPCION DE SERVICIOS ADICIONALES")</f>
        <v>DESCRIPCION DE SERVICIOS ADICIONALES</v>
      </c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1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09" t="str">
        <f>IF(S4="INGLES","DRAPERIES","CORTINAS")</f>
        <v>CORTINAS</v>
      </c>
      <c r="C12" s="910"/>
      <c r="D12" s="910"/>
      <c r="E12" s="910"/>
      <c r="F12" s="910"/>
      <c r="G12" s="910"/>
      <c r="H12" s="910"/>
      <c r="I12" s="910"/>
      <c r="J12" s="910"/>
      <c r="K12" s="910"/>
      <c r="L12" s="910"/>
      <c r="M12" s="910"/>
      <c r="N12" s="910"/>
      <c r="O12" s="911"/>
      <c r="P12" s="909" t="str">
        <f>IF(S4="INGLES","HARDWARE","HERRAJE")</f>
        <v>HERRAJE</v>
      </c>
      <c r="Q12" s="910"/>
      <c r="R12" s="910"/>
      <c r="S12" s="910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09" t="str">
        <f>IF(S4="INGLES","TOTALS","TOTALES")</f>
        <v>TOTALES</v>
      </c>
      <c r="AI12" s="911"/>
      <c r="AJ12" s="181"/>
      <c r="AK12" s="963" t="s">
        <v>256</v>
      </c>
      <c r="AL12" s="963"/>
      <c r="AM12" s="963"/>
      <c r="AN12" s="964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5" t="s">
        <v>258</v>
      </c>
      <c r="AY12" s="907"/>
      <c r="AZ12" s="907"/>
      <c r="BA12" s="907"/>
      <c r="BB12" s="907"/>
      <c r="BC12" s="906"/>
      <c r="BD12" s="905" t="s">
        <v>189</v>
      </c>
      <c r="BE12" s="906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6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-RIPP- MOT.PLUG IN'!$S4="INGLES","UNIT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132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08">
        <f t="shared" ref="T15:T62" si="1">IF(OR(C15&lt;1,C15=""),"",BL15)</f>
        <v>342.70000000000005</v>
      </c>
      <c r="U15" s="557">
        <f t="shared" ref="U15:U62" si="2">T15*0.7*0.6*0.6</f>
        <v>86.360399999999998</v>
      </c>
      <c r="V15" s="564"/>
      <c r="W15" s="564"/>
      <c r="X15" s="564"/>
      <c r="Y15" s="519"/>
      <c r="Z15" s="631">
        <f>AVERAGE(Z17:Z20,Z23:Z26,Z29:Z32,Z35:Z38)</f>
        <v>0.18974250455560768</v>
      </c>
      <c r="AA15" s="409">
        <f t="shared" ref="AA15:AA62" si="3">IF(OR(C15&lt;1,C15=""),"",BO15)</f>
        <v>785.90000000000009</v>
      </c>
      <c r="AB15" s="557">
        <f>AA15*0.7*0.6*0.6</f>
        <v>198.04679999999999</v>
      </c>
      <c r="AC15" s="564"/>
      <c r="AD15" s="564"/>
      <c r="AE15" s="564"/>
      <c r="AF15" s="519"/>
      <c r="AG15" s="631">
        <f>AVERAGE(AG17:AG20,AG23:AG26,AG29:AG32,AG35:AG38)</f>
        <v>2.3338552431110861E-2</v>
      </c>
      <c r="AH15" s="408">
        <f t="shared" ref="AH15:AH62" si="4">IF(OR(C15&lt;1,C15=""),"",T15+AA15)</f>
        <v>1128.6000000000001</v>
      </c>
      <c r="AI15" s="409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132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08">
        <f t="shared" si="1"/>
        <v>561.55000000000007</v>
      </c>
      <c r="U16" s="557">
        <f>T16*0.7*0.6*0.6</f>
        <v>141.51059999999998</v>
      </c>
      <c r="V16" s="564"/>
      <c r="W16" s="564"/>
      <c r="X16" s="564"/>
      <c r="Y16" s="519"/>
      <c r="Z16" s="570">
        <f>AVERAGE(Z17:Z20)</f>
        <v>0.24741300693841636</v>
      </c>
      <c r="AA16" s="409">
        <f t="shared" si="3"/>
        <v>785.90000000000009</v>
      </c>
      <c r="AB16" s="557">
        <f>AA16*0.7*0.6*0.6</f>
        <v>198.04679999999999</v>
      </c>
      <c r="AC16" s="564"/>
      <c r="AD16" s="564"/>
      <c r="AE16" s="564"/>
      <c r="AF16" s="519"/>
      <c r="AG16" s="570">
        <f>AVERAGE(AG17:AG20)</f>
        <v>0.29982478543640312</v>
      </c>
      <c r="AH16" s="408">
        <f t="shared" si="4"/>
        <v>1347.4500000000003</v>
      </c>
      <c r="AI16" s="409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0">
        <v>1</v>
      </c>
      <c r="D17" s="501" t="s">
        <v>298</v>
      </c>
      <c r="E17" s="502" t="s">
        <v>132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08">
        <f t="shared" si="1"/>
        <v>335</v>
      </c>
      <c r="U17" s="557">
        <f t="shared" si="2"/>
        <v>84.419999999999987</v>
      </c>
      <c r="V17" s="565">
        <v>2981.05</v>
      </c>
      <c r="W17" s="564">
        <f>V17/$W$11</f>
        <v>149.05250000000001</v>
      </c>
      <c r="X17" s="564">
        <f>W17*$X$11</f>
        <v>29.810500000000005</v>
      </c>
      <c r="Y17" s="519">
        <f>W17-X17</f>
        <v>119.242</v>
      </c>
      <c r="Z17" s="569">
        <f>(Y17-U17)/Y17</f>
        <v>0.29202797671961234</v>
      </c>
      <c r="AA17" s="409">
        <f t="shared" si="3"/>
        <v>785.90000000000009</v>
      </c>
      <c r="AB17" s="557">
        <f>AA17*0.7*0.6*0.6</f>
        <v>198.04679999999999</v>
      </c>
      <c r="AC17" s="565">
        <f>6552.93+518.4</f>
        <v>7071.33</v>
      </c>
      <c r="AD17" s="564">
        <f>AC17/$AD$11</f>
        <v>353.56650000000002</v>
      </c>
      <c r="AE17" s="564">
        <f>AD17*$AE$11</f>
        <v>70.713300000000004</v>
      </c>
      <c r="AF17" s="519">
        <f>AD17-AE17</f>
        <v>282.85320000000002</v>
      </c>
      <c r="AG17" s="569">
        <f>(AF17-AB17)/AF17</f>
        <v>0.29982478543640312</v>
      </c>
      <c r="AH17" s="408">
        <f t="shared" si="4"/>
        <v>1120.9000000000001</v>
      </c>
      <c r="AI17" s="409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0">
        <v>1</v>
      </c>
      <c r="D18" s="501" t="s">
        <v>298</v>
      </c>
      <c r="E18" s="502" t="s">
        <v>132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08">
        <f t="shared" si="1"/>
        <v>470.8</v>
      </c>
      <c r="U18" s="557">
        <f t="shared" si="2"/>
        <v>118.64159999999998</v>
      </c>
      <c r="V18" s="565">
        <f>4206.6</f>
        <v>4206.6000000000004</v>
      </c>
      <c r="W18" s="564">
        <f>V18/$W$11</f>
        <v>210.33</v>
      </c>
      <c r="X18" s="564">
        <f>W18*$X$11</f>
        <v>42.066000000000003</v>
      </c>
      <c r="Y18" s="519">
        <f>W18-X18</f>
        <v>168.26400000000001</v>
      </c>
      <c r="Z18" s="569">
        <f>(Y18-U18)/Y18</f>
        <v>0.2949080017115962</v>
      </c>
      <c r="AA18" s="409">
        <f t="shared" si="3"/>
        <v>785.90000000000009</v>
      </c>
      <c r="AB18" s="557">
        <f t="shared" ref="AB18:AB62" si="34">AA18*0.7*0.6*0.6</f>
        <v>198.04679999999999</v>
      </c>
      <c r="AC18" s="565">
        <f t="shared" ref="AC18:AC20" si="35">6552.93+518.4</f>
        <v>7071.33</v>
      </c>
      <c r="AD18" s="564">
        <f>AC18/$AD$11</f>
        <v>353.56650000000002</v>
      </c>
      <c r="AE18" s="564">
        <f>AD18*$AE$11</f>
        <v>70.713300000000004</v>
      </c>
      <c r="AF18" s="519">
        <f>AD18-AE18</f>
        <v>282.85320000000002</v>
      </c>
      <c r="AG18" s="569">
        <f>(AF18-AB18)/AF18</f>
        <v>0.29982478543640312</v>
      </c>
      <c r="AH18" s="408">
        <f t="shared" si="4"/>
        <v>1256.7</v>
      </c>
      <c r="AI18" s="409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0">
        <v>1</v>
      </c>
      <c r="D19" s="501" t="s">
        <v>298</v>
      </c>
      <c r="E19" s="502" t="s">
        <v>132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08">
        <f t="shared" si="1"/>
        <v>505.15000000000003</v>
      </c>
      <c r="U19" s="557">
        <f t="shared" si="2"/>
        <v>127.2978</v>
      </c>
      <c r="V19" s="565">
        <f>4359.54</f>
        <v>4359.54</v>
      </c>
      <c r="W19" s="564">
        <f>V19/$W$11</f>
        <v>217.977</v>
      </c>
      <c r="X19" s="564">
        <f>W19*$X$11</f>
        <v>43.595400000000005</v>
      </c>
      <c r="Y19" s="519">
        <f>W19-X19</f>
        <v>174.38159999999999</v>
      </c>
      <c r="Z19" s="569">
        <f>(Y19-U19)/Y19</f>
        <v>0.27000440413438115</v>
      </c>
      <c r="AA19" s="409">
        <f t="shared" si="3"/>
        <v>785.90000000000009</v>
      </c>
      <c r="AB19" s="557">
        <f t="shared" si="34"/>
        <v>198.04679999999999</v>
      </c>
      <c r="AC19" s="565">
        <f t="shared" si="35"/>
        <v>7071.33</v>
      </c>
      <c r="AD19" s="564">
        <f>AC19/$AD$11</f>
        <v>353.56650000000002</v>
      </c>
      <c r="AE19" s="564">
        <f>AD19*$AE$11</f>
        <v>70.713300000000004</v>
      </c>
      <c r="AF19" s="519">
        <f>AD19-AE19</f>
        <v>282.85320000000002</v>
      </c>
      <c r="AG19" s="569">
        <f>(AF19-AB19)/AF19</f>
        <v>0.29982478543640312</v>
      </c>
      <c r="AH19" s="408">
        <f t="shared" si="4"/>
        <v>1291.0500000000002</v>
      </c>
      <c r="AI19" s="409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0">
        <v>1</v>
      </c>
      <c r="D20" s="501" t="s">
        <v>298</v>
      </c>
      <c r="E20" s="502" t="s">
        <v>132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08">
        <f t="shared" si="1"/>
        <v>618.40000000000009</v>
      </c>
      <c r="U20" s="557">
        <f t="shared" si="2"/>
        <v>155.83680000000001</v>
      </c>
      <c r="V20" s="565">
        <f>4492.07</f>
        <v>4492.07</v>
      </c>
      <c r="W20" s="564">
        <f>V20/$W$11</f>
        <v>224.6035</v>
      </c>
      <c r="X20" s="564">
        <f>W20*$X$11</f>
        <v>44.920700000000004</v>
      </c>
      <c r="Y20" s="519">
        <f>W20-X20</f>
        <v>179.68279999999999</v>
      </c>
      <c r="Z20" s="569">
        <f>(Y20-U20)/Y20</f>
        <v>0.13271164518807574</v>
      </c>
      <c r="AA20" s="409">
        <f t="shared" si="3"/>
        <v>785.90000000000009</v>
      </c>
      <c r="AB20" s="557">
        <f t="shared" si="34"/>
        <v>198.04679999999999</v>
      </c>
      <c r="AC20" s="565">
        <f t="shared" si="35"/>
        <v>7071.33</v>
      </c>
      <c r="AD20" s="564">
        <f>AC20/$AD$11</f>
        <v>353.56650000000002</v>
      </c>
      <c r="AE20" s="564">
        <f>AD20*$AE$11</f>
        <v>70.713300000000004</v>
      </c>
      <c r="AF20" s="519">
        <f>AD20-AE20</f>
        <v>282.85320000000002</v>
      </c>
      <c r="AG20" s="569">
        <f>(AF20-AB20)/AF20</f>
        <v>0.29982478543640312</v>
      </c>
      <c r="AH20" s="408">
        <f t="shared" si="4"/>
        <v>1404.3000000000002</v>
      </c>
      <c r="AI20" s="409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4">
        <v>1</v>
      </c>
      <c r="D21" s="545" t="s">
        <v>298</v>
      </c>
      <c r="E21" s="546" t="s">
        <v>132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08">
        <f t="shared" si="1"/>
        <v>459.25</v>
      </c>
      <c r="U21" s="557">
        <f t="shared" si="2"/>
        <v>115.73099999999997</v>
      </c>
      <c r="V21" s="565"/>
      <c r="W21" s="565"/>
      <c r="X21" s="564"/>
      <c r="Y21" s="519"/>
      <c r="Z21" s="519"/>
      <c r="AA21" s="409">
        <f t="shared" si="3"/>
        <v>1069.7</v>
      </c>
      <c r="AB21" s="557">
        <f t="shared" si="34"/>
        <v>269.56439999999998</v>
      </c>
      <c r="AC21" s="565"/>
      <c r="AD21" s="565"/>
      <c r="AE21" s="564"/>
      <c r="AF21" s="519"/>
      <c r="AG21" s="519"/>
      <c r="AH21" s="408">
        <f t="shared" si="4"/>
        <v>1528.95</v>
      </c>
      <c r="AI21" s="409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38">
        <v>1</v>
      </c>
      <c r="D22" s="539" t="s">
        <v>298</v>
      </c>
      <c r="E22" s="540" t="s">
        <v>132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08">
        <f t="shared" si="1"/>
        <v>752.80000000000007</v>
      </c>
      <c r="U22" s="557">
        <f t="shared" si="2"/>
        <v>189.70559999999998</v>
      </c>
      <c r="V22" s="565"/>
      <c r="W22" s="565"/>
      <c r="X22" s="564"/>
      <c r="Y22" s="519"/>
      <c r="Z22" s="570">
        <f>AVERAGE(Z23:Z26)</f>
        <v>0.19344200201706357</v>
      </c>
      <c r="AA22" s="409">
        <f t="shared" si="3"/>
        <v>1069.7</v>
      </c>
      <c r="AB22" s="557">
        <f t="shared" si="34"/>
        <v>269.56439999999998</v>
      </c>
      <c r="AC22" s="565"/>
      <c r="AD22" s="565"/>
      <c r="AE22" s="564"/>
      <c r="AF22" s="519"/>
      <c r="AG22" s="570">
        <f>AVERAGE(AG23:AG26)</f>
        <v>9.3558709240062432E-2</v>
      </c>
      <c r="AH22" s="408">
        <f t="shared" si="4"/>
        <v>1822.5</v>
      </c>
      <c r="AI22" s="409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0">
        <v>1</v>
      </c>
      <c r="D23" s="501" t="s">
        <v>298</v>
      </c>
      <c r="E23" s="502" t="s">
        <v>132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08">
        <f t="shared" si="1"/>
        <v>448.95000000000005</v>
      </c>
      <c r="U23" s="557">
        <f t="shared" si="2"/>
        <v>113.13539999999999</v>
      </c>
      <c r="V23" s="565">
        <v>3725.63</v>
      </c>
      <c r="W23" s="564">
        <f>V23/$W$11</f>
        <v>186.28149999999999</v>
      </c>
      <c r="X23" s="564">
        <f>W23*$X$11</f>
        <v>37.256300000000003</v>
      </c>
      <c r="Y23" s="519">
        <f>W23-X23</f>
        <v>149.02519999999998</v>
      </c>
      <c r="Z23" s="569">
        <f>(Y23-U23)/Y23</f>
        <v>0.24083040989040777</v>
      </c>
      <c r="AA23" s="409">
        <f t="shared" si="3"/>
        <v>1069.7</v>
      </c>
      <c r="AB23" s="557">
        <f t="shared" si="34"/>
        <v>269.56439999999998</v>
      </c>
      <c r="AC23" s="565">
        <f>6916.29+518.4</f>
        <v>7434.69</v>
      </c>
      <c r="AD23" s="564">
        <f>AC23/$AD$11</f>
        <v>371.73449999999997</v>
      </c>
      <c r="AE23" s="564">
        <f>AD23*$AE$11</f>
        <v>74.346899999999991</v>
      </c>
      <c r="AF23" s="519">
        <f>AD23-AE23</f>
        <v>297.38759999999996</v>
      </c>
      <c r="AG23" s="569">
        <f>(AF23-AB23)/AF23</f>
        <v>9.3558709240062432E-2</v>
      </c>
      <c r="AH23" s="408">
        <f t="shared" si="4"/>
        <v>1518.65</v>
      </c>
      <c r="AI23" s="409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0">
        <v>1</v>
      </c>
      <c r="D24" s="501" t="s">
        <v>298</v>
      </c>
      <c r="E24" s="502" t="s">
        <v>132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08">
        <f t="shared" si="1"/>
        <v>631.1</v>
      </c>
      <c r="U24" s="557">
        <f t="shared" si="2"/>
        <v>159.03719999999996</v>
      </c>
      <c r="V24" s="565">
        <f>5262.84</f>
        <v>5262.84</v>
      </c>
      <c r="W24" s="564">
        <f>V24/$W$11</f>
        <v>263.142</v>
      </c>
      <c r="X24" s="564">
        <f>W24*$X$11</f>
        <v>52.628399999999999</v>
      </c>
      <c r="Y24" s="519">
        <f>W24-X24</f>
        <v>210.5136</v>
      </c>
      <c r="Z24" s="569">
        <f>(Y24-U24)/Y24</f>
        <v>0.24452766947123625</v>
      </c>
      <c r="AA24" s="409">
        <f t="shared" si="3"/>
        <v>1069.7</v>
      </c>
      <c r="AB24" s="557">
        <f t="shared" si="34"/>
        <v>269.56439999999998</v>
      </c>
      <c r="AC24" s="565">
        <f t="shared" ref="AC24:AC26" si="36">6916.29+518.4</f>
        <v>7434.69</v>
      </c>
      <c r="AD24" s="564">
        <f>AC24/$AD$11</f>
        <v>371.73449999999997</v>
      </c>
      <c r="AE24" s="564">
        <f>AD24*$AE$11</f>
        <v>74.346899999999991</v>
      </c>
      <c r="AF24" s="519">
        <f>AD24-AE24</f>
        <v>297.38759999999996</v>
      </c>
      <c r="AG24" s="569">
        <f>(AF24-AB24)/AF24</f>
        <v>9.3558709240062432E-2</v>
      </c>
      <c r="AH24" s="408">
        <f t="shared" si="4"/>
        <v>1700.8000000000002</v>
      </c>
      <c r="AI24" s="409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0">
        <v>1</v>
      </c>
      <c r="D25" s="501" t="s">
        <v>298</v>
      </c>
      <c r="E25" s="502" t="s">
        <v>132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08">
        <f t="shared" si="1"/>
        <v>677.2</v>
      </c>
      <c r="U25" s="557">
        <f t="shared" si="2"/>
        <v>170.65439999999998</v>
      </c>
      <c r="V25" s="565">
        <f>5453.87</f>
        <v>5453.87</v>
      </c>
      <c r="W25" s="564">
        <f>V25/$W$11</f>
        <v>272.69349999999997</v>
      </c>
      <c r="X25" s="564">
        <f>W25*$X$11</f>
        <v>54.538699999999999</v>
      </c>
      <c r="Y25" s="519">
        <f>W25-X25</f>
        <v>218.15479999999997</v>
      </c>
      <c r="Z25" s="569">
        <f>(Y25-U25)/Y25</f>
        <v>0.21773712978123788</v>
      </c>
      <c r="AA25" s="409">
        <f t="shared" si="3"/>
        <v>1069.7</v>
      </c>
      <c r="AB25" s="557">
        <f t="shared" si="34"/>
        <v>269.56439999999998</v>
      </c>
      <c r="AC25" s="565">
        <f t="shared" si="36"/>
        <v>7434.69</v>
      </c>
      <c r="AD25" s="564">
        <f>AC25/$AD$11</f>
        <v>371.73449999999997</v>
      </c>
      <c r="AE25" s="564">
        <f>AD25*$AE$11</f>
        <v>74.346899999999991</v>
      </c>
      <c r="AF25" s="519">
        <f>AD25-AE25</f>
        <v>297.38759999999996</v>
      </c>
      <c r="AG25" s="569">
        <f>(AF25-AB25)/AF25</f>
        <v>9.3558709240062432E-2</v>
      </c>
      <c r="AH25" s="408">
        <f t="shared" si="4"/>
        <v>1746.9</v>
      </c>
      <c r="AI25" s="409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0">
        <v>1</v>
      </c>
      <c r="D26" s="501" t="s">
        <v>298</v>
      </c>
      <c r="E26" s="502" t="s">
        <v>132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08">
        <f t="shared" si="1"/>
        <v>829.1</v>
      </c>
      <c r="U26" s="557">
        <f t="shared" si="2"/>
        <v>208.93319999999997</v>
      </c>
      <c r="V26" s="565">
        <f>5620.55</f>
        <v>5620.55</v>
      </c>
      <c r="W26" s="564">
        <f>V26/$W$11</f>
        <v>281.02750000000003</v>
      </c>
      <c r="X26" s="564">
        <f>W26*$X$11</f>
        <v>56.205500000000008</v>
      </c>
      <c r="Y26" s="519">
        <f>W26-X26</f>
        <v>224.82200000000003</v>
      </c>
      <c r="Z26" s="569">
        <f>(Y26-U26)/Y26</f>
        <v>7.0672798925372329E-2</v>
      </c>
      <c r="AA26" s="409">
        <f t="shared" si="3"/>
        <v>1069.7</v>
      </c>
      <c r="AB26" s="557">
        <f t="shared" si="34"/>
        <v>269.56439999999998</v>
      </c>
      <c r="AC26" s="565">
        <f t="shared" si="36"/>
        <v>7434.69</v>
      </c>
      <c r="AD26" s="564">
        <f>AC26/$AD$11</f>
        <v>371.73449999999997</v>
      </c>
      <c r="AE26" s="564">
        <f>AD26*$AE$11</f>
        <v>74.346899999999991</v>
      </c>
      <c r="AF26" s="519">
        <f>AD26-AE26</f>
        <v>297.38759999999996</v>
      </c>
      <c r="AG26" s="569">
        <f>(AF26-AB26)/AF26</f>
        <v>9.3558709240062432E-2</v>
      </c>
      <c r="AH26" s="408">
        <f t="shared" si="4"/>
        <v>1898.8000000000002</v>
      </c>
      <c r="AI26" s="409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4">
        <v>1</v>
      </c>
      <c r="D27" s="545" t="s">
        <v>298</v>
      </c>
      <c r="E27" s="546" t="s">
        <v>132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08">
        <f t="shared" si="1"/>
        <v>568.80000000000007</v>
      </c>
      <c r="U27" s="557">
        <f t="shared" si="2"/>
        <v>143.33760000000001</v>
      </c>
      <c r="V27" s="565"/>
      <c r="W27" s="565"/>
      <c r="X27" s="564"/>
      <c r="Y27" s="519"/>
      <c r="Z27" s="519"/>
      <c r="AA27" s="409">
        <f t="shared" si="3"/>
        <v>1353.45</v>
      </c>
      <c r="AB27" s="557">
        <f t="shared" si="34"/>
        <v>341.06939999999997</v>
      </c>
      <c r="AC27" s="565"/>
      <c r="AD27" s="565"/>
      <c r="AE27" s="564"/>
      <c r="AF27" s="519"/>
      <c r="AG27" s="519"/>
      <c r="AH27" s="408">
        <f t="shared" si="4"/>
        <v>1922.25</v>
      </c>
      <c r="AI27" s="409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38">
        <v>1</v>
      </c>
      <c r="D28" s="539" t="s">
        <v>298</v>
      </c>
      <c r="E28" s="540" t="s">
        <v>132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08">
        <f t="shared" si="1"/>
        <v>931.75</v>
      </c>
      <c r="U28" s="557">
        <f t="shared" si="2"/>
        <v>234.80099999999993</v>
      </c>
      <c r="V28" s="565"/>
      <c r="W28" s="565"/>
      <c r="X28" s="564"/>
      <c r="Y28" s="519"/>
      <c r="Z28" s="570">
        <f>AVERAGE(Z29:Z32)</f>
        <v>0.16836369736717974</v>
      </c>
      <c r="AA28" s="409">
        <f t="shared" si="3"/>
        <v>1353.45</v>
      </c>
      <c r="AB28" s="557">
        <f t="shared" si="34"/>
        <v>341.06939999999997</v>
      </c>
      <c r="AC28" s="565"/>
      <c r="AD28" s="565"/>
      <c r="AE28" s="564"/>
      <c r="AF28" s="519"/>
      <c r="AG28" s="570">
        <f>AVERAGE(AG29:AG32)</f>
        <v>-8.076453126544765E-2</v>
      </c>
      <c r="AH28" s="408">
        <f t="shared" si="4"/>
        <v>2285.1999999999998</v>
      </c>
      <c r="AI28" s="409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0">
        <v>1</v>
      </c>
      <c r="D29" s="501" t="s">
        <v>298</v>
      </c>
      <c r="E29" s="502" t="s">
        <v>132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08">
        <f t="shared" si="1"/>
        <v>556.05000000000007</v>
      </c>
      <c r="U29" s="557">
        <f t="shared" si="2"/>
        <v>140.12459999999999</v>
      </c>
      <c r="V29" s="565">
        <f>4470.21</f>
        <v>4470.21</v>
      </c>
      <c r="W29" s="564">
        <f>V29/$W$11</f>
        <v>223.51050000000001</v>
      </c>
      <c r="X29" s="564">
        <f>W29*$X$11</f>
        <v>44.702100000000002</v>
      </c>
      <c r="Y29" s="519">
        <f>W29-X29</f>
        <v>178.80840000000001</v>
      </c>
      <c r="Z29" s="569">
        <f>(Y29-U29)/Y29</f>
        <v>0.21634218526646409</v>
      </c>
      <c r="AA29" s="409">
        <f t="shared" si="3"/>
        <v>1353.45</v>
      </c>
      <c r="AB29" s="557">
        <f t="shared" si="34"/>
        <v>341.06939999999997</v>
      </c>
      <c r="AC29" s="565">
        <f>7371.14+518.4</f>
        <v>7889.54</v>
      </c>
      <c r="AD29" s="564">
        <f>AC29/$AD$11</f>
        <v>394.47699999999998</v>
      </c>
      <c r="AE29" s="564">
        <f>AD29*$AE$11</f>
        <v>78.895399999999995</v>
      </c>
      <c r="AF29" s="519">
        <f>AD29-AE29</f>
        <v>315.58159999999998</v>
      </c>
      <c r="AG29" s="569">
        <f>(AF29-AB29)/AF29</f>
        <v>-8.076453126544765E-2</v>
      </c>
      <c r="AH29" s="408">
        <f t="shared" si="4"/>
        <v>1909.5</v>
      </c>
      <c r="AI29" s="409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0">
        <v>1</v>
      </c>
      <c r="D30" s="501" t="s">
        <v>298</v>
      </c>
      <c r="E30" s="502" t="s">
        <v>132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08">
        <f t="shared" si="1"/>
        <v>781.30000000000007</v>
      </c>
      <c r="U30" s="557">
        <f t="shared" si="2"/>
        <v>196.88759999999996</v>
      </c>
      <c r="V30" s="565">
        <f>6319.08</f>
        <v>6319.08</v>
      </c>
      <c r="W30" s="564">
        <f>V30/$W$11</f>
        <v>315.95400000000001</v>
      </c>
      <c r="X30" s="564">
        <f>W30*$X$11</f>
        <v>63.190800000000003</v>
      </c>
      <c r="Y30" s="519">
        <f>W30-X30</f>
        <v>252.76320000000001</v>
      </c>
      <c r="Z30" s="569">
        <f>(Y30-U30)/Y30</f>
        <v>0.22105907822024742</v>
      </c>
      <c r="AA30" s="409">
        <f t="shared" si="3"/>
        <v>1353.45</v>
      </c>
      <c r="AB30" s="557">
        <f t="shared" si="34"/>
        <v>341.06939999999997</v>
      </c>
      <c r="AC30" s="565">
        <f t="shared" ref="AC30:AC32" si="38">7371.14+518.4</f>
        <v>7889.54</v>
      </c>
      <c r="AD30" s="564">
        <f>AC30/$AD$11</f>
        <v>394.47699999999998</v>
      </c>
      <c r="AE30" s="564">
        <f>AD30*$AE$11</f>
        <v>78.895399999999995</v>
      </c>
      <c r="AF30" s="519">
        <f>AD30-AE30</f>
        <v>315.58159999999998</v>
      </c>
      <c r="AG30" s="569">
        <f>(AF30-AB30)/AF30</f>
        <v>-8.076453126544765E-2</v>
      </c>
      <c r="AH30" s="408">
        <f t="shared" si="4"/>
        <v>2134.75</v>
      </c>
      <c r="AI30" s="409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0">
        <v>1</v>
      </c>
      <c r="D31" s="501" t="s">
        <v>298</v>
      </c>
      <c r="E31" s="502" t="s">
        <v>132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08">
        <f t="shared" si="1"/>
        <v>838.25</v>
      </c>
      <c r="U31" s="557">
        <f t="shared" si="2"/>
        <v>211.239</v>
      </c>
      <c r="V31" s="565">
        <f>6549.56</f>
        <v>6549.56</v>
      </c>
      <c r="W31" s="564">
        <f>V31/$W$11</f>
        <v>327.47800000000001</v>
      </c>
      <c r="X31" s="564">
        <f>W31*$X$11</f>
        <v>65.49560000000001</v>
      </c>
      <c r="Y31" s="519">
        <f>W31-X31</f>
        <v>261.98239999999998</v>
      </c>
      <c r="Z31" s="569">
        <f>(Y31-U31)/Y31</f>
        <v>0.19369011048070398</v>
      </c>
      <c r="AA31" s="409">
        <f t="shared" si="3"/>
        <v>1353.45</v>
      </c>
      <c r="AB31" s="557">
        <f t="shared" si="34"/>
        <v>341.06939999999997</v>
      </c>
      <c r="AC31" s="565">
        <f t="shared" si="38"/>
        <v>7889.54</v>
      </c>
      <c r="AD31" s="564">
        <f>AC31/$AD$11</f>
        <v>394.47699999999998</v>
      </c>
      <c r="AE31" s="564">
        <f>AD31*$AE$11</f>
        <v>78.895399999999995</v>
      </c>
      <c r="AF31" s="519">
        <f>AD31-AE31</f>
        <v>315.58159999999998</v>
      </c>
      <c r="AG31" s="569">
        <f>(AF31-AB31)/AF31</f>
        <v>-8.076453126544765E-2</v>
      </c>
      <c r="AH31" s="408">
        <f t="shared" si="4"/>
        <v>2191.6999999999998</v>
      </c>
      <c r="AI31" s="409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0">
        <v>1</v>
      </c>
      <c r="D32" s="501" t="s">
        <v>298</v>
      </c>
      <c r="E32" s="502" t="s">
        <v>132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08">
        <f t="shared" si="1"/>
        <v>1026.1000000000001</v>
      </c>
      <c r="U32" s="557">
        <f t="shared" si="2"/>
        <v>258.5772</v>
      </c>
      <c r="V32" s="565">
        <f>6750.4</f>
        <v>6750.4</v>
      </c>
      <c r="W32" s="564">
        <f>V32/$W$11</f>
        <v>337.52</v>
      </c>
      <c r="X32" s="564">
        <f>W32*$X$11</f>
        <v>67.504000000000005</v>
      </c>
      <c r="Y32" s="519">
        <f>W32-X32</f>
        <v>270.01599999999996</v>
      </c>
      <c r="Z32" s="569">
        <f>(Y32-U32)/Y32</f>
        <v>4.2363415501303479E-2</v>
      </c>
      <c r="AA32" s="409">
        <f t="shared" si="3"/>
        <v>1353.45</v>
      </c>
      <c r="AB32" s="557">
        <f t="shared" si="34"/>
        <v>341.06939999999997</v>
      </c>
      <c r="AC32" s="565">
        <f t="shared" si="38"/>
        <v>7889.54</v>
      </c>
      <c r="AD32" s="564">
        <f>AC32/$AD$11</f>
        <v>394.47699999999998</v>
      </c>
      <c r="AE32" s="564">
        <f>AD32*$AE$11</f>
        <v>78.895399999999995</v>
      </c>
      <c r="AF32" s="519">
        <f>AD32-AE32</f>
        <v>315.58159999999998</v>
      </c>
      <c r="AG32" s="569">
        <f>(AF32-AB32)/AF32</f>
        <v>-8.076453126544765E-2</v>
      </c>
      <c r="AH32" s="408">
        <f t="shared" si="4"/>
        <v>2379.5500000000002</v>
      </c>
      <c r="AI32" s="409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4">
        <v>1</v>
      </c>
      <c r="D33" s="545" t="s">
        <v>298</v>
      </c>
      <c r="E33" s="546" t="s">
        <v>132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08">
        <f t="shared" si="1"/>
        <v>685.35</v>
      </c>
      <c r="U33" s="557">
        <f t="shared" si="2"/>
        <v>172.70819999999998</v>
      </c>
      <c r="V33" s="565"/>
      <c r="W33" s="565"/>
      <c r="X33" s="564"/>
      <c r="Y33" s="519"/>
      <c r="Z33" s="519"/>
      <c r="AA33" s="409">
        <f t="shared" si="3"/>
        <v>1637.25</v>
      </c>
      <c r="AB33" s="557">
        <f t="shared" si="34"/>
        <v>412.58699999999993</v>
      </c>
      <c r="AC33" s="565"/>
      <c r="AD33" s="565"/>
      <c r="AE33" s="564"/>
      <c r="AF33" s="519"/>
      <c r="AG33" s="519"/>
      <c r="AH33" s="408">
        <f t="shared" si="4"/>
        <v>2322.6</v>
      </c>
      <c r="AI33" s="409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38">
        <v>1</v>
      </c>
      <c r="D34" s="539" t="s">
        <v>298</v>
      </c>
      <c r="E34" s="540" t="s">
        <v>132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08">
        <f t="shared" si="1"/>
        <v>1123.05</v>
      </c>
      <c r="U34" s="557">
        <f t="shared" si="2"/>
        <v>283.00859999999994</v>
      </c>
      <c r="V34" s="565"/>
      <c r="W34" s="565"/>
      <c r="X34" s="564"/>
      <c r="Y34" s="519"/>
      <c r="Z34" s="570">
        <f>AVERAGE(Z35:Z38)</f>
        <v>0.14975131189977098</v>
      </c>
      <c r="AA34" s="409">
        <f t="shared" si="3"/>
        <v>1637.25</v>
      </c>
      <c r="AB34" s="557">
        <f t="shared" si="34"/>
        <v>412.58699999999993</v>
      </c>
      <c r="AC34" s="565"/>
      <c r="AD34" s="565"/>
      <c r="AE34" s="564"/>
      <c r="AF34" s="519"/>
      <c r="AG34" s="570">
        <f>AVERAGE(AG35:AG38)</f>
        <v>-0.2192647536865745</v>
      </c>
      <c r="AH34" s="408">
        <f t="shared" si="4"/>
        <v>2760.3</v>
      </c>
      <c r="AI34" s="409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0">
        <v>1</v>
      </c>
      <c r="D35" s="501" t="s">
        <v>298</v>
      </c>
      <c r="E35" s="502" t="s">
        <v>132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08">
        <f t="shared" si="1"/>
        <v>670</v>
      </c>
      <c r="U35" s="557">
        <f t="shared" si="2"/>
        <v>168.83999999999997</v>
      </c>
      <c r="V35" s="565">
        <f>5279</f>
        <v>5279</v>
      </c>
      <c r="W35" s="564">
        <f>V35/$W$11</f>
        <v>263.95</v>
      </c>
      <c r="X35" s="564">
        <f>W35*$X$11</f>
        <v>52.79</v>
      </c>
      <c r="Y35" s="519">
        <f>W35-X35</f>
        <v>211.16</v>
      </c>
      <c r="Z35" s="569">
        <f>(Y35-U35)/Y35</f>
        <v>0.20041674559575687</v>
      </c>
      <c r="AA35" s="409">
        <f t="shared" si="3"/>
        <v>1637.25</v>
      </c>
      <c r="AB35" s="557">
        <f t="shared" si="34"/>
        <v>412.58699999999993</v>
      </c>
      <c r="AC35" s="565">
        <f>7941.35+518.4</f>
        <v>8459.75</v>
      </c>
      <c r="AD35" s="564">
        <f>AC35/$AD$11</f>
        <v>422.98750000000001</v>
      </c>
      <c r="AE35" s="564">
        <f>AD35*$AE$11</f>
        <v>84.597500000000011</v>
      </c>
      <c r="AF35" s="519">
        <f>AD35-AE35</f>
        <v>338.39</v>
      </c>
      <c r="AG35" s="569">
        <f>(AF35-AB35)/AF35</f>
        <v>-0.2192647536865745</v>
      </c>
      <c r="AH35" s="408">
        <f t="shared" si="4"/>
        <v>2307.25</v>
      </c>
      <c r="AI35" s="409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0">
        <v>1</v>
      </c>
      <c r="D36" s="501" t="s">
        <v>298</v>
      </c>
      <c r="E36" s="502" t="s">
        <v>132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08">
        <f t="shared" si="1"/>
        <v>941.6</v>
      </c>
      <c r="U36" s="557">
        <f t="shared" si="2"/>
        <v>237.28319999999997</v>
      </c>
      <c r="V36" s="565">
        <f>7456.32</f>
        <v>7456.32</v>
      </c>
      <c r="W36" s="564">
        <f>V36/$W$11</f>
        <v>372.81599999999997</v>
      </c>
      <c r="X36" s="564">
        <f>W36*$X$11</f>
        <v>74.563199999999995</v>
      </c>
      <c r="Y36" s="519">
        <f>W36-X36</f>
        <v>298.25279999999998</v>
      </c>
      <c r="Z36" s="569">
        <f>(Y36-U36)/Y36</f>
        <v>0.20442255697180384</v>
      </c>
      <c r="AA36" s="409">
        <f t="shared" si="3"/>
        <v>1637.25</v>
      </c>
      <c r="AB36" s="557">
        <f t="shared" si="34"/>
        <v>412.58699999999993</v>
      </c>
      <c r="AC36" s="565">
        <f t="shared" ref="AC36:AC38" si="39">7941.35+518.4</f>
        <v>8459.75</v>
      </c>
      <c r="AD36" s="564">
        <f>AC36/$AD$11</f>
        <v>422.98750000000001</v>
      </c>
      <c r="AE36" s="564">
        <f>AD36*$AE$11</f>
        <v>84.597500000000011</v>
      </c>
      <c r="AF36" s="519">
        <f>AD36-AE36</f>
        <v>338.39</v>
      </c>
      <c r="AG36" s="569">
        <f>(AF36-AB36)/AF36</f>
        <v>-0.2192647536865745</v>
      </c>
      <c r="AH36" s="408">
        <f t="shared" si="4"/>
        <v>2578.85</v>
      </c>
      <c r="AI36" s="409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0">
        <v>1</v>
      </c>
      <c r="D37" s="501" t="s">
        <v>298</v>
      </c>
      <c r="E37" s="502" t="s">
        <v>132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08">
        <f t="shared" si="1"/>
        <v>1010.3000000000001</v>
      </c>
      <c r="U37" s="557">
        <f t="shared" si="2"/>
        <v>254.59559999999999</v>
      </c>
      <c r="V37" s="565">
        <f>7706.74</f>
        <v>7706.74</v>
      </c>
      <c r="W37" s="564">
        <f>V37/$W$11</f>
        <v>385.33699999999999</v>
      </c>
      <c r="X37" s="564">
        <f>W37*$X$11</f>
        <v>77.067400000000006</v>
      </c>
      <c r="Y37" s="519">
        <f>W37-X37</f>
        <v>308.26959999999997</v>
      </c>
      <c r="Z37" s="569">
        <f>(Y37-U37)/Y37</f>
        <v>0.17411382763658817</v>
      </c>
      <c r="AA37" s="409">
        <f t="shared" si="3"/>
        <v>1637.25</v>
      </c>
      <c r="AB37" s="557">
        <f t="shared" si="34"/>
        <v>412.58699999999993</v>
      </c>
      <c r="AC37" s="565">
        <f t="shared" si="39"/>
        <v>8459.75</v>
      </c>
      <c r="AD37" s="564">
        <f>AC37/$AD$11</f>
        <v>422.98750000000001</v>
      </c>
      <c r="AE37" s="564">
        <f>AD37*$AE$11</f>
        <v>84.597500000000011</v>
      </c>
      <c r="AF37" s="519">
        <f>AD37-AE37</f>
        <v>338.39</v>
      </c>
      <c r="AG37" s="569">
        <f>(AF37-AB37)/AF37</f>
        <v>-0.2192647536865745</v>
      </c>
      <c r="AH37" s="408">
        <f t="shared" si="4"/>
        <v>2647.55</v>
      </c>
      <c r="AI37" s="409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0">
        <v>1</v>
      </c>
      <c r="D38" s="501" t="s">
        <v>298</v>
      </c>
      <c r="E38" s="502" t="s">
        <v>132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08">
        <f t="shared" si="1"/>
        <v>1236.8000000000002</v>
      </c>
      <c r="U38" s="557">
        <f t="shared" si="2"/>
        <v>311.67360000000002</v>
      </c>
      <c r="V38" s="565">
        <f>7951.28</f>
        <v>7951.28</v>
      </c>
      <c r="W38" s="564">
        <f>V38/$W$11</f>
        <v>397.56399999999996</v>
      </c>
      <c r="X38" s="564">
        <f>W38*$X$11</f>
        <v>79.512799999999999</v>
      </c>
      <c r="Y38" s="519">
        <f>W38-X38</f>
        <v>318.05119999999999</v>
      </c>
      <c r="Z38" s="569">
        <f>(Y38-U38)/Y38</f>
        <v>2.0052117394935069E-2</v>
      </c>
      <c r="AA38" s="409">
        <f t="shared" si="3"/>
        <v>1637.25</v>
      </c>
      <c r="AB38" s="557">
        <f t="shared" si="34"/>
        <v>412.58699999999993</v>
      </c>
      <c r="AC38" s="565">
        <f t="shared" si="39"/>
        <v>8459.75</v>
      </c>
      <c r="AD38" s="564">
        <f>AC38/$AD$11</f>
        <v>422.98750000000001</v>
      </c>
      <c r="AE38" s="564">
        <f>AD38*$AE$11</f>
        <v>84.597500000000011</v>
      </c>
      <c r="AF38" s="519">
        <f>AD38-AE38</f>
        <v>338.39</v>
      </c>
      <c r="AG38" s="569">
        <f>(AF38-AB38)/AF38</f>
        <v>-0.2192647536865745</v>
      </c>
      <c r="AH38" s="408">
        <f t="shared" si="4"/>
        <v>2874.05</v>
      </c>
      <c r="AI38" s="409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0">
        <v>1</v>
      </c>
      <c r="D39" s="551" t="s">
        <v>298</v>
      </c>
      <c r="E39" s="552" t="s">
        <v>132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08">
        <f t="shared" si="1"/>
        <v>207.75</v>
      </c>
      <c r="U39" s="557">
        <f t="shared" si="2"/>
        <v>52.352999999999987</v>
      </c>
      <c r="V39" s="565"/>
      <c r="W39" s="565"/>
      <c r="X39" s="564"/>
      <c r="Y39" s="519"/>
      <c r="Z39" s="631">
        <f>AVERAGE(Z41:Z44,Z47:Z50,Z53:Z56,Z59:Z62)</f>
        <v>0.16398572120314886</v>
      </c>
      <c r="AA39" s="409">
        <f t="shared" si="3"/>
        <v>785.90000000000009</v>
      </c>
      <c r="AB39" s="557">
        <f t="shared" si="34"/>
        <v>198.04679999999999</v>
      </c>
      <c r="AC39" s="565"/>
      <c r="AD39" s="565"/>
      <c r="AE39" s="564"/>
      <c r="AF39" s="519"/>
      <c r="AG39" s="631">
        <f>AVERAGE(AG41:AG44,AG47:AG50,AG53:AG56,AG59:AG62)</f>
        <v>2.3338552431110861E-2</v>
      </c>
      <c r="AH39" s="408">
        <f t="shared" si="4"/>
        <v>993.65000000000009</v>
      </c>
      <c r="AI39" s="409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6">
        <v>1</v>
      </c>
      <c r="D40" s="507" t="s">
        <v>298</v>
      </c>
      <c r="E40" s="508" t="s">
        <v>132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08">
        <f t="shared" si="1"/>
        <v>315.75</v>
      </c>
      <c r="U40" s="557">
        <f t="shared" si="2"/>
        <v>79.568999999999988</v>
      </c>
      <c r="V40" s="565"/>
      <c r="W40" s="565"/>
      <c r="X40" s="564"/>
      <c r="Y40" s="519"/>
      <c r="Z40" s="570">
        <f>AVERAGE(Z41:Z44)</f>
        <v>0.19917724993384794</v>
      </c>
      <c r="AA40" s="409">
        <f t="shared" si="3"/>
        <v>785.90000000000009</v>
      </c>
      <c r="AB40" s="557">
        <f t="shared" si="34"/>
        <v>198.04679999999999</v>
      </c>
      <c r="AC40" s="565"/>
      <c r="AD40" s="565"/>
      <c r="AE40" s="564"/>
      <c r="AF40" s="519"/>
      <c r="AG40" s="570">
        <f>AVERAGE(AG41:AG44)</f>
        <v>0.29982478543640312</v>
      </c>
      <c r="AH40" s="408">
        <f t="shared" si="4"/>
        <v>1101.6500000000001</v>
      </c>
      <c r="AI40" s="409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2">
        <v>1</v>
      </c>
      <c r="D41" s="513" t="s">
        <v>298</v>
      </c>
      <c r="E41" s="514" t="s">
        <v>132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08">
        <f t="shared" si="1"/>
        <v>265.75</v>
      </c>
      <c r="U41" s="557">
        <f t="shared" si="2"/>
        <v>66.96899999999998</v>
      </c>
      <c r="V41" s="565">
        <f>2498.04</f>
        <v>2498.04</v>
      </c>
      <c r="W41" s="564">
        <f>V41/$W$11</f>
        <v>124.902</v>
      </c>
      <c r="X41" s="564">
        <f>W41*$X$11</f>
        <v>24.980400000000003</v>
      </c>
      <c r="Y41" s="519">
        <f>W41-X41</f>
        <v>99.921599999999998</v>
      </c>
      <c r="Z41" s="569">
        <f>(Y41-U41)/Y41</f>
        <v>0.32978455108805321</v>
      </c>
      <c r="AA41" s="409">
        <f t="shared" si="3"/>
        <v>785.90000000000009</v>
      </c>
      <c r="AB41" s="557">
        <f t="shared" si="34"/>
        <v>198.04679999999999</v>
      </c>
      <c r="AC41" s="565">
        <f>6552.93+518.4</f>
        <v>7071.33</v>
      </c>
      <c r="AD41" s="564">
        <f>AC41/$AD$11</f>
        <v>353.56650000000002</v>
      </c>
      <c r="AE41" s="564">
        <f>AD41*$AE$11</f>
        <v>70.713300000000004</v>
      </c>
      <c r="AF41" s="519">
        <f>AD41-AE41</f>
        <v>282.85320000000002</v>
      </c>
      <c r="AG41" s="569">
        <f>(AF41-AB41)/AF41</f>
        <v>0.29982478543640312</v>
      </c>
      <c r="AH41" s="408">
        <f t="shared" si="4"/>
        <v>1051.6500000000001</v>
      </c>
      <c r="AI41" s="409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2">
        <v>1</v>
      </c>
      <c r="D42" s="513" t="s">
        <v>298</v>
      </c>
      <c r="E42" s="514" t="s">
        <v>132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08">
        <f t="shared" si="1"/>
        <v>321</v>
      </c>
      <c r="U42" s="557">
        <f t="shared" si="2"/>
        <v>80.891999999999996</v>
      </c>
      <c r="V42" s="565">
        <f>2762.46</f>
        <v>2762.46</v>
      </c>
      <c r="W42" s="564">
        <f>V42/$W$11</f>
        <v>138.12299999999999</v>
      </c>
      <c r="X42" s="564">
        <f>W42*$X$11</f>
        <v>27.624600000000001</v>
      </c>
      <c r="Y42" s="519">
        <f>W42-X42</f>
        <v>110.49839999999999</v>
      </c>
      <c r="Z42" s="569">
        <f>(Y42-U42)/Y42</f>
        <v>0.26793510132273407</v>
      </c>
      <c r="AA42" s="409">
        <f t="shared" si="3"/>
        <v>785.90000000000009</v>
      </c>
      <c r="AB42" s="557">
        <f t="shared" si="34"/>
        <v>198.04679999999999</v>
      </c>
      <c r="AC42" s="565">
        <f t="shared" ref="AC42:AC44" si="40">6552.93+518.4</f>
        <v>7071.33</v>
      </c>
      <c r="AD42" s="564">
        <f>AC42/$AD$11</f>
        <v>353.56650000000002</v>
      </c>
      <c r="AE42" s="564">
        <f>AD42*$AE$11</f>
        <v>70.713300000000004</v>
      </c>
      <c r="AF42" s="519">
        <f>AD42-AE42</f>
        <v>282.85320000000002</v>
      </c>
      <c r="AG42" s="569">
        <f>(AF42-AB42)/AF42</f>
        <v>0.29982478543640312</v>
      </c>
      <c r="AH42" s="408">
        <f t="shared" si="4"/>
        <v>1106.9000000000001</v>
      </c>
      <c r="AI42" s="409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2">
        <v>1</v>
      </c>
      <c r="D43" s="513" t="s">
        <v>298</v>
      </c>
      <c r="E43" s="514" t="s">
        <v>132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08">
        <f t="shared" si="1"/>
        <v>386.25</v>
      </c>
      <c r="U43" s="557">
        <f t="shared" si="2"/>
        <v>97.334999999999994</v>
      </c>
      <c r="V43" s="565">
        <f>2761.1</f>
        <v>2761.1</v>
      </c>
      <c r="W43" s="564">
        <f>V43/$W$11</f>
        <v>138.05500000000001</v>
      </c>
      <c r="X43" s="564">
        <f>W43*$X$11</f>
        <v>27.611000000000004</v>
      </c>
      <c r="Y43" s="519">
        <f>W43-X43</f>
        <v>110.444</v>
      </c>
      <c r="Z43" s="569">
        <f>(Y43-U43)/Y43</f>
        <v>0.11869363659411113</v>
      </c>
      <c r="AA43" s="409">
        <f t="shared" si="3"/>
        <v>785.90000000000009</v>
      </c>
      <c r="AB43" s="557">
        <f t="shared" si="34"/>
        <v>198.04679999999999</v>
      </c>
      <c r="AC43" s="565">
        <f t="shared" si="40"/>
        <v>7071.33</v>
      </c>
      <c r="AD43" s="564">
        <f>AC43/$AD$11</f>
        <v>353.56650000000002</v>
      </c>
      <c r="AE43" s="564">
        <f>AD43*$AE$11</f>
        <v>70.713300000000004</v>
      </c>
      <c r="AF43" s="519">
        <f>AD43-AE43</f>
        <v>282.85320000000002</v>
      </c>
      <c r="AG43" s="569">
        <f>(AF43-AB43)/AF43</f>
        <v>0.29982478543640312</v>
      </c>
      <c r="AH43" s="408">
        <f t="shared" si="4"/>
        <v>1172.1500000000001</v>
      </c>
      <c r="AI43" s="409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2">
        <v>1</v>
      </c>
      <c r="D44" s="513" t="s">
        <v>298</v>
      </c>
      <c r="E44" s="514" t="s">
        <v>132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08">
        <f t="shared" si="1"/>
        <v>448.75</v>
      </c>
      <c r="U44" s="557">
        <f t="shared" si="2"/>
        <v>113.08499999999999</v>
      </c>
      <c r="V44" s="565">
        <f>3073.95</f>
        <v>3073.95</v>
      </c>
      <c r="W44" s="564">
        <f>V44/$W$11</f>
        <v>153.69749999999999</v>
      </c>
      <c r="X44" s="564">
        <f>W44*$X$11</f>
        <v>30.7395</v>
      </c>
      <c r="Y44" s="519">
        <f>W44-X44</f>
        <v>122.958</v>
      </c>
      <c r="Z44" s="569">
        <f>(Y44-U44)/Y44</f>
        <v>8.029571073049338E-2</v>
      </c>
      <c r="AA44" s="409">
        <f t="shared" si="3"/>
        <v>785.90000000000009</v>
      </c>
      <c r="AB44" s="557">
        <f t="shared" si="34"/>
        <v>198.04679999999999</v>
      </c>
      <c r="AC44" s="565">
        <f t="shared" si="40"/>
        <v>7071.33</v>
      </c>
      <c r="AD44" s="564">
        <f>AC44/$AD$11</f>
        <v>353.56650000000002</v>
      </c>
      <c r="AE44" s="564">
        <f>AD44*$AE$11</f>
        <v>70.713300000000004</v>
      </c>
      <c r="AF44" s="519">
        <f>AD44-AE44</f>
        <v>282.85320000000002</v>
      </c>
      <c r="AG44" s="569">
        <f>(AF44-AB44)/AF44</f>
        <v>0.29982478543640312</v>
      </c>
      <c r="AH44" s="408">
        <f t="shared" si="4"/>
        <v>1234.6500000000001</v>
      </c>
      <c r="AI44" s="409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0">
        <v>1</v>
      </c>
      <c r="D45" s="551" t="s">
        <v>298</v>
      </c>
      <c r="E45" s="552" t="s">
        <v>132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08">
        <f t="shared" si="1"/>
        <v>271.7</v>
      </c>
      <c r="U45" s="557">
        <f t="shared" si="2"/>
        <v>68.468399999999988</v>
      </c>
      <c r="V45" s="565"/>
      <c r="W45" s="565"/>
      <c r="X45" s="564"/>
      <c r="Y45" s="519"/>
      <c r="Z45" s="519"/>
      <c r="AA45" s="409">
        <f t="shared" si="3"/>
        <v>1069.7</v>
      </c>
      <c r="AB45" s="557">
        <f t="shared" si="34"/>
        <v>269.56439999999998</v>
      </c>
      <c r="AC45" s="565"/>
      <c r="AD45" s="565"/>
      <c r="AE45" s="564"/>
      <c r="AF45" s="519"/>
      <c r="AG45" s="519"/>
      <c r="AH45" s="408">
        <f t="shared" si="4"/>
        <v>1341.4</v>
      </c>
      <c r="AI45" s="409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6">
        <v>1</v>
      </c>
      <c r="D46" s="507" t="s">
        <v>298</v>
      </c>
      <c r="E46" s="508" t="s">
        <v>132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08">
        <f t="shared" si="1"/>
        <v>412.1</v>
      </c>
      <c r="U46" s="557">
        <f t="shared" si="2"/>
        <v>103.84919999999998</v>
      </c>
      <c r="V46" s="565"/>
      <c r="W46" s="565"/>
      <c r="X46" s="564"/>
      <c r="Y46" s="519"/>
      <c r="Z46" s="570">
        <f>AVERAGE(Z47:Z50)</f>
        <v>0.16551398328047112</v>
      </c>
      <c r="AA46" s="409">
        <f t="shared" si="3"/>
        <v>1069.7</v>
      </c>
      <c r="AB46" s="557">
        <f t="shared" si="34"/>
        <v>269.56439999999998</v>
      </c>
      <c r="AC46" s="565"/>
      <c r="AD46" s="565"/>
      <c r="AE46" s="564"/>
      <c r="AF46" s="519"/>
      <c r="AG46" s="570">
        <f>AVERAGE(AG47:AG50)</f>
        <v>9.3558709240062432E-2</v>
      </c>
      <c r="AH46" s="408">
        <f t="shared" si="4"/>
        <v>1481.8000000000002</v>
      </c>
      <c r="AI46" s="409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2">
        <v>1</v>
      </c>
      <c r="D47" s="513" t="s">
        <v>298</v>
      </c>
      <c r="E47" s="514" t="s">
        <v>132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08">
        <f t="shared" si="1"/>
        <v>347.1</v>
      </c>
      <c r="U47" s="557">
        <f t="shared" si="2"/>
        <v>87.469199999999987</v>
      </c>
      <c r="V47" s="565">
        <f>3127.68</f>
        <v>3127.68</v>
      </c>
      <c r="W47" s="564">
        <f>V47/$W$11</f>
        <v>156.38399999999999</v>
      </c>
      <c r="X47" s="564">
        <f>W47*$X$11</f>
        <v>31.276799999999998</v>
      </c>
      <c r="Y47" s="519">
        <f>W47-X47</f>
        <v>125.10719999999999</v>
      </c>
      <c r="Z47" s="569">
        <f>(Y47-U47)/Y47</f>
        <v>0.30084599447513816</v>
      </c>
      <c r="AA47" s="409">
        <f t="shared" si="3"/>
        <v>1069.7</v>
      </c>
      <c r="AB47" s="557">
        <f t="shared" si="34"/>
        <v>269.56439999999998</v>
      </c>
      <c r="AC47" s="565">
        <f>6916.29+518.4</f>
        <v>7434.69</v>
      </c>
      <c r="AD47" s="564">
        <f>AC47/$AD$11</f>
        <v>371.73449999999997</v>
      </c>
      <c r="AE47" s="564">
        <f>AD47*$AE$11</f>
        <v>74.346899999999991</v>
      </c>
      <c r="AF47" s="519">
        <f>AD47-AE47</f>
        <v>297.38759999999996</v>
      </c>
      <c r="AG47" s="569">
        <f>(AF47-AB47)/AF47</f>
        <v>9.3558709240062432E-2</v>
      </c>
      <c r="AH47" s="408">
        <f t="shared" si="4"/>
        <v>1416.8000000000002</v>
      </c>
      <c r="AI47" s="409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2">
        <v>1</v>
      </c>
      <c r="D48" s="513" t="s">
        <v>298</v>
      </c>
      <c r="E48" s="514" t="s">
        <v>132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08">
        <f t="shared" si="1"/>
        <v>418.95000000000005</v>
      </c>
      <c r="U48" s="557">
        <f t="shared" si="2"/>
        <v>105.57539999999999</v>
      </c>
      <c r="V48" s="565">
        <f>3459.22</f>
        <v>3459.22</v>
      </c>
      <c r="W48" s="564">
        <f>V48/$W$11</f>
        <v>172.96099999999998</v>
      </c>
      <c r="X48" s="564">
        <f>W48*$X$11</f>
        <v>34.592199999999998</v>
      </c>
      <c r="Y48" s="519">
        <f>W48-X48</f>
        <v>138.36879999999999</v>
      </c>
      <c r="Z48" s="569">
        <f>(Y48-U48)/Y48</f>
        <v>0.23699995952844866</v>
      </c>
      <c r="AA48" s="409">
        <f t="shared" si="3"/>
        <v>1069.7</v>
      </c>
      <c r="AB48" s="557">
        <f t="shared" si="34"/>
        <v>269.56439999999998</v>
      </c>
      <c r="AC48" s="565">
        <f t="shared" ref="AC48:AC50" si="41">6916.29+518.4</f>
        <v>7434.69</v>
      </c>
      <c r="AD48" s="564">
        <f>AC48/$AD$11</f>
        <v>371.73449999999997</v>
      </c>
      <c r="AE48" s="564">
        <f>AD48*$AE$11</f>
        <v>74.346899999999991</v>
      </c>
      <c r="AF48" s="519">
        <f>AD48-AE48</f>
        <v>297.38759999999996</v>
      </c>
      <c r="AG48" s="569">
        <f>(AF48-AB48)/AF48</f>
        <v>9.3558709240062432E-2</v>
      </c>
      <c r="AH48" s="408">
        <f t="shared" si="4"/>
        <v>1488.65</v>
      </c>
      <c r="AI48" s="409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2">
        <v>1</v>
      </c>
      <c r="D49" s="513" t="s">
        <v>298</v>
      </c>
      <c r="E49" s="514" t="s">
        <v>132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08">
        <f t="shared" si="1"/>
        <v>503.75</v>
      </c>
      <c r="U49" s="557">
        <f t="shared" si="2"/>
        <v>126.94499999999999</v>
      </c>
      <c r="V49" s="565">
        <v>3456.49</v>
      </c>
      <c r="W49" s="564">
        <f>V49/$W$11</f>
        <v>172.8245</v>
      </c>
      <c r="X49" s="564">
        <f>W49*$X$11</f>
        <v>34.564900000000002</v>
      </c>
      <c r="Y49" s="519">
        <f>W49-X49</f>
        <v>138.25960000000001</v>
      </c>
      <c r="Z49" s="569">
        <f>(Y49-U49)/Y49</f>
        <v>8.1835908681928873E-2</v>
      </c>
      <c r="AA49" s="409">
        <f t="shared" si="3"/>
        <v>1069.7</v>
      </c>
      <c r="AB49" s="557">
        <f t="shared" si="34"/>
        <v>269.56439999999998</v>
      </c>
      <c r="AC49" s="565">
        <f t="shared" si="41"/>
        <v>7434.69</v>
      </c>
      <c r="AD49" s="564">
        <f>AC49/$AD$11</f>
        <v>371.73449999999997</v>
      </c>
      <c r="AE49" s="564">
        <f>AD49*$AE$11</f>
        <v>74.346899999999991</v>
      </c>
      <c r="AF49" s="519">
        <f>AD49-AE49</f>
        <v>297.38759999999996</v>
      </c>
      <c r="AG49" s="569">
        <f>(AF49-AB49)/AF49</f>
        <v>9.3558709240062432E-2</v>
      </c>
      <c r="AH49" s="408">
        <f t="shared" si="4"/>
        <v>1573.45</v>
      </c>
      <c r="AI49" s="409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2">
        <v>1</v>
      </c>
      <c r="D50" s="513" t="s">
        <v>298</v>
      </c>
      <c r="E50" s="514" t="s">
        <v>132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08">
        <f t="shared" si="1"/>
        <v>585</v>
      </c>
      <c r="U50" s="557">
        <f t="shared" si="2"/>
        <v>147.41999999999999</v>
      </c>
      <c r="V50" s="565">
        <f>3848.58</f>
        <v>3848.58</v>
      </c>
      <c r="W50" s="564">
        <f>V50/$W$11</f>
        <v>192.429</v>
      </c>
      <c r="X50" s="564">
        <f>W50*$X$11</f>
        <v>38.485800000000005</v>
      </c>
      <c r="Y50" s="519">
        <f>W50-X50</f>
        <v>153.94319999999999</v>
      </c>
      <c r="Z50" s="569">
        <f>(Y50-U50)/Y50</f>
        <v>4.237407043636876E-2</v>
      </c>
      <c r="AA50" s="409">
        <f t="shared" si="3"/>
        <v>1069.7</v>
      </c>
      <c r="AB50" s="557">
        <f t="shared" si="34"/>
        <v>269.56439999999998</v>
      </c>
      <c r="AC50" s="565">
        <f t="shared" si="41"/>
        <v>7434.69</v>
      </c>
      <c r="AD50" s="564">
        <f>AC50/$AD$11</f>
        <v>371.73449999999997</v>
      </c>
      <c r="AE50" s="564">
        <f>AD50*$AE$11</f>
        <v>74.346899999999991</v>
      </c>
      <c r="AF50" s="519">
        <f>AD50-AE50</f>
        <v>297.38759999999996</v>
      </c>
      <c r="AG50" s="569">
        <f>(AF50-AB50)/AF50</f>
        <v>9.3558709240062432E-2</v>
      </c>
      <c r="AH50" s="408">
        <f t="shared" si="4"/>
        <v>1654.7</v>
      </c>
      <c r="AI50" s="409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0">
        <v>1</v>
      </c>
      <c r="D51" s="551" t="s">
        <v>298</v>
      </c>
      <c r="E51" s="552" t="s">
        <v>132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08">
        <f t="shared" si="1"/>
        <v>335.65000000000003</v>
      </c>
      <c r="U51" s="557">
        <f t="shared" si="2"/>
        <v>84.583800000000011</v>
      </c>
      <c r="V51" s="565"/>
      <c r="W51" s="565"/>
      <c r="X51" s="564"/>
      <c r="Y51" s="519"/>
      <c r="Z51" s="519"/>
      <c r="AA51" s="409">
        <f t="shared" si="3"/>
        <v>1353.45</v>
      </c>
      <c r="AB51" s="557">
        <f t="shared" si="34"/>
        <v>341.06939999999997</v>
      </c>
      <c r="AC51" s="565"/>
      <c r="AD51" s="565"/>
      <c r="AE51" s="564"/>
      <c r="AF51" s="519"/>
      <c r="AG51" s="519"/>
      <c r="AH51" s="408">
        <f t="shared" si="4"/>
        <v>1689.1000000000001</v>
      </c>
      <c r="AI51" s="409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6">
        <v>1</v>
      </c>
      <c r="D52" s="507" t="s">
        <v>298</v>
      </c>
      <c r="E52" s="508" t="s">
        <v>132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08">
        <f t="shared" si="1"/>
        <v>508.45000000000005</v>
      </c>
      <c r="U52" s="557">
        <f t="shared" si="2"/>
        <v>128.1294</v>
      </c>
      <c r="V52" s="565"/>
      <c r="W52" s="565"/>
      <c r="X52" s="564"/>
      <c r="Y52" s="519"/>
      <c r="Z52" s="570">
        <f>AVERAGE(Z53:Z56)</f>
        <v>0.14301474264129896</v>
      </c>
      <c r="AA52" s="409">
        <f t="shared" si="3"/>
        <v>1353.45</v>
      </c>
      <c r="AB52" s="557">
        <f t="shared" si="34"/>
        <v>341.06939999999997</v>
      </c>
      <c r="AC52" s="565"/>
      <c r="AD52" s="565"/>
      <c r="AE52" s="564"/>
      <c r="AF52" s="519"/>
      <c r="AG52" s="570">
        <f>AVERAGE(AG53:AG56)</f>
        <v>-8.076453126544765E-2</v>
      </c>
      <c r="AH52" s="408">
        <f t="shared" si="4"/>
        <v>1861.9</v>
      </c>
      <c r="AI52" s="409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2">
        <v>1</v>
      </c>
      <c r="D53" s="513" t="s">
        <v>298</v>
      </c>
      <c r="E53" s="514" t="s">
        <v>132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08">
        <f t="shared" si="1"/>
        <v>428.45000000000005</v>
      </c>
      <c r="U53" s="557">
        <f t="shared" si="2"/>
        <v>107.96940000000001</v>
      </c>
      <c r="V53" s="565">
        <f>3757.32</f>
        <v>3757.32</v>
      </c>
      <c r="W53" s="564">
        <f>V53/$W$11</f>
        <v>187.86600000000001</v>
      </c>
      <c r="X53" s="564">
        <f>W53*$X$11</f>
        <v>37.573200000000007</v>
      </c>
      <c r="Y53" s="519">
        <f>W53-X53</f>
        <v>150.2928</v>
      </c>
      <c r="Z53" s="569">
        <f>(Y53-U53)/Y53</f>
        <v>0.28160630449362839</v>
      </c>
      <c r="AA53" s="409">
        <f t="shared" si="3"/>
        <v>1353.45</v>
      </c>
      <c r="AB53" s="557">
        <f t="shared" si="34"/>
        <v>341.06939999999997</v>
      </c>
      <c r="AC53" s="565">
        <f>7371.14+518.4</f>
        <v>7889.54</v>
      </c>
      <c r="AD53" s="564">
        <f>AC53/$AD$11</f>
        <v>394.47699999999998</v>
      </c>
      <c r="AE53" s="564">
        <f>AD53*$AE$11</f>
        <v>78.895399999999995</v>
      </c>
      <c r="AF53" s="519">
        <f>AD53-AE53</f>
        <v>315.58159999999998</v>
      </c>
      <c r="AG53" s="569">
        <f>(AF53-AB53)/AF53</f>
        <v>-8.076453126544765E-2</v>
      </c>
      <c r="AH53" s="408">
        <f t="shared" si="4"/>
        <v>1781.9</v>
      </c>
      <c r="AI53" s="409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2">
        <v>1</v>
      </c>
      <c r="D54" s="513" t="s">
        <v>298</v>
      </c>
      <c r="E54" s="514" t="s">
        <v>132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08">
        <f t="shared" si="1"/>
        <v>516.85</v>
      </c>
      <c r="U54" s="557">
        <f t="shared" si="2"/>
        <v>130.24619999999999</v>
      </c>
      <c r="V54" s="565">
        <f>4154.61</f>
        <v>4154.6099999999997</v>
      </c>
      <c r="W54" s="564">
        <f>V54/$W$11</f>
        <v>207.73049999999998</v>
      </c>
      <c r="X54" s="564">
        <f>W54*$X$11</f>
        <v>41.546099999999996</v>
      </c>
      <c r="Y54" s="519">
        <f>W54-X54</f>
        <v>166.18439999999998</v>
      </c>
      <c r="Z54" s="569">
        <f>(Y54-U54)/Y54</f>
        <v>0.21625495533876826</v>
      </c>
      <c r="AA54" s="409">
        <f t="shared" si="3"/>
        <v>1353.45</v>
      </c>
      <c r="AB54" s="557">
        <f t="shared" si="34"/>
        <v>341.06939999999997</v>
      </c>
      <c r="AC54" s="565">
        <f t="shared" ref="AC54:AC56" si="42">7371.14+518.4</f>
        <v>7889.54</v>
      </c>
      <c r="AD54" s="564">
        <f>AC54/$AD$11</f>
        <v>394.47699999999998</v>
      </c>
      <c r="AE54" s="564">
        <f>AD54*$AE$11</f>
        <v>78.895399999999995</v>
      </c>
      <c r="AF54" s="519">
        <f>AD54-AE54</f>
        <v>315.58159999999998</v>
      </c>
      <c r="AG54" s="569">
        <f>(AF54-AB54)/AF54</f>
        <v>-8.076453126544765E-2</v>
      </c>
      <c r="AH54" s="408">
        <f t="shared" si="4"/>
        <v>1870.3000000000002</v>
      </c>
      <c r="AI54" s="409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2">
        <v>1</v>
      </c>
      <c r="D55" s="513" t="s">
        <v>298</v>
      </c>
      <c r="E55" s="514" t="s">
        <v>132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08">
        <f t="shared" si="1"/>
        <v>621.25</v>
      </c>
      <c r="U55" s="557">
        <f t="shared" si="2"/>
        <v>156.55500000000001</v>
      </c>
      <c r="V55" s="565">
        <f>4151.88</f>
        <v>4151.88</v>
      </c>
      <c r="W55" s="564">
        <f>V55/$W$11</f>
        <v>207.59399999999999</v>
      </c>
      <c r="X55" s="564">
        <f>W55*$X$11</f>
        <v>41.518799999999999</v>
      </c>
      <c r="Y55" s="519">
        <f>W55-X55</f>
        <v>166.0752</v>
      </c>
      <c r="Z55" s="569">
        <f>(Y55-U55)/Y55</f>
        <v>5.7324633659932303E-2</v>
      </c>
      <c r="AA55" s="409">
        <f t="shared" si="3"/>
        <v>1353.45</v>
      </c>
      <c r="AB55" s="557">
        <f t="shared" si="34"/>
        <v>341.06939999999997</v>
      </c>
      <c r="AC55" s="565">
        <f t="shared" si="42"/>
        <v>7889.54</v>
      </c>
      <c r="AD55" s="564">
        <f>AC55/$AD$11</f>
        <v>394.47699999999998</v>
      </c>
      <c r="AE55" s="564">
        <f>AD55*$AE$11</f>
        <v>78.895399999999995</v>
      </c>
      <c r="AF55" s="519">
        <f>AD55-AE55</f>
        <v>315.58159999999998</v>
      </c>
      <c r="AG55" s="569">
        <f>(AF55-AB55)/AF55</f>
        <v>-8.076453126544765E-2</v>
      </c>
      <c r="AH55" s="408">
        <f t="shared" si="4"/>
        <v>1974.7</v>
      </c>
      <c r="AI55" s="409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2">
        <v>1</v>
      </c>
      <c r="D56" s="513" t="s">
        <v>298</v>
      </c>
      <c r="E56" s="514" t="s">
        <v>132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08">
        <f t="shared" si="1"/>
        <v>721.25</v>
      </c>
      <c r="U56" s="557">
        <f t="shared" si="2"/>
        <v>181.75499999999997</v>
      </c>
      <c r="V56" s="565">
        <v>4621.8599999999997</v>
      </c>
      <c r="W56" s="564">
        <f>V56/$W$11</f>
        <v>231.09299999999999</v>
      </c>
      <c r="X56" s="564">
        <f>W56*$X$11</f>
        <v>46.218600000000002</v>
      </c>
      <c r="Y56" s="519">
        <f>W56-X56</f>
        <v>184.87439999999998</v>
      </c>
      <c r="Z56" s="569">
        <f>(Y56-U56)/Y56</f>
        <v>1.6873077072866841E-2</v>
      </c>
      <c r="AA56" s="409">
        <f t="shared" si="3"/>
        <v>1353.45</v>
      </c>
      <c r="AB56" s="557">
        <f t="shared" si="34"/>
        <v>341.06939999999997</v>
      </c>
      <c r="AC56" s="565">
        <f t="shared" si="42"/>
        <v>7889.54</v>
      </c>
      <c r="AD56" s="564">
        <f>AC56/$AD$11</f>
        <v>394.47699999999998</v>
      </c>
      <c r="AE56" s="564">
        <f>AD56*$AE$11</f>
        <v>78.895399999999995</v>
      </c>
      <c r="AF56" s="519">
        <f>AD56-AE56</f>
        <v>315.58159999999998</v>
      </c>
      <c r="AG56" s="569">
        <f>(AF56-AB56)/AF56</f>
        <v>-8.076453126544765E-2</v>
      </c>
      <c r="AH56" s="408">
        <f t="shared" si="4"/>
        <v>2074.6999999999998</v>
      </c>
      <c r="AI56" s="409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0">
        <v>1</v>
      </c>
      <c r="D57" s="551" t="s">
        <v>298</v>
      </c>
      <c r="E57" s="552" t="s">
        <v>132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08">
        <f t="shared" si="1"/>
        <v>407.55</v>
      </c>
      <c r="U57" s="557">
        <f t="shared" si="2"/>
        <v>102.70259999999998</v>
      </c>
      <c r="V57" s="565"/>
      <c r="W57" s="565"/>
      <c r="X57" s="564"/>
      <c r="Y57" s="519"/>
      <c r="Z57" s="519"/>
      <c r="AA57" s="409">
        <f t="shared" si="3"/>
        <v>1637.25</v>
      </c>
      <c r="AB57" s="557">
        <f t="shared" si="34"/>
        <v>412.58699999999993</v>
      </c>
      <c r="AC57" s="565"/>
      <c r="AD57" s="565"/>
      <c r="AE57" s="564"/>
      <c r="AF57" s="519"/>
      <c r="AG57" s="519"/>
      <c r="AH57" s="408">
        <f t="shared" si="4"/>
        <v>2044.8</v>
      </c>
      <c r="AI57" s="409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6">
        <v>1</v>
      </c>
      <c r="D58" s="507" t="s">
        <v>298</v>
      </c>
      <c r="E58" s="508" t="s">
        <v>132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08">
        <f t="shared" si="1"/>
        <v>618.15000000000009</v>
      </c>
      <c r="U58" s="557">
        <f t="shared" si="2"/>
        <v>155.77379999999999</v>
      </c>
      <c r="V58" s="565"/>
      <c r="W58" s="565"/>
      <c r="X58" s="564"/>
      <c r="Y58" s="519"/>
      <c r="Z58" s="570">
        <f>AVERAGE(Z59:Z62)</f>
        <v>0.14823690895697744</v>
      </c>
      <c r="AA58" s="409">
        <f t="shared" si="3"/>
        <v>1637.25</v>
      </c>
      <c r="AB58" s="557">
        <f t="shared" si="34"/>
        <v>412.58699999999993</v>
      </c>
      <c r="AC58" s="565"/>
      <c r="AD58" s="565"/>
      <c r="AE58" s="564"/>
      <c r="AF58" s="519"/>
      <c r="AG58" s="570">
        <f>AVERAGE(AG59:AG62)</f>
        <v>-0.2192647536865745</v>
      </c>
      <c r="AH58" s="408">
        <f t="shared" si="4"/>
        <v>2255.4</v>
      </c>
      <c r="AI58" s="409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2">
        <v>1</v>
      </c>
      <c r="D59" s="513" t="s">
        <v>298</v>
      </c>
      <c r="E59" s="514" t="s">
        <v>132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08">
        <f t="shared" si="1"/>
        <v>520.65</v>
      </c>
      <c r="U59" s="557">
        <f t="shared" si="2"/>
        <v>131.20379999999997</v>
      </c>
      <c r="V59" s="565">
        <f>4597.56</f>
        <v>4597.5600000000004</v>
      </c>
      <c r="W59" s="564">
        <f>V59/$W$11</f>
        <v>229.87800000000001</v>
      </c>
      <c r="X59" s="564">
        <f>W59*$X$11</f>
        <v>45.975600000000007</v>
      </c>
      <c r="Y59" s="519">
        <f>W59-X59</f>
        <v>183.9024</v>
      </c>
      <c r="Z59" s="569">
        <f>(Y59-U59)/Y59</f>
        <v>0.28655743481324891</v>
      </c>
      <c r="AA59" s="409">
        <f t="shared" si="3"/>
        <v>1637.25</v>
      </c>
      <c r="AB59" s="557">
        <f t="shared" si="34"/>
        <v>412.58699999999993</v>
      </c>
      <c r="AC59" s="565">
        <f>7941.35+518.4</f>
        <v>8459.75</v>
      </c>
      <c r="AD59" s="564">
        <f>AC59/$AD$11</f>
        <v>422.98750000000001</v>
      </c>
      <c r="AE59" s="564">
        <f>AD59*$AE$11</f>
        <v>84.597500000000011</v>
      </c>
      <c r="AF59" s="519">
        <f>AD59-AE59</f>
        <v>338.39</v>
      </c>
      <c r="AG59" s="569">
        <f>(AF59-AB59)/AF59</f>
        <v>-0.2192647536865745</v>
      </c>
      <c r="AH59" s="408">
        <f t="shared" si="4"/>
        <v>2157.9</v>
      </c>
      <c r="AI59" s="409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2">
        <v>1</v>
      </c>
      <c r="D60" s="513" t="s">
        <v>298</v>
      </c>
      <c r="E60" s="514" t="s">
        <v>132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08">
        <f t="shared" si="1"/>
        <v>628.40000000000009</v>
      </c>
      <c r="U60" s="557">
        <f t="shared" si="2"/>
        <v>158.35679999999999</v>
      </c>
      <c r="V60" s="565">
        <f>5083.62</f>
        <v>5083.62</v>
      </c>
      <c r="W60" s="564">
        <f>V60/$W$11</f>
        <v>254.18099999999998</v>
      </c>
      <c r="X60" s="564">
        <f>W60*$X$11</f>
        <v>50.836199999999998</v>
      </c>
      <c r="Y60" s="519">
        <f>W60-X60</f>
        <v>203.34479999999999</v>
      </c>
      <c r="Z60" s="569">
        <f>(Y60-U60)/Y60</f>
        <v>0.22123998253213262</v>
      </c>
      <c r="AA60" s="409">
        <f t="shared" si="3"/>
        <v>1637.25</v>
      </c>
      <c r="AB60" s="557">
        <f t="shared" si="34"/>
        <v>412.58699999999993</v>
      </c>
      <c r="AC60" s="565">
        <f t="shared" ref="AC60:AC62" si="43">7941.35+518.4</f>
        <v>8459.75</v>
      </c>
      <c r="AD60" s="564">
        <f>AC60/$AD$11</f>
        <v>422.98750000000001</v>
      </c>
      <c r="AE60" s="564">
        <f>AD60*$AE$11</f>
        <v>84.597500000000011</v>
      </c>
      <c r="AF60" s="519">
        <f>AD60-AE60</f>
        <v>338.39</v>
      </c>
      <c r="AG60" s="569">
        <f>(AF60-AB60)/AF60</f>
        <v>-0.2192647536865745</v>
      </c>
      <c r="AH60" s="408">
        <f t="shared" si="4"/>
        <v>2265.65</v>
      </c>
      <c r="AI60" s="409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2">
        <v>1</v>
      </c>
      <c r="D61" s="513" t="s">
        <v>298</v>
      </c>
      <c r="E61" s="514" t="s">
        <v>132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08">
        <f t="shared" si="1"/>
        <v>755.65000000000009</v>
      </c>
      <c r="U61" s="557">
        <f t="shared" si="2"/>
        <v>190.4238</v>
      </c>
      <c r="V61" s="565">
        <f>5079.53</f>
        <v>5079.53</v>
      </c>
      <c r="W61" s="564">
        <f>V61/$W$11</f>
        <v>253.97649999999999</v>
      </c>
      <c r="X61" s="564">
        <f>W61*$X$11</f>
        <v>50.795299999999997</v>
      </c>
      <c r="Y61" s="519">
        <f>W61-X61</f>
        <v>203.18119999999999</v>
      </c>
      <c r="Z61" s="569">
        <f>(Y61-U61)/Y61</f>
        <v>6.2788289467726299E-2</v>
      </c>
      <c r="AA61" s="409">
        <f t="shared" si="3"/>
        <v>1637.25</v>
      </c>
      <c r="AB61" s="557">
        <f t="shared" si="34"/>
        <v>412.58699999999993</v>
      </c>
      <c r="AC61" s="565">
        <f t="shared" si="43"/>
        <v>8459.75</v>
      </c>
      <c r="AD61" s="564">
        <f>AC61/$AD$11</f>
        <v>422.98750000000001</v>
      </c>
      <c r="AE61" s="564">
        <f>AD61*$AE$11</f>
        <v>84.597500000000011</v>
      </c>
      <c r="AF61" s="519">
        <f>AD61-AE61</f>
        <v>338.39</v>
      </c>
      <c r="AG61" s="569">
        <f>(AF61-AB61)/AF61</f>
        <v>-0.2192647536865745</v>
      </c>
      <c r="AH61" s="408">
        <f t="shared" si="4"/>
        <v>2392.9</v>
      </c>
      <c r="AI61" s="409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2">
        <v>1</v>
      </c>
      <c r="D62" s="513" t="s">
        <v>298</v>
      </c>
      <c r="E62" s="514" t="s">
        <v>132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08">
        <f t="shared" si="1"/>
        <v>877.5</v>
      </c>
      <c r="U62" s="557">
        <f t="shared" si="2"/>
        <v>221.13</v>
      </c>
      <c r="V62" s="565">
        <f>5654.7</f>
        <v>5654.7</v>
      </c>
      <c r="W62" s="564">
        <f>V62/$W$11</f>
        <v>282.73500000000001</v>
      </c>
      <c r="X62" s="564">
        <f>W62*$X$11</f>
        <v>56.547000000000004</v>
      </c>
      <c r="Y62" s="519">
        <f>W62-X62</f>
        <v>226.18800000000002</v>
      </c>
      <c r="Z62" s="569">
        <f>(Y62-U62)/Y62</f>
        <v>2.2361929014801937E-2</v>
      </c>
      <c r="AA62" s="409">
        <f t="shared" si="3"/>
        <v>1637.25</v>
      </c>
      <c r="AB62" s="557">
        <f t="shared" si="34"/>
        <v>412.58699999999993</v>
      </c>
      <c r="AC62" s="565">
        <f t="shared" si="43"/>
        <v>8459.75</v>
      </c>
      <c r="AD62" s="564">
        <f>AC62/$AD$11</f>
        <v>422.98750000000001</v>
      </c>
      <c r="AE62" s="564">
        <f>AD62*$AE$11</f>
        <v>84.597500000000011</v>
      </c>
      <c r="AF62" s="519">
        <f>AD62-AE62</f>
        <v>338.39</v>
      </c>
      <c r="AG62" s="569">
        <f>(AF62-AB62)/AF62</f>
        <v>-0.2192647536865745</v>
      </c>
      <c r="AH62" s="408">
        <f t="shared" si="4"/>
        <v>2514.75</v>
      </c>
      <c r="AI62" s="409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07" t="str">
        <f>IF('CALC -RIPP- MOT.PLUG IN'!S4="INGLES","QTY.","CANT.")</f>
        <v>CANT.</v>
      </c>
      <c r="D63" s="908" t="str">
        <f>IF('CALC -RIPP- MOT.PLUG IN'!S4="INGLES","DESCRIPTION OF ADDITIONAL SERVICES","DESCRIPCION DE SERVICIOS ADICIONALES")</f>
        <v>DESCRIPCION DE SERVICIOS ADICIONALES</v>
      </c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1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09" t="str">
        <f>IF(S4="INGLES","DRAPERIES","CORTINAS")</f>
        <v>CORTINAS</v>
      </c>
      <c r="C12" s="910"/>
      <c r="D12" s="910"/>
      <c r="E12" s="910"/>
      <c r="F12" s="910"/>
      <c r="G12" s="910"/>
      <c r="H12" s="910"/>
      <c r="I12" s="910"/>
      <c r="J12" s="910"/>
      <c r="K12" s="910"/>
      <c r="L12" s="910"/>
      <c r="M12" s="910"/>
      <c r="N12" s="910"/>
      <c r="O12" s="911"/>
      <c r="P12" s="909" t="str">
        <f>IF(S4="INGLES","HARDWARE","HERRAJE")</f>
        <v>HERRAJE</v>
      </c>
      <c r="Q12" s="910"/>
      <c r="R12" s="910"/>
      <c r="S12" s="910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09" t="str">
        <f>IF(S4="INGLES","TOTALS","TOTALES")</f>
        <v>TOTALES</v>
      </c>
      <c r="AI12" s="911"/>
      <c r="AJ12" s="181"/>
      <c r="AK12" s="963" t="s">
        <v>256</v>
      </c>
      <c r="AL12" s="963"/>
      <c r="AM12" s="963"/>
      <c r="AN12" s="964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5" t="s">
        <v>258</v>
      </c>
      <c r="AY12" s="907"/>
      <c r="AZ12" s="907"/>
      <c r="BA12" s="907"/>
      <c r="BB12" s="907"/>
      <c r="BC12" s="906"/>
      <c r="BD12" s="905" t="s">
        <v>189</v>
      </c>
      <c r="BE12" s="906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6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-P.P.- MOT.PLUG IN 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131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08">
        <f t="shared" ref="T15:T62" si="1">IF(OR(C15&lt;1,C15=""),"",BL15)</f>
        <v>342.70000000000005</v>
      </c>
      <c r="U15" s="557">
        <f t="shared" ref="U15:U62" si="2">T15*0.7*0.6*0.6</f>
        <v>86.360399999999998</v>
      </c>
      <c r="V15" s="564"/>
      <c r="W15" s="564"/>
      <c r="X15" s="564"/>
      <c r="Y15" s="519"/>
      <c r="Z15" s="631">
        <f>AVERAGE(Z17:Z20,Z23:Z26,Z29:Z32,Z35:Z38)</f>
        <v>0.14078820088993857</v>
      </c>
      <c r="AA15" s="409">
        <f t="shared" ref="AA15:AA62" si="3">IF(OR(C15&lt;1,C15=""),"",BO15)</f>
        <v>785.90000000000009</v>
      </c>
      <c r="AB15" s="557">
        <f>AA15*0.7*0.6*0.6</f>
        <v>198.04679999999999</v>
      </c>
      <c r="AC15" s="564"/>
      <c r="AD15" s="564"/>
      <c r="AE15" s="564"/>
      <c r="AF15" s="519"/>
      <c r="AG15" s="631">
        <f>AVERAGE(AG17:AG20,AG23:AG26,AG29:AG32,AG35:AG38)</f>
        <v>-4.6109980489726428E-2</v>
      </c>
      <c r="AH15" s="408">
        <f t="shared" ref="AH15:AH62" si="4">IF(OR(C15&lt;1,C15=""),"",T15+AA15)</f>
        <v>1128.6000000000001</v>
      </c>
      <c r="AI15" s="409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131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08">
        <f t="shared" si="1"/>
        <v>561.55000000000007</v>
      </c>
      <c r="U16" s="557">
        <f>T16*0.7*0.6*0.6</f>
        <v>141.51059999999998</v>
      </c>
      <c r="V16" s="564"/>
      <c r="W16" s="564"/>
      <c r="X16" s="564"/>
      <c r="Y16" s="519"/>
      <c r="Z16" s="570">
        <f>AVERAGE(Z17:Z20)</f>
        <v>0.2059626719499123</v>
      </c>
      <c r="AA16" s="409">
        <f t="shared" si="3"/>
        <v>785.90000000000009</v>
      </c>
      <c r="AB16" s="557">
        <f>AA16*0.7*0.6*0.6</f>
        <v>198.04679999999999</v>
      </c>
      <c r="AC16" s="564"/>
      <c r="AD16" s="564"/>
      <c r="AE16" s="564"/>
      <c r="AF16" s="519"/>
      <c r="AG16" s="570">
        <f>AVERAGE(AG17:AG20)</f>
        <v>0.26751880700352837</v>
      </c>
      <c r="AH16" s="408">
        <f t="shared" si="4"/>
        <v>1347.4500000000003</v>
      </c>
      <c r="AI16" s="409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0">
        <v>1</v>
      </c>
      <c r="D17" s="501" t="s">
        <v>298</v>
      </c>
      <c r="E17" s="502" t="s">
        <v>131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08">
        <f t="shared" si="1"/>
        <v>335</v>
      </c>
      <c r="U17" s="557">
        <f t="shared" si="2"/>
        <v>84.419999999999987</v>
      </c>
      <c r="V17" s="565">
        <v>2767.92</v>
      </c>
      <c r="W17" s="564">
        <f>V17/$W$11</f>
        <v>138.39600000000002</v>
      </c>
      <c r="X17" s="564">
        <f>W17*$X$11</f>
        <v>27.679200000000005</v>
      </c>
      <c r="Y17" s="519">
        <f>W17-X17</f>
        <v>110.71680000000001</v>
      </c>
      <c r="Z17" s="569">
        <f>(Y17-U17)/Y17</f>
        <v>0.23751409000260137</v>
      </c>
      <c r="AA17" s="409">
        <f t="shared" si="3"/>
        <v>785.90000000000009</v>
      </c>
      <c r="AB17" s="557">
        <f>AA17*0.7*0.6*0.6</f>
        <v>198.04679999999999</v>
      </c>
      <c r="AC17" s="565">
        <f>6241.05+518.4</f>
        <v>6759.45</v>
      </c>
      <c r="AD17" s="564">
        <f>AC17/$AD$11</f>
        <v>337.97249999999997</v>
      </c>
      <c r="AE17" s="564">
        <f>AD17*$AE$11</f>
        <v>67.594499999999996</v>
      </c>
      <c r="AF17" s="519">
        <f>AD17-AE17</f>
        <v>270.37799999999999</v>
      </c>
      <c r="AG17" s="569">
        <f>(AF17-AB17)/AF17</f>
        <v>0.26751880700352837</v>
      </c>
      <c r="AH17" s="408">
        <f t="shared" si="4"/>
        <v>1120.9000000000001</v>
      </c>
      <c r="AI17" s="409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0">
        <v>1</v>
      </c>
      <c r="D18" s="501" t="s">
        <v>298</v>
      </c>
      <c r="E18" s="502" t="s">
        <v>131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08">
        <f t="shared" si="1"/>
        <v>470.8</v>
      </c>
      <c r="U18" s="557">
        <f t="shared" si="2"/>
        <v>118.64159999999998</v>
      </c>
      <c r="V18" s="565">
        <f>3997.08</f>
        <v>3997.08</v>
      </c>
      <c r="W18" s="564">
        <f>V18/$W$11</f>
        <v>199.85399999999998</v>
      </c>
      <c r="X18" s="564">
        <f>W18*$X$11</f>
        <v>39.970799999999997</v>
      </c>
      <c r="Y18" s="519">
        <f>W18-X18</f>
        <v>159.88319999999999</v>
      </c>
      <c r="Z18" s="569">
        <f>(Y18-U18)/Y18</f>
        <v>0.25794830226065035</v>
      </c>
      <c r="AA18" s="409">
        <f t="shared" si="3"/>
        <v>785.90000000000009</v>
      </c>
      <c r="AB18" s="557">
        <f t="shared" ref="AB18:AB62" si="34">AA18*0.7*0.6*0.6</f>
        <v>198.04679999999999</v>
      </c>
      <c r="AC18" s="565">
        <f t="shared" ref="AC18:AC20" si="35">6241.05+518.4</f>
        <v>6759.45</v>
      </c>
      <c r="AD18" s="564">
        <f>AC18/$AD$11</f>
        <v>337.97249999999997</v>
      </c>
      <c r="AE18" s="564">
        <f>AD18*$AE$11</f>
        <v>67.594499999999996</v>
      </c>
      <c r="AF18" s="519">
        <f>AD18-AE18</f>
        <v>270.37799999999999</v>
      </c>
      <c r="AG18" s="569">
        <f>(AF18-AB18)/AF18</f>
        <v>0.26751880700352837</v>
      </c>
      <c r="AH18" s="408">
        <f t="shared" si="4"/>
        <v>1256.7</v>
      </c>
      <c r="AI18" s="409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0">
        <v>1</v>
      </c>
      <c r="D19" s="501" t="s">
        <v>298</v>
      </c>
      <c r="E19" s="502" t="s">
        <v>131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08">
        <f t="shared" si="1"/>
        <v>505.15000000000003</v>
      </c>
      <c r="U19" s="557">
        <f t="shared" si="2"/>
        <v>127.2978</v>
      </c>
      <c r="V19" s="565">
        <f>4176.47</f>
        <v>4176.47</v>
      </c>
      <c r="W19" s="564">
        <f>V19/$W$11</f>
        <v>208.82350000000002</v>
      </c>
      <c r="X19" s="564">
        <f>W19*$X$11</f>
        <v>41.764700000000005</v>
      </c>
      <c r="Y19" s="519">
        <f>W19-X19</f>
        <v>167.05880000000002</v>
      </c>
      <c r="Z19" s="569">
        <f>(Y19-U19)/Y19</f>
        <v>0.23800601943746763</v>
      </c>
      <c r="AA19" s="409">
        <f t="shared" si="3"/>
        <v>785.90000000000009</v>
      </c>
      <c r="AB19" s="557">
        <f t="shared" si="34"/>
        <v>198.04679999999999</v>
      </c>
      <c r="AC19" s="565">
        <f t="shared" si="35"/>
        <v>6759.45</v>
      </c>
      <c r="AD19" s="564">
        <f>AC19/$AD$11</f>
        <v>337.97249999999997</v>
      </c>
      <c r="AE19" s="564">
        <f>AD19*$AE$11</f>
        <v>67.594499999999996</v>
      </c>
      <c r="AF19" s="519">
        <f>AD19-AE19</f>
        <v>270.37799999999999</v>
      </c>
      <c r="AG19" s="569">
        <f>(AF19-AB19)/AF19</f>
        <v>0.26751880700352837</v>
      </c>
      <c r="AH19" s="408">
        <f t="shared" si="4"/>
        <v>1291.0500000000002</v>
      </c>
      <c r="AI19" s="409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0">
        <v>1</v>
      </c>
      <c r="D20" s="501" t="s">
        <v>298</v>
      </c>
      <c r="E20" s="502" t="s">
        <v>131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08">
        <f t="shared" si="1"/>
        <v>618.40000000000009</v>
      </c>
      <c r="U20" s="557">
        <f t="shared" si="2"/>
        <v>155.83680000000001</v>
      </c>
      <c r="V20" s="565">
        <f>4283.03</f>
        <v>4283.03</v>
      </c>
      <c r="W20" s="564">
        <f>V20/$W$11</f>
        <v>214.1515</v>
      </c>
      <c r="X20" s="564">
        <f>W20*$X$11</f>
        <v>42.830300000000001</v>
      </c>
      <c r="Y20" s="519">
        <f>W20-X20</f>
        <v>171.3212</v>
      </c>
      <c r="Z20" s="569">
        <f>(Y20-U20)/Y20</f>
        <v>9.0382276098929917E-2</v>
      </c>
      <c r="AA20" s="409">
        <f t="shared" si="3"/>
        <v>785.90000000000009</v>
      </c>
      <c r="AB20" s="557">
        <f t="shared" si="34"/>
        <v>198.04679999999999</v>
      </c>
      <c r="AC20" s="565">
        <f t="shared" si="35"/>
        <v>6759.45</v>
      </c>
      <c r="AD20" s="564">
        <f>AC20/$AD$11</f>
        <v>337.97249999999997</v>
      </c>
      <c r="AE20" s="564">
        <f>AD20*$AE$11</f>
        <v>67.594499999999996</v>
      </c>
      <c r="AF20" s="519">
        <f>AD20-AE20</f>
        <v>270.37799999999999</v>
      </c>
      <c r="AG20" s="569">
        <f>(AF20-AB20)/AF20</f>
        <v>0.26751880700352837</v>
      </c>
      <c r="AH20" s="408">
        <f t="shared" si="4"/>
        <v>1404.3000000000002</v>
      </c>
      <c r="AI20" s="409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4">
        <v>1</v>
      </c>
      <c r="D21" s="545" t="s">
        <v>298</v>
      </c>
      <c r="E21" s="546" t="s">
        <v>131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08">
        <f t="shared" si="1"/>
        <v>459.25</v>
      </c>
      <c r="U21" s="557">
        <f t="shared" si="2"/>
        <v>115.73099999999997</v>
      </c>
      <c r="V21" s="565"/>
      <c r="W21" s="565"/>
      <c r="X21" s="564"/>
      <c r="Y21" s="519"/>
      <c r="Z21" s="519"/>
      <c r="AA21" s="409">
        <f t="shared" si="3"/>
        <v>1069.7</v>
      </c>
      <c r="AB21" s="557">
        <f t="shared" si="34"/>
        <v>269.56439999999998</v>
      </c>
      <c r="AC21" s="565"/>
      <c r="AD21" s="565"/>
      <c r="AE21" s="564"/>
      <c r="AF21" s="519"/>
      <c r="AG21" s="519"/>
      <c r="AH21" s="408">
        <f t="shared" si="4"/>
        <v>1528.95</v>
      </c>
      <c r="AI21" s="409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38">
        <v>1</v>
      </c>
      <c r="D22" s="539" t="s">
        <v>298</v>
      </c>
      <c r="E22" s="540" t="s">
        <v>131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08">
        <f t="shared" si="1"/>
        <v>752.80000000000007</v>
      </c>
      <c r="U22" s="557">
        <f t="shared" si="2"/>
        <v>189.70559999999998</v>
      </c>
      <c r="V22" s="565"/>
      <c r="W22" s="565"/>
      <c r="X22" s="564"/>
      <c r="Y22" s="519"/>
      <c r="Z22" s="570">
        <f>AVERAGE(Z23:Z26)</f>
        <v>0.14614017499195722</v>
      </c>
      <c r="AA22" s="409">
        <f t="shared" si="3"/>
        <v>1069.7</v>
      </c>
      <c r="AB22" s="557">
        <f t="shared" si="34"/>
        <v>269.56439999999998</v>
      </c>
      <c r="AC22" s="565"/>
      <c r="AD22" s="565"/>
      <c r="AE22" s="564"/>
      <c r="AF22" s="519"/>
      <c r="AG22" s="570">
        <f>AVERAGE(AG23:AG26)</f>
        <v>3.6583221467874925E-2</v>
      </c>
      <c r="AH22" s="408">
        <f t="shared" si="4"/>
        <v>1822.5</v>
      </c>
      <c r="AI22" s="409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0">
        <v>1</v>
      </c>
      <c r="D23" s="501" t="s">
        <v>298</v>
      </c>
      <c r="E23" s="502" t="s">
        <v>131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08">
        <f t="shared" si="1"/>
        <v>448.95000000000005</v>
      </c>
      <c r="U23" s="557">
        <f t="shared" si="2"/>
        <v>113.13539999999999</v>
      </c>
      <c r="V23" s="565">
        <f>3448.29</f>
        <v>3448.29</v>
      </c>
      <c r="W23" s="564">
        <f>V23/$W$11</f>
        <v>172.4145</v>
      </c>
      <c r="X23" s="564">
        <f>W23*$X$11</f>
        <v>34.482900000000001</v>
      </c>
      <c r="Y23" s="519">
        <f>W23-X23</f>
        <v>137.9316</v>
      </c>
      <c r="Z23" s="569">
        <f>(Y23-U23)/Y23</f>
        <v>0.17977171293597705</v>
      </c>
      <c r="AA23" s="409">
        <f t="shared" si="3"/>
        <v>1069.7</v>
      </c>
      <c r="AB23" s="557">
        <f t="shared" si="34"/>
        <v>269.56439999999998</v>
      </c>
      <c r="AC23" s="565">
        <f>6476.61+518.4</f>
        <v>6995.0099999999993</v>
      </c>
      <c r="AD23" s="564">
        <f>AC23/$AD$11</f>
        <v>349.75049999999999</v>
      </c>
      <c r="AE23" s="564">
        <f>AD23*$AE$11</f>
        <v>69.950100000000006</v>
      </c>
      <c r="AF23" s="519">
        <f>AD23-AE23</f>
        <v>279.80039999999997</v>
      </c>
      <c r="AG23" s="569">
        <f>(AF23-AB23)/AF23</f>
        <v>3.6583221467874925E-2</v>
      </c>
      <c r="AH23" s="408">
        <f t="shared" si="4"/>
        <v>1518.65</v>
      </c>
      <c r="AI23" s="409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0">
        <v>1</v>
      </c>
      <c r="D24" s="501" t="s">
        <v>298</v>
      </c>
      <c r="E24" s="502" t="s">
        <v>131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08">
        <f t="shared" si="1"/>
        <v>631.1</v>
      </c>
      <c r="U24" s="557">
        <f t="shared" si="2"/>
        <v>159.03719999999996</v>
      </c>
      <c r="V24" s="565">
        <v>4988.5200000000004</v>
      </c>
      <c r="W24" s="564">
        <f>V24/$W$11</f>
        <v>249.42600000000002</v>
      </c>
      <c r="X24" s="564">
        <f>W24*$X$11</f>
        <v>49.885200000000005</v>
      </c>
      <c r="Y24" s="519">
        <f>W24-X24</f>
        <v>199.54080000000002</v>
      </c>
      <c r="Z24" s="569">
        <f>(Y24-U24)/Y24</f>
        <v>0.20298405138197331</v>
      </c>
      <c r="AA24" s="409">
        <f t="shared" si="3"/>
        <v>1069.7</v>
      </c>
      <c r="AB24" s="557">
        <f t="shared" si="34"/>
        <v>269.56439999999998</v>
      </c>
      <c r="AC24" s="565">
        <f t="shared" ref="AC24:AC26" si="36">6476.61+518.4</f>
        <v>6995.0099999999993</v>
      </c>
      <c r="AD24" s="564">
        <f>AC24/$AD$11</f>
        <v>349.75049999999999</v>
      </c>
      <c r="AE24" s="564">
        <f>AD24*$AE$11</f>
        <v>69.950100000000006</v>
      </c>
      <c r="AF24" s="519">
        <f>AD24-AE24</f>
        <v>279.80039999999997</v>
      </c>
      <c r="AG24" s="569">
        <f>(AF24-AB24)/AF24</f>
        <v>3.6583221467874925E-2</v>
      </c>
      <c r="AH24" s="408">
        <f t="shared" si="4"/>
        <v>1700.8000000000002</v>
      </c>
      <c r="AI24" s="409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0">
        <v>1</v>
      </c>
      <c r="D25" s="501" t="s">
        <v>298</v>
      </c>
      <c r="E25" s="502" t="s">
        <v>131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08">
        <f t="shared" si="1"/>
        <v>677.2</v>
      </c>
      <c r="U25" s="557">
        <f t="shared" si="2"/>
        <v>170.65439999999998</v>
      </c>
      <c r="V25" s="565">
        <f>5205.22</f>
        <v>5205.22</v>
      </c>
      <c r="W25" s="564">
        <f>V25/$W$11</f>
        <v>260.26100000000002</v>
      </c>
      <c r="X25" s="564">
        <f>W25*$X$11</f>
        <v>52.052200000000006</v>
      </c>
      <c r="Y25" s="519">
        <f>W25-X25</f>
        <v>208.20880000000002</v>
      </c>
      <c r="Z25" s="569">
        <f>(Y25-U25)/Y25</f>
        <v>0.18036893733598214</v>
      </c>
      <c r="AA25" s="409">
        <f t="shared" si="3"/>
        <v>1069.7</v>
      </c>
      <c r="AB25" s="557">
        <f t="shared" si="34"/>
        <v>269.56439999999998</v>
      </c>
      <c r="AC25" s="565">
        <f t="shared" si="36"/>
        <v>6995.0099999999993</v>
      </c>
      <c r="AD25" s="564">
        <f>AC25/$AD$11</f>
        <v>349.75049999999999</v>
      </c>
      <c r="AE25" s="564">
        <f>AD25*$AE$11</f>
        <v>69.950100000000006</v>
      </c>
      <c r="AF25" s="519">
        <f>AD25-AE25</f>
        <v>279.80039999999997</v>
      </c>
      <c r="AG25" s="569">
        <f>(AF25-AB25)/AF25</f>
        <v>3.6583221467874925E-2</v>
      </c>
      <c r="AH25" s="408">
        <f t="shared" si="4"/>
        <v>1746.9</v>
      </c>
      <c r="AI25" s="409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0">
        <v>1</v>
      </c>
      <c r="D26" s="501" t="s">
        <v>298</v>
      </c>
      <c r="E26" s="502" t="s">
        <v>131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08">
        <f t="shared" si="1"/>
        <v>829.1</v>
      </c>
      <c r="U26" s="557">
        <f t="shared" si="2"/>
        <v>208.93319999999997</v>
      </c>
      <c r="V26" s="565">
        <f>5337.75</f>
        <v>5337.75</v>
      </c>
      <c r="W26" s="564">
        <f>V26/$W$11</f>
        <v>266.88749999999999</v>
      </c>
      <c r="X26" s="564">
        <f>W26*$X$11</f>
        <v>53.377499999999998</v>
      </c>
      <c r="Y26" s="519">
        <f>W26-X26</f>
        <v>213.51</v>
      </c>
      <c r="Z26" s="569">
        <f>(Y26-U26)/Y26</f>
        <v>2.14359983138964E-2</v>
      </c>
      <c r="AA26" s="409">
        <f t="shared" si="3"/>
        <v>1069.7</v>
      </c>
      <c r="AB26" s="557">
        <f t="shared" si="34"/>
        <v>269.56439999999998</v>
      </c>
      <c r="AC26" s="565">
        <f t="shared" si="36"/>
        <v>6995.0099999999993</v>
      </c>
      <c r="AD26" s="564">
        <f>AC26/$AD$11</f>
        <v>349.75049999999999</v>
      </c>
      <c r="AE26" s="564">
        <f>AD26*$AE$11</f>
        <v>69.950100000000006</v>
      </c>
      <c r="AF26" s="519">
        <f>AD26-AE26</f>
        <v>279.80039999999997</v>
      </c>
      <c r="AG26" s="569">
        <f>(AF26-AB26)/AF26</f>
        <v>3.6583221467874925E-2</v>
      </c>
      <c r="AH26" s="408">
        <f t="shared" si="4"/>
        <v>1898.8000000000002</v>
      </c>
      <c r="AI26" s="409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4">
        <v>1</v>
      </c>
      <c r="D27" s="545" t="s">
        <v>298</v>
      </c>
      <c r="E27" s="546" t="s">
        <v>131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08">
        <f t="shared" si="1"/>
        <v>568.80000000000007</v>
      </c>
      <c r="U27" s="557">
        <f t="shared" si="2"/>
        <v>143.33760000000001</v>
      </c>
      <c r="V27" s="565"/>
      <c r="W27" s="565"/>
      <c r="X27" s="564"/>
      <c r="Y27" s="519"/>
      <c r="Z27" s="519"/>
      <c r="AA27" s="409">
        <f t="shared" si="3"/>
        <v>1353.45</v>
      </c>
      <c r="AB27" s="557">
        <f t="shared" si="34"/>
        <v>341.06939999999997</v>
      </c>
      <c r="AC27" s="565"/>
      <c r="AD27" s="565"/>
      <c r="AE27" s="564"/>
      <c r="AF27" s="519"/>
      <c r="AG27" s="519"/>
      <c r="AH27" s="408">
        <f t="shared" si="4"/>
        <v>1922.25</v>
      </c>
      <c r="AI27" s="409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38">
        <v>1</v>
      </c>
      <c r="D28" s="539" t="s">
        <v>298</v>
      </c>
      <c r="E28" s="540" t="s">
        <v>131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08">
        <f t="shared" si="1"/>
        <v>931.75</v>
      </c>
      <c r="U28" s="557">
        <f t="shared" si="2"/>
        <v>234.80099999999993</v>
      </c>
      <c r="V28" s="565"/>
      <c r="W28" s="565"/>
      <c r="X28" s="564"/>
      <c r="Y28" s="519"/>
      <c r="Z28" s="570">
        <f>AVERAGE(Z29:Z32)</f>
        <v>0.1174794713209369</v>
      </c>
      <c r="AA28" s="409">
        <f t="shared" si="3"/>
        <v>1353.45</v>
      </c>
      <c r="AB28" s="557">
        <f t="shared" si="34"/>
        <v>341.06939999999997</v>
      </c>
      <c r="AC28" s="565"/>
      <c r="AD28" s="565"/>
      <c r="AE28" s="564"/>
      <c r="AF28" s="519"/>
      <c r="AG28" s="570">
        <f>AVERAGE(AG29:AG32)</f>
        <v>-0.1616140493323269</v>
      </c>
      <c r="AH28" s="408">
        <f t="shared" si="4"/>
        <v>2285.1999999999998</v>
      </c>
      <c r="AI28" s="409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0">
        <v>1</v>
      </c>
      <c r="D29" s="501" t="s">
        <v>298</v>
      </c>
      <c r="E29" s="502" t="s">
        <v>131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08">
        <f t="shared" si="1"/>
        <v>556.05000000000007</v>
      </c>
      <c r="U29" s="557">
        <f t="shared" si="2"/>
        <v>140.12459999999999</v>
      </c>
      <c r="V29" s="565">
        <f>4127.3</f>
        <v>4127.3</v>
      </c>
      <c r="W29" s="564">
        <f>V29/$W$11</f>
        <v>206.36500000000001</v>
      </c>
      <c r="X29" s="564">
        <f>W29*$X$11</f>
        <v>41.273000000000003</v>
      </c>
      <c r="Y29" s="519">
        <f>W29-X29</f>
        <v>165.09200000000001</v>
      </c>
      <c r="Z29" s="569">
        <f>(Y29-U29)/Y29</f>
        <v>0.1512332517626537</v>
      </c>
      <c r="AA29" s="409">
        <f t="shared" si="3"/>
        <v>1353.45</v>
      </c>
      <c r="AB29" s="557">
        <f t="shared" si="34"/>
        <v>341.06939999999997</v>
      </c>
      <c r="AC29" s="565">
        <f>6822.02+518.4</f>
        <v>7340.42</v>
      </c>
      <c r="AD29" s="564">
        <f>AC29/$AD$11</f>
        <v>367.02100000000002</v>
      </c>
      <c r="AE29" s="564">
        <f>AD29*$AE$11</f>
        <v>73.404200000000003</v>
      </c>
      <c r="AF29" s="519">
        <f>AD29-AE29</f>
        <v>293.61680000000001</v>
      </c>
      <c r="AG29" s="569">
        <f>(AF29-AB29)/AF29</f>
        <v>-0.1616140493323269</v>
      </c>
      <c r="AH29" s="408">
        <f t="shared" si="4"/>
        <v>1909.5</v>
      </c>
      <c r="AI29" s="409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0">
        <v>1</v>
      </c>
      <c r="D30" s="501" t="s">
        <v>298</v>
      </c>
      <c r="E30" s="502" t="s">
        <v>131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08">
        <f t="shared" si="1"/>
        <v>781.30000000000007</v>
      </c>
      <c r="U30" s="557">
        <f t="shared" si="2"/>
        <v>196.88759999999996</v>
      </c>
      <c r="V30" s="565">
        <f>5979.96</f>
        <v>5979.96</v>
      </c>
      <c r="W30" s="564">
        <f>V30/$W$11</f>
        <v>298.99799999999999</v>
      </c>
      <c r="X30" s="564">
        <f>W30*$X$11</f>
        <v>59.799599999999998</v>
      </c>
      <c r="Y30" s="519">
        <f>W30-X30</f>
        <v>239.19839999999999</v>
      </c>
      <c r="Z30" s="569">
        <f>(Y30-U30)/Y30</f>
        <v>0.17688579856721462</v>
      </c>
      <c r="AA30" s="409">
        <f t="shared" si="3"/>
        <v>1353.45</v>
      </c>
      <c r="AB30" s="557">
        <f t="shared" si="34"/>
        <v>341.06939999999997</v>
      </c>
      <c r="AC30" s="565">
        <f t="shared" ref="AC30:AC32" si="38">6822.02+518.4</f>
        <v>7340.42</v>
      </c>
      <c r="AD30" s="564">
        <f>AC30/$AD$11</f>
        <v>367.02100000000002</v>
      </c>
      <c r="AE30" s="564">
        <f>AD30*$AE$11</f>
        <v>73.404200000000003</v>
      </c>
      <c r="AF30" s="519">
        <f>AD30-AE30</f>
        <v>293.61680000000001</v>
      </c>
      <c r="AG30" s="569">
        <f>(AF30-AB30)/AF30</f>
        <v>-0.1616140493323269</v>
      </c>
      <c r="AH30" s="408">
        <f t="shared" si="4"/>
        <v>2134.75</v>
      </c>
      <c r="AI30" s="409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0">
        <v>1</v>
      </c>
      <c r="D31" s="501" t="s">
        <v>298</v>
      </c>
      <c r="E31" s="502" t="s">
        <v>131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08">
        <f t="shared" si="1"/>
        <v>838.25</v>
      </c>
      <c r="U31" s="557">
        <f t="shared" si="2"/>
        <v>211.239</v>
      </c>
      <c r="V31" s="565">
        <v>6235.34</v>
      </c>
      <c r="W31" s="564">
        <f>V31/$W$11</f>
        <v>311.767</v>
      </c>
      <c r="X31" s="564">
        <f>W31*$X$11</f>
        <v>62.353400000000001</v>
      </c>
      <c r="Y31" s="519">
        <f>W31-X31</f>
        <v>249.4136</v>
      </c>
      <c r="Z31" s="569">
        <f>(Y31-U31)/Y31</f>
        <v>0.15305741146433072</v>
      </c>
      <c r="AA31" s="409">
        <f t="shared" si="3"/>
        <v>1353.45</v>
      </c>
      <c r="AB31" s="557">
        <f t="shared" si="34"/>
        <v>341.06939999999997</v>
      </c>
      <c r="AC31" s="565">
        <f t="shared" si="38"/>
        <v>7340.42</v>
      </c>
      <c r="AD31" s="564">
        <f>AC31/$AD$11</f>
        <v>367.02100000000002</v>
      </c>
      <c r="AE31" s="564">
        <f>AD31*$AE$11</f>
        <v>73.404200000000003</v>
      </c>
      <c r="AF31" s="519">
        <f>AD31-AE31</f>
        <v>293.61680000000001</v>
      </c>
      <c r="AG31" s="569">
        <f>(AF31-AB31)/AF31</f>
        <v>-0.1616140493323269</v>
      </c>
      <c r="AH31" s="408">
        <f t="shared" si="4"/>
        <v>2191.6999999999998</v>
      </c>
      <c r="AI31" s="409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0">
        <v>1</v>
      </c>
      <c r="D32" s="501" t="s">
        <v>298</v>
      </c>
      <c r="E32" s="502" t="s">
        <v>131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08">
        <f t="shared" si="1"/>
        <v>1026.1000000000001</v>
      </c>
      <c r="U32" s="557">
        <f t="shared" si="2"/>
        <v>258.5772</v>
      </c>
      <c r="V32" s="565">
        <f>6392.46</f>
        <v>6392.46</v>
      </c>
      <c r="W32" s="564">
        <f>V32/$W$11</f>
        <v>319.62299999999999</v>
      </c>
      <c r="X32" s="564">
        <f>W32*$X$11</f>
        <v>63.924599999999998</v>
      </c>
      <c r="Y32" s="519">
        <f>W32-X32</f>
        <v>255.69839999999999</v>
      </c>
      <c r="Z32" s="569">
        <f>(Y32-U32)/Y32</f>
        <v>-1.1258576510451425E-2</v>
      </c>
      <c r="AA32" s="409">
        <f t="shared" si="3"/>
        <v>1353.45</v>
      </c>
      <c r="AB32" s="557">
        <f t="shared" si="34"/>
        <v>341.06939999999997</v>
      </c>
      <c r="AC32" s="565">
        <f t="shared" si="38"/>
        <v>7340.42</v>
      </c>
      <c r="AD32" s="564">
        <f>AC32/$AD$11</f>
        <v>367.02100000000002</v>
      </c>
      <c r="AE32" s="564">
        <f>AD32*$AE$11</f>
        <v>73.404200000000003</v>
      </c>
      <c r="AF32" s="519">
        <f>AD32-AE32</f>
        <v>293.61680000000001</v>
      </c>
      <c r="AG32" s="569">
        <f>(AF32-AB32)/AF32</f>
        <v>-0.1616140493323269</v>
      </c>
      <c r="AH32" s="408">
        <f t="shared" si="4"/>
        <v>2379.5500000000002</v>
      </c>
      <c r="AI32" s="409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4">
        <v>1</v>
      </c>
      <c r="D33" s="545" t="s">
        <v>298</v>
      </c>
      <c r="E33" s="546" t="s">
        <v>131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08">
        <f t="shared" si="1"/>
        <v>685.35</v>
      </c>
      <c r="U33" s="557">
        <f t="shared" si="2"/>
        <v>172.70819999999998</v>
      </c>
      <c r="V33" s="565"/>
      <c r="W33" s="565"/>
      <c r="X33" s="564"/>
      <c r="Y33" s="519"/>
      <c r="Z33" s="519"/>
      <c r="AA33" s="409">
        <f t="shared" si="3"/>
        <v>1637.25</v>
      </c>
      <c r="AB33" s="557">
        <f t="shared" si="34"/>
        <v>412.58699999999993</v>
      </c>
      <c r="AC33" s="565"/>
      <c r="AD33" s="565"/>
      <c r="AE33" s="564"/>
      <c r="AF33" s="519"/>
      <c r="AG33" s="519"/>
      <c r="AH33" s="408">
        <f t="shared" si="4"/>
        <v>2322.6</v>
      </c>
      <c r="AI33" s="409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38">
        <v>1</v>
      </c>
      <c r="D34" s="539" t="s">
        <v>298</v>
      </c>
      <c r="E34" s="540" t="s">
        <v>131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08">
        <f t="shared" si="1"/>
        <v>1123.05</v>
      </c>
      <c r="U34" s="557">
        <f t="shared" si="2"/>
        <v>283.00859999999994</v>
      </c>
      <c r="V34" s="565"/>
      <c r="W34" s="565"/>
      <c r="X34" s="564"/>
      <c r="Y34" s="519"/>
      <c r="Z34" s="570">
        <f>AVERAGE(Z35:Z38)</f>
        <v>9.3570485296947795E-2</v>
      </c>
      <c r="AA34" s="409">
        <f t="shared" si="3"/>
        <v>1637.25</v>
      </c>
      <c r="AB34" s="557">
        <f t="shared" si="34"/>
        <v>412.58699999999993</v>
      </c>
      <c r="AC34" s="565"/>
      <c r="AD34" s="565"/>
      <c r="AE34" s="564"/>
      <c r="AF34" s="519"/>
      <c r="AG34" s="570">
        <f>AVERAGE(AG35:AG38)</f>
        <v>-0.32692790109798214</v>
      </c>
      <c r="AH34" s="408">
        <f t="shared" si="4"/>
        <v>2760.3</v>
      </c>
      <c r="AI34" s="409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0">
        <v>1</v>
      </c>
      <c r="D35" s="501" t="s">
        <v>298</v>
      </c>
      <c r="E35" s="502" t="s">
        <v>131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08">
        <f t="shared" si="1"/>
        <v>670</v>
      </c>
      <c r="U35" s="557">
        <f t="shared" si="2"/>
        <v>168.83999999999997</v>
      </c>
      <c r="V35" s="565">
        <f>4847.28</f>
        <v>4847.28</v>
      </c>
      <c r="W35" s="564">
        <f>V35/$W$11</f>
        <v>242.36399999999998</v>
      </c>
      <c r="X35" s="564">
        <f>W35*$X$11</f>
        <v>48.472799999999999</v>
      </c>
      <c r="Y35" s="519">
        <f>W35-X35</f>
        <v>193.89119999999997</v>
      </c>
      <c r="Z35" s="569">
        <f>(Y35-U35)/Y35</f>
        <v>0.12920235678566122</v>
      </c>
      <c r="AA35" s="409">
        <f t="shared" si="3"/>
        <v>1637.25</v>
      </c>
      <c r="AB35" s="557">
        <f t="shared" si="34"/>
        <v>412.58699999999993</v>
      </c>
      <c r="AC35" s="565">
        <f>7254.95+518.4</f>
        <v>7773.3499999999995</v>
      </c>
      <c r="AD35" s="564">
        <f>AC35/$AD$11</f>
        <v>388.66749999999996</v>
      </c>
      <c r="AE35" s="564">
        <f>AD35*$AE$11</f>
        <v>77.733499999999992</v>
      </c>
      <c r="AF35" s="519">
        <f>AD35-AE35</f>
        <v>310.93399999999997</v>
      </c>
      <c r="AG35" s="569">
        <f>(AF35-AB35)/AF35</f>
        <v>-0.32692790109798214</v>
      </c>
      <c r="AH35" s="408">
        <f t="shared" si="4"/>
        <v>2307.25</v>
      </c>
      <c r="AI35" s="409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0">
        <v>1</v>
      </c>
      <c r="D36" s="501" t="s">
        <v>298</v>
      </c>
      <c r="E36" s="502" t="s">
        <v>131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08">
        <f t="shared" si="1"/>
        <v>941.6</v>
      </c>
      <c r="U36" s="557">
        <f t="shared" si="2"/>
        <v>237.28319999999997</v>
      </c>
      <c r="V36" s="565">
        <f>7028.64</f>
        <v>7028.64</v>
      </c>
      <c r="W36" s="564">
        <f>V36/$W$11</f>
        <v>351.43200000000002</v>
      </c>
      <c r="X36" s="564">
        <f>W36*$X$11</f>
        <v>70.2864</v>
      </c>
      <c r="Y36" s="519">
        <f>W36-X36</f>
        <v>281.1456</v>
      </c>
      <c r="Z36" s="569">
        <f>(Y36-U36)/Y36</f>
        <v>0.15601311206719948</v>
      </c>
      <c r="AA36" s="409">
        <f t="shared" si="3"/>
        <v>1637.25</v>
      </c>
      <c r="AB36" s="557">
        <f t="shared" si="34"/>
        <v>412.58699999999993</v>
      </c>
      <c r="AC36" s="565">
        <f t="shared" ref="AC36:AC38" si="39">7254.95+518.4</f>
        <v>7773.3499999999995</v>
      </c>
      <c r="AD36" s="564">
        <f>AC36/$AD$11</f>
        <v>388.66749999999996</v>
      </c>
      <c r="AE36" s="564">
        <f>AD36*$AE$11</f>
        <v>77.733499999999992</v>
      </c>
      <c r="AF36" s="519">
        <f>AD36-AE36</f>
        <v>310.93399999999997</v>
      </c>
      <c r="AG36" s="569">
        <f>(AF36-AB36)/AF36</f>
        <v>-0.32692790109798214</v>
      </c>
      <c r="AH36" s="408">
        <f t="shared" si="4"/>
        <v>2578.85</v>
      </c>
      <c r="AI36" s="409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0">
        <v>1</v>
      </c>
      <c r="D37" s="501" t="s">
        <v>298</v>
      </c>
      <c r="E37" s="502" t="s">
        <v>131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08">
        <f t="shared" si="1"/>
        <v>1010.3000000000001</v>
      </c>
      <c r="U37" s="557">
        <f t="shared" si="2"/>
        <v>254.59559999999999</v>
      </c>
      <c r="V37" s="565">
        <f>7306.44</f>
        <v>7306.44</v>
      </c>
      <c r="W37" s="564">
        <f>V37/$W$11</f>
        <v>365.322</v>
      </c>
      <c r="X37" s="564">
        <f>W37*$X$11</f>
        <v>73.064400000000006</v>
      </c>
      <c r="Y37" s="519">
        <f>W37-X37</f>
        <v>292.25760000000002</v>
      </c>
      <c r="Z37" s="569">
        <f>(Y37-U37)/Y37</f>
        <v>0.12886576773367067</v>
      </c>
      <c r="AA37" s="409">
        <f t="shared" si="3"/>
        <v>1637.25</v>
      </c>
      <c r="AB37" s="557">
        <f t="shared" si="34"/>
        <v>412.58699999999993</v>
      </c>
      <c r="AC37" s="565">
        <f t="shared" si="39"/>
        <v>7773.3499999999995</v>
      </c>
      <c r="AD37" s="564">
        <f>AC37/$AD$11</f>
        <v>388.66749999999996</v>
      </c>
      <c r="AE37" s="564">
        <f>AD37*$AE$11</f>
        <v>77.733499999999992</v>
      </c>
      <c r="AF37" s="519">
        <f>AD37-AE37</f>
        <v>310.93399999999997</v>
      </c>
      <c r="AG37" s="569">
        <f>(AF37-AB37)/AF37</f>
        <v>-0.32692790109798214</v>
      </c>
      <c r="AH37" s="408">
        <f t="shared" si="4"/>
        <v>2647.55</v>
      </c>
      <c r="AI37" s="409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0">
        <v>1</v>
      </c>
      <c r="D38" s="501" t="s">
        <v>298</v>
      </c>
      <c r="E38" s="502" t="s">
        <v>131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08">
        <f t="shared" si="1"/>
        <v>1236.8000000000002</v>
      </c>
      <c r="U38" s="557">
        <f t="shared" si="2"/>
        <v>311.67360000000002</v>
      </c>
      <c r="V38" s="565">
        <f>7493.6</f>
        <v>7493.6</v>
      </c>
      <c r="W38" s="564">
        <f>V38/$W$11</f>
        <v>374.68</v>
      </c>
      <c r="X38" s="564">
        <f>W38*$X$11</f>
        <v>74.936000000000007</v>
      </c>
      <c r="Y38" s="519">
        <f>W38-X38</f>
        <v>299.74400000000003</v>
      </c>
      <c r="Z38" s="569">
        <f>(Y38-U38)/Y38</f>
        <v>-3.9799295398740234E-2</v>
      </c>
      <c r="AA38" s="409">
        <f t="shared" si="3"/>
        <v>1637.25</v>
      </c>
      <c r="AB38" s="557">
        <f t="shared" si="34"/>
        <v>412.58699999999993</v>
      </c>
      <c r="AC38" s="565">
        <f t="shared" si="39"/>
        <v>7773.3499999999995</v>
      </c>
      <c r="AD38" s="564">
        <f>AC38/$AD$11</f>
        <v>388.66749999999996</v>
      </c>
      <c r="AE38" s="564">
        <f>AD38*$AE$11</f>
        <v>77.733499999999992</v>
      </c>
      <c r="AF38" s="519">
        <f>AD38-AE38</f>
        <v>310.93399999999997</v>
      </c>
      <c r="AG38" s="569">
        <f>(AF38-AB38)/AF38</f>
        <v>-0.32692790109798214</v>
      </c>
      <c r="AH38" s="408">
        <f t="shared" si="4"/>
        <v>2874.05</v>
      </c>
      <c r="AI38" s="409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0">
        <v>1</v>
      </c>
      <c r="D39" s="551" t="s">
        <v>298</v>
      </c>
      <c r="E39" s="552" t="s">
        <v>131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08">
        <f t="shared" si="1"/>
        <v>207.75</v>
      </c>
      <c r="U39" s="557">
        <f t="shared" si="2"/>
        <v>52.352999999999987</v>
      </c>
      <c r="V39" s="565"/>
      <c r="W39" s="565"/>
      <c r="X39" s="564"/>
      <c r="Y39" s="519"/>
      <c r="Z39" s="631">
        <f>AVERAGE(Z41:Z44,Z47:Z50,Z53:Z56,Z59:Z62)</f>
        <v>0.12861687269765615</v>
      </c>
      <c r="AA39" s="409">
        <f t="shared" si="3"/>
        <v>785.90000000000009</v>
      </c>
      <c r="AB39" s="557">
        <f t="shared" si="34"/>
        <v>198.04679999999999</v>
      </c>
      <c r="AC39" s="565"/>
      <c r="AD39" s="565"/>
      <c r="AE39" s="564"/>
      <c r="AF39" s="519"/>
      <c r="AG39" s="631">
        <f>AVERAGE(AG41:AG44,AG47:AG50,AG53:AG56,AG59:AG62)</f>
        <v>-4.6109980489726428E-2</v>
      </c>
      <c r="AH39" s="408">
        <f t="shared" si="4"/>
        <v>993.65000000000009</v>
      </c>
      <c r="AI39" s="409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6">
        <v>1</v>
      </c>
      <c r="D40" s="507" t="s">
        <v>298</v>
      </c>
      <c r="E40" s="508" t="s">
        <v>131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08">
        <f t="shared" si="1"/>
        <v>315.75</v>
      </c>
      <c r="U40" s="557">
        <f t="shared" si="2"/>
        <v>79.568999999999988</v>
      </c>
      <c r="V40" s="567">
        <v>3251.56</v>
      </c>
      <c r="W40" s="565"/>
      <c r="X40" s="564"/>
      <c r="Y40" s="519"/>
      <c r="Z40" s="570">
        <f>AVERAGE(Z41:Z44)</f>
        <v>0.16924058000806241</v>
      </c>
      <c r="AA40" s="409">
        <f t="shared" si="3"/>
        <v>785.90000000000009</v>
      </c>
      <c r="AB40" s="557">
        <f t="shared" si="34"/>
        <v>198.04679999999999</v>
      </c>
      <c r="AC40" s="565"/>
      <c r="AD40" s="565"/>
      <c r="AE40" s="564"/>
      <c r="AF40" s="519"/>
      <c r="AG40" s="570">
        <f>AVERAGE(AG41:AG44)</f>
        <v>0.26751880700352837</v>
      </c>
      <c r="AH40" s="408">
        <f t="shared" si="4"/>
        <v>1101.6500000000001</v>
      </c>
      <c r="AI40" s="409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2">
        <v>1</v>
      </c>
      <c r="D41" s="513" t="s">
        <v>298</v>
      </c>
      <c r="E41" s="514" t="s">
        <v>131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08">
        <f t="shared" si="1"/>
        <v>265.75</v>
      </c>
      <c r="U41" s="557">
        <f t="shared" si="2"/>
        <v>66.96899999999998</v>
      </c>
      <c r="V41" s="565">
        <f>2289.6</f>
        <v>2289.6</v>
      </c>
      <c r="W41" s="564">
        <f>V41/$W$11</f>
        <v>114.47999999999999</v>
      </c>
      <c r="X41" s="564">
        <f>W41*$X$11</f>
        <v>22.896000000000001</v>
      </c>
      <c r="Y41" s="519">
        <f>W41-X41</f>
        <v>91.583999999999989</v>
      </c>
      <c r="Z41" s="569">
        <f>(Y41-U41)/Y41</f>
        <v>0.26876965408805042</v>
      </c>
      <c r="AA41" s="409">
        <f t="shared" si="3"/>
        <v>785.90000000000009</v>
      </c>
      <c r="AB41" s="557">
        <f t="shared" si="34"/>
        <v>198.04679999999999</v>
      </c>
      <c r="AC41" s="565">
        <f>6241.05+518.4</f>
        <v>6759.45</v>
      </c>
      <c r="AD41" s="564">
        <f>AC41/$AD$11</f>
        <v>337.97249999999997</v>
      </c>
      <c r="AE41" s="564">
        <f>AD41*$AE$11</f>
        <v>67.594499999999996</v>
      </c>
      <c r="AF41" s="519">
        <f>AD41-AE41</f>
        <v>270.37799999999999</v>
      </c>
      <c r="AG41" s="569">
        <f>(AF41-AB41)/AF41</f>
        <v>0.26751880700352837</v>
      </c>
      <c r="AH41" s="408">
        <f t="shared" si="4"/>
        <v>1051.6500000000001</v>
      </c>
      <c r="AI41" s="409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2">
        <v>1</v>
      </c>
      <c r="D42" s="513" t="s">
        <v>298</v>
      </c>
      <c r="E42" s="514" t="s">
        <v>131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08">
        <f t="shared" si="1"/>
        <v>321</v>
      </c>
      <c r="U42" s="557">
        <f t="shared" si="2"/>
        <v>80.891999999999996</v>
      </c>
      <c r="V42" s="565">
        <f>2550.69</f>
        <v>2550.69</v>
      </c>
      <c r="W42" s="564">
        <f>V42/$W$11</f>
        <v>127.53450000000001</v>
      </c>
      <c r="X42" s="564">
        <f>W42*$X$11</f>
        <v>25.506900000000002</v>
      </c>
      <c r="Y42" s="519">
        <f>W42-X42</f>
        <v>102.02760000000001</v>
      </c>
      <c r="Z42" s="569">
        <f>(Y42-U42)/Y42</f>
        <v>0.2071557108076639</v>
      </c>
      <c r="AA42" s="409">
        <f t="shared" si="3"/>
        <v>785.90000000000009</v>
      </c>
      <c r="AB42" s="557">
        <f t="shared" si="34"/>
        <v>198.04679999999999</v>
      </c>
      <c r="AC42" s="565">
        <f t="shared" ref="AC42:AC44" si="40">6241.05+518.4</f>
        <v>6759.45</v>
      </c>
      <c r="AD42" s="564">
        <f>AC42/$AD$11</f>
        <v>337.97249999999997</v>
      </c>
      <c r="AE42" s="564">
        <f>AD42*$AE$11</f>
        <v>67.594499999999996</v>
      </c>
      <c r="AF42" s="519">
        <f>AD42-AE42</f>
        <v>270.37799999999999</v>
      </c>
      <c r="AG42" s="569">
        <f>(AF42-AB42)/AF42</f>
        <v>0.26751880700352837</v>
      </c>
      <c r="AH42" s="408">
        <f t="shared" si="4"/>
        <v>1106.9000000000001</v>
      </c>
      <c r="AI42" s="409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2">
        <v>1</v>
      </c>
      <c r="D43" s="513" t="s">
        <v>298</v>
      </c>
      <c r="E43" s="514" t="s">
        <v>131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08">
        <f t="shared" si="1"/>
        <v>386.25</v>
      </c>
      <c r="U43" s="557">
        <f t="shared" si="2"/>
        <v>97.334999999999994</v>
      </c>
      <c r="V43" s="565">
        <v>2547.9699999999998</v>
      </c>
      <c r="W43" s="564">
        <f>V43/$W$11</f>
        <v>127.39849999999998</v>
      </c>
      <c r="X43" s="564">
        <f>W43*$X$11</f>
        <v>25.479699999999998</v>
      </c>
      <c r="Y43" s="519">
        <f>W43-X43</f>
        <v>101.91879999999999</v>
      </c>
      <c r="Z43" s="569">
        <f>(Y43-U43)/Y43</f>
        <v>4.497501932911295E-2</v>
      </c>
      <c r="AA43" s="409">
        <f t="shared" si="3"/>
        <v>785.90000000000009</v>
      </c>
      <c r="AB43" s="557">
        <f t="shared" si="34"/>
        <v>198.04679999999999</v>
      </c>
      <c r="AC43" s="565">
        <f t="shared" si="40"/>
        <v>6759.45</v>
      </c>
      <c r="AD43" s="564">
        <f>AC43/$AD$11</f>
        <v>337.97249999999997</v>
      </c>
      <c r="AE43" s="564">
        <f>AD43*$AE$11</f>
        <v>67.594499999999996</v>
      </c>
      <c r="AF43" s="519">
        <f>AD43-AE43</f>
        <v>270.37799999999999</v>
      </c>
      <c r="AG43" s="569">
        <f>(AF43-AB43)/AF43</f>
        <v>0.26751880700352837</v>
      </c>
      <c r="AH43" s="408">
        <f t="shared" si="4"/>
        <v>1172.1500000000001</v>
      </c>
      <c r="AI43" s="409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2">
        <v>1</v>
      </c>
      <c r="D44" s="513" t="s">
        <v>298</v>
      </c>
      <c r="E44" s="514" t="s">
        <v>131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08">
        <f t="shared" si="1"/>
        <v>448.75</v>
      </c>
      <c r="U44" s="557">
        <f t="shared" si="2"/>
        <v>113.08499999999999</v>
      </c>
      <c r="V44" s="565">
        <v>3349.92</v>
      </c>
      <c r="W44" s="564">
        <f>V44/$W$11</f>
        <v>167.49600000000001</v>
      </c>
      <c r="X44" s="564">
        <f>W44*$X$11</f>
        <v>33.499200000000002</v>
      </c>
      <c r="Y44" s="519">
        <f>W44-X44</f>
        <v>133.99680000000001</v>
      </c>
      <c r="Z44" s="569">
        <f>(Y44-U44)/Y44</f>
        <v>0.15606193580742236</v>
      </c>
      <c r="AA44" s="409">
        <f t="shared" si="3"/>
        <v>785.90000000000009</v>
      </c>
      <c r="AB44" s="557">
        <f t="shared" si="34"/>
        <v>198.04679999999999</v>
      </c>
      <c r="AC44" s="565">
        <f t="shared" si="40"/>
        <v>6759.45</v>
      </c>
      <c r="AD44" s="564">
        <f>AC44/$AD$11</f>
        <v>337.97249999999997</v>
      </c>
      <c r="AE44" s="564">
        <f>AD44*$AE$11</f>
        <v>67.594499999999996</v>
      </c>
      <c r="AF44" s="519">
        <f>AD44-AE44</f>
        <v>270.37799999999999</v>
      </c>
      <c r="AG44" s="569">
        <f>(AF44-AB44)/AF44</f>
        <v>0.26751880700352837</v>
      </c>
      <c r="AH44" s="408">
        <f t="shared" si="4"/>
        <v>1234.6500000000001</v>
      </c>
      <c r="AI44" s="409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0">
        <v>1</v>
      </c>
      <c r="D45" s="551" t="s">
        <v>298</v>
      </c>
      <c r="E45" s="552" t="s">
        <v>131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08">
        <f t="shared" si="1"/>
        <v>271.7</v>
      </c>
      <c r="U45" s="557">
        <f t="shared" si="2"/>
        <v>68.468399999999988</v>
      </c>
      <c r="V45" s="565"/>
      <c r="W45" s="565"/>
      <c r="X45" s="564"/>
      <c r="Y45" s="519"/>
      <c r="Z45" s="519"/>
      <c r="AA45" s="409">
        <f t="shared" si="3"/>
        <v>1069.7</v>
      </c>
      <c r="AB45" s="557">
        <f t="shared" si="34"/>
        <v>269.56439999999998</v>
      </c>
      <c r="AC45" s="565"/>
      <c r="AD45" s="565"/>
      <c r="AE45" s="564"/>
      <c r="AF45" s="519"/>
      <c r="AG45" s="519"/>
      <c r="AH45" s="408">
        <f t="shared" si="4"/>
        <v>1341.4</v>
      </c>
      <c r="AI45" s="409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6">
        <v>1</v>
      </c>
      <c r="D46" s="507" t="s">
        <v>298</v>
      </c>
      <c r="E46" s="508" t="s">
        <v>131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08">
        <f t="shared" si="1"/>
        <v>412.1</v>
      </c>
      <c r="U46" s="557">
        <f t="shared" si="2"/>
        <v>103.84919999999998</v>
      </c>
      <c r="V46" s="567">
        <v>4056.24</v>
      </c>
      <c r="W46" s="565"/>
      <c r="X46" s="564"/>
      <c r="Y46" s="519"/>
      <c r="Z46" s="570">
        <f>AVERAGE(Z47:Z50)</f>
        <v>0.13094669085281782</v>
      </c>
      <c r="AA46" s="409">
        <f t="shared" si="3"/>
        <v>1069.7</v>
      </c>
      <c r="AB46" s="557">
        <f t="shared" si="34"/>
        <v>269.56439999999998</v>
      </c>
      <c r="AC46" s="565"/>
      <c r="AD46" s="565"/>
      <c r="AE46" s="564"/>
      <c r="AF46" s="519"/>
      <c r="AG46" s="570">
        <f>AVERAGE(AG47:AG50)</f>
        <v>3.6583221467874925E-2</v>
      </c>
      <c r="AH46" s="408">
        <f t="shared" si="4"/>
        <v>1481.8000000000002</v>
      </c>
      <c r="AI46" s="409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2">
        <v>1</v>
      </c>
      <c r="D47" s="513" t="s">
        <v>298</v>
      </c>
      <c r="E47" s="514" t="s">
        <v>131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08">
        <f t="shared" si="1"/>
        <v>347.1</v>
      </c>
      <c r="U47" s="557">
        <f t="shared" si="2"/>
        <v>87.469199999999987</v>
      </c>
      <c r="V47" s="565">
        <f>2854.44</f>
        <v>2854.44</v>
      </c>
      <c r="W47" s="564">
        <f>V47/$W$11</f>
        <v>142.72200000000001</v>
      </c>
      <c r="X47" s="564">
        <f>W47*$X$11</f>
        <v>28.544400000000003</v>
      </c>
      <c r="Y47" s="519">
        <f>W47-X47</f>
        <v>114.17760000000001</v>
      </c>
      <c r="Z47" s="569">
        <f>(Y47-U47)/Y47</f>
        <v>0.23391978811956129</v>
      </c>
      <c r="AA47" s="409">
        <f t="shared" si="3"/>
        <v>1069.7</v>
      </c>
      <c r="AB47" s="557">
        <f t="shared" si="34"/>
        <v>269.56439999999998</v>
      </c>
      <c r="AC47" s="565">
        <f>6476.61+518.4</f>
        <v>6995.0099999999993</v>
      </c>
      <c r="AD47" s="564">
        <f>AC47/$AD$11</f>
        <v>349.75049999999999</v>
      </c>
      <c r="AE47" s="564">
        <f>AD47*$AE$11</f>
        <v>69.950100000000006</v>
      </c>
      <c r="AF47" s="519">
        <f>AD47-AE47</f>
        <v>279.80039999999997</v>
      </c>
      <c r="AG47" s="569">
        <f>(AF47-AB47)/AF47</f>
        <v>3.6583221467874925E-2</v>
      </c>
      <c r="AH47" s="408">
        <f t="shared" si="4"/>
        <v>1416.8000000000002</v>
      </c>
      <c r="AI47" s="409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2">
        <v>1</v>
      </c>
      <c r="D48" s="513" t="s">
        <v>298</v>
      </c>
      <c r="E48" s="514" t="s">
        <v>131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08">
        <f t="shared" si="1"/>
        <v>418.95000000000005</v>
      </c>
      <c r="U48" s="557">
        <f t="shared" si="2"/>
        <v>105.57539999999999</v>
      </c>
      <c r="V48" s="565">
        <f>3180.51</f>
        <v>3180.51</v>
      </c>
      <c r="W48" s="564">
        <f>V48/$W$11</f>
        <v>159.02550000000002</v>
      </c>
      <c r="X48" s="564">
        <f>W48*$X$11</f>
        <v>31.805100000000007</v>
      </c>
      <c r="Y48" s="519">
        <f>W48-X48</f>
        <v>127.22040000000001</v>
      </c>
      <c r="Z48" s="569">
        <f>(Y48-U48)/Y48</f>
        <v>0.17013780808738238</v>
      </c>
      <c r="AA48" s="409">
        <f t="shared" si="3"/>
        <v>1069.7</v>
      </c>
      <c r="AB48" s="557">
        <f t="shared" si="34"/>
        <v>269.56439999999998</v>
      </c>
      <c r="AC48" s="565">
        <f t="shared" ref="AC48:AC50" si="41">6476.61+518.4</f>
        <v>6995.0099999999993</v>
      </c>
      <c r="AD48" s="564">
        <f>AC48/$AD$11</f>
        <v>349.75049999999999</v>
      </c>
      <c r="AE48" s="564">
        <f>AD48*$AE$11</f>
        <v>69.950100000000006</v>
      </c>
      <c r="AF48" s="519">
        <f>AD48-AE48</f>
        <v>279.80039999999997</v>
      </c>
      <c r="AG48" s="569">
        <f>(AF48-AB48)/AF48</f>
        <v>3.6583221467874925E-2</v>
      </c>
      <c r="AH48" s="408">
        <f t="shared" si="4"/>
        <v>1488.65</v>
      </c>
      <c r="AI48" s="409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2">
        <v>1</v>
      </c>
      <c r="D49" s="513" t="s">
        <v>298</v>
      </c>
      <c r="E49" s="514" t="s">
        <v>131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08">
        <f t="shared" si="1"/>
        <v>503.75</v>
      </c>
      <c r="U49" s="557">
        <f t="shared" si="2"/>
        <v>126.94499999999999</v>
      </c>
      <c r="V49" s="565">
        <v>3177.78</v>
      </c>
      <c r="W49" s="564">
        <f>V49/$W$11</f>
        <v>158.88900000000001</v>
      </c>
      <c r="X49" s="564">
        <f>W49*$X$11</f>
        <v>31.777800000000003</v>
      </c>
      <c r="Y49" s="519">
        <f>W49-X49</f>
        <v>127.11120000000001</v>
      </c>
      <c r="Z49" s="569">
        <f>(Y49-U49)/Y49</f>
        <v>1.3075165681703709E-3</v>
      </c>
      <c r="AA49" s="409">
        <f t="shared" si="3"/>
        <v>1069.7</v>
      </c>
      <c r="AB49" s="557">
        <f t="shared" si="34"/>
        <v>269.56439999999998</v>
      </c>
      <c r="AC49" s="565">
        <f t="shared" si="41"/>
        <v>6995.0099999999993</v>
      </c>
      <c r="AD49" s="564">
        <f>AC49/$AD$11</f>
        <v>349.75049999999999</v>
      </c>
      <c r="AE49" s="564">
        <f>AD49*$AE$11</f>
        <v>69.950100000000006</v>
      </c>
      <c r="AF49" s="519">
        <f>AD49-AE49</f>
        <v>279.80039999999997</v>
      </c>
      <c r="AG49" s="569">
        <f>(AF49-AB49)/AF49</f>
        <v>3.6583221467874925E-2</v>
      </c>
      <c r="AH49" s="408">
        <f t="shared" si="4"/>
        <v>1573.45</v>
      </c>
      <c r="AI49" s="409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2">
        <v>1</v>
      </c>
      <c r="D50" s="513" t="s">
        <v>298</v>
      </c>
      <c r="E50" s="514" t="s">
        <v>131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08">
        <f t="shared" si="1"/>
        <v>585</v>
      </c>
      <c r="U50" s="557">
        <f t="shared" si="2"/>
        <v>147.41999999999999</v>
      </c>
      <c r="V50" s="565">
        <f>4180.57</f>
        <v>4180.57</v>
      </c>
      <c r="W50" s="564">
        <f>V50/$W$11</f>
        <v>209.02849999999998</v>
      </c>
      <c r="X50" s="564">
        <f>W50*$X$11</f>
        <v>41.805700000000002</v>
      </c>
      <c r="Y50" s="519">
        <f>W50-X50</f>
        <v>167.22279999999998</v>
      </c>
      <c r="Z50" s="569">
        <f>(Y50-U50)/Y50</f>
        <v>0.11842165063615723</v>
      </c>
      <c r="AA50" s="409">
        <f t="shared" si="3"/>
        <v>1069.7</v>
      </c>
      <c r="AB50" s="557">
        <f t="shared" si="34"/>
        <v>269.56439999999998</v>
      </c>
      <c r="AC50" s="565">
        <f t="shared" si="41"/>
        <v>6995.0099999999993</v>
      </c>
      <c r="AD50" s="564">
        <f>AC50/$AD$11</f>
        <v>349.75049999999999</v>
      </c>
      <c r="AE50" s="564">
        <f>AD50*$AE$11</f>
        <v>69.950100000000006</v>
      </c>
      <c r="AF50" s="519">
        <f>AD50-AE50</f>
        <v>279.80039999999997</v>
      </c>
      <c r="AG50" s="569">
        <f>(AF50-AB50)/AF50</f>
        <v>3.6583221467874925E-2</v>
      </c>
      <c r="AH50" s="408">
        <f t="shared" si="4"/>
        <v>1654.7</v>
      </c>
      <c r="AI50" s="409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0">
        <v>1</v>
      </c>
      <c r="D51" s="551" t="s">
        <v>298</v>
      </c>
      <c r="E51" s="552" t="s">
        <v>131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08">
        <f t="shared" si="1"/>
        <v>335.65000000000003</v>
      </c>
      <c r="U51" s="557">
        <f t="shared" si="2"/>
        <v>84.583800000000011</v>
      </c>
      <c r="V51" s="565"/>
      <c r="W51" s="565"/>
      <c r="X51" s="564"/>
      <c r="Y51" s="519"/>
      <c r="Z51" s="519"/>
      <c r="AA51" s="409">
        <f t="shared" si="3"/>
        <v>1353.45</v>
      </c>
      <c r="AB51" s="557">
        <f t="shared" si="34"/>
        <v>341.06939999999997</v>
      </c>
      <c r="AC51" s="565"/>
      <c r="AD51" s="565"/>
      <c r="AE51" s="564"/>
      <c r="AF51" s="519"/>
      <c r="AG51" s="519"/>
      <c r="AH51" s="408">
        <f t="shared" si="4"/>
        <v>1689.1000000000001</v>
      </c>
      <c r="AI51" s="409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6">
        <v>1</v>
      </c>
      <c r="D52" s="507" t="s">
        <v>298</v>
      </c>
      <c r="E52" s="508" t="s">
        <v>131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08">
        <f t="shared" si="1"/>
        <v>508.45000000000005</v>
      </c>
      <c r="U52" s="557">
        <f t="shared" si="2"/>
        <v>128.1294</v>
      </c>
      <c r="V52" s="567">
        <v>4289.87</v>
      </c>
      <c r="W52" s="565"/>
      <c r="X52" s="564"/>
      <c r="Y52" s="519"/>
      <c r="Z52" s="570">
        <f>AVERAGE(Z53:Z56)</f>
        <v>0.10551231757279279</v>
      </c>
      <c r="AA52" s="409">
        <f t="shared" si="3"/>
        <v>1353.45</v>
      </c>
      <c r="AB52" s="557">
        <f t="shared" si="34"/>
        <v>341.06939999999997</v>
      </c>
      <c r="AC52" s="565"/>
      <c r="AD52" s="565"/>
      <c r="AE52" s="564"/>
      <c r="AF52" s="519"/>
      <c r="AG52" s="570">
        <f>AVERAGE(AG53:AG56)</f>
        <v>-0.1616140493323269</v>
      </c>
      <c r="AH52" s="408">
        <f t="shared" si="4"/>
        <v>1861.9</v>
      </c>
      <c r="AI52" s="409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2">
        <v>1</v>
      </c>
      <c r="D53" s="513" t="s">
        <v>298</v>
      </c>
      <c r="E53" s="514" t="s">
        <v>131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08">
        <f t="shared" si="1"/>
        <v>428.45000000000005</v>
      </c>
      <c r="U53" s="557">
        <f t="shared" si="2"/>
        <v>107.96940000000001</v>
      </c>
      <c r="V53" s="565">
        <f>3419.28</f>
        <v>3419.28</v>
      </c>
      <c r="W53" s="564">
        <f>V53/$W$11</f>
        <v>170.964</v>
      </c>
      <c r="X53" s="564">
        <f>W53*$X$11</f>
        <v>34.192799999999998</v>
      </c>
      <c r="Y53" s="519">
        <f>W53-X53</f>
        <v>136.77119999999999</v>
      </c>
      <c r="Z53" s="569">
        <f>(Y53-U53)/Y53</f>
        <v>0.21058380711728775</v>
      </c>
      <c r="AA53" s="409">
        <f t="shared" si="3"/>
        <v>1353.45</v>
      </c>
      <c r="AB53" s="557">
        <f t="shared" si="34"/>
        <v>341.06939999999997</v>
      </c>
      <c r="AC53" s="565">
        <f>6822.02+518.4</f>
        <v>7340.42</v>
      </c>
      <c r="AD53" s="564">
        <f>AC53/$AD$11</f>
        <v>367.02100000000002</v>
      </c>
      <c r="AE53" s="564">
        <f>AD53*$AE$11</f>
        <v>73.404200000000003</v>
      </c>
      <c r="AF53" s="519">
        <f>AD53-AE53</f>
        <v>293.61680000000001</v>
      </c>
      <c r="AG53" s="569">
        <f>(AF53-AB53)/AF53</f>
        <v>-0.1616140493323269</v>
      </c>
      <c r="AH53" s="408">
        <f t="shared" si="4"/>
        <v>1781.9</v>
      </c>
      <c r="AI53" s="409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2">
        <v>1</v>
      </c>
      <c r="D54" s="513" t="s">
        <v>298</v>
      </c>
      <c r="E54" s="514" t="s">
        <v>131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08">
        <f t="shared" si="1"/>
        <v>516.85</v>
      </c>
      <c r="U54" s="557">
        <f t="shared" si="2"/>
        <v>130.24619999999999</v>
      </c>
      <c r="V54" s="565">
        <f>3811.7</f>
        <v>3811.7</v>
      </c>
      <c r="W54" s="564">
        <f>V54/$W$11</f>
        <v>190.58499999999998</v>
      </c>
      <c r="X54" s="564">
        <f>W54*$X$11</f>
        <v>38.116999999999997</v>
      </c>
      <c r="Y54" s="519">
        <f>W54-X54</f>
        <v>152.46799999999999</v>
      </c>
      <c r="Z54" s="569">
        <f>(Y54-U54)/Y54</f>
        <v>0.14574730435238872</v>
      </c>
      <c r="AA54" s="409">
        <f t="shared" si="3"/>
        <v>1353.45</v>
      </c>
      <c r="AB54" s="557">
        <f t="shared" si="34"/>
        <v>341.06939999999997</v>
      </c>
      <c r="AC54" s="565">
        <f t="shared" ref="AC54:AC56" si="42">6822.02+518.4</f>
        <v>7340.42</v>
      </c>
      <c r="AD54" s="564">
        <f>AC54/$AD$11</f>
        <v>367.02100000000002</v>
      </c>
      <c r="AE54" s="564">
        <f>AD54*$AE$11</f>
        <v>73.404200000000003</v>
      </c>
      <c r="AF54" s="519">
        <f>AD54-AE54</f>
        <v>293.61680000000001</v>
      </c>
      <c r="AG54" s="569">
        <f>(AF54-AB54)/AF54</f>
        <v>-0.1616140493323269</v>
      </c>
      <c r="AH54" s="408">
        <f t="shared" si="4"/>
        <v>1870.3000000000002</v>
      </c>
      <c r="AI54" s="409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2">
        <v>1</v>
      </c>
      <c r="D55" s="513" t="s">
        <v>298</v>
      </c>
      <c r="E55" s="514" t="s">
        <v>131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08">
        <f t="shared" si="1"/>
        <v>621.25</v>
      </c>
      <c r="U55" s="557">
        <f t="shared" si="2"/>
        <v>156.55500000000001</v>
      </c>
      <c r="V55" s="565">
        <v>3808.97</v>
      </c>
      <c r="W55" s="564">
        <f>V55/$W$11</f>
        <v>190.4485</v>
      </c>
      <c r="X55" s="564">
        <f>W55*$X$11</f>
        <v>38.089700000000001</v>
      </c>
      <c r="Y55" s="519">
        <f>W55-X55</f>
        <v>152.3588</v>
      </c>
      <c r="Z55" s="569">
        <f>(Y55-U55)/Y55</f>
        <v>-2.7541566355208918E-2</v>
      </c>
      <c r="AA55" s="409">
        <f t="shared" si="3"/>
        <v>1353.45</v>
      </c>
      <c r="AB55" s="557">
        <f t="shared" si="34"/>
        <v>341.06939999999997</v>
      </c>
      <c r="AC55" s="565">
        <f t="shared" si="42"/>
        <v>7340.42</v>
      </c>
      <c r="AD55" s="564">
        <f>AC55/$AD$11</f>
        <v>367.02100000000002</v>
      </c>
      <c r="AE55" s="564">
        <f>AD55*$AE$11</f>
        <v>73.404200000000003</v>
      </c>
      <c r="AF55" s="519">
        <f>AD55-AE55</f>
        <v>293.61680000000001</v>
      </c>
      <c r="AG55" s="569">
        <f>(AF55-AB55)/AF55</f>
        <v>-0.1616140493323269</v>
      </c>
      <c r="AH55" s="408">
        <f t="shared" si="4"/>
        <v>1974.7</v>
      </c>
      <c r="AI55" s="409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2">
        <v>1</v>
      </c>
      <c r="D56" s="513" t="s">
        <v>298</v>
      </c>
      <c r="E56" s="514" t="s">
        <v>131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08">
        <f t="shared" si="1"/>
        <v>721.25</v>
      </c>
      <c r="U56" s="557">
        <f t="shared" si="2"/>
        <v>181.75499999999997</v>
      </c>
      <c r="V56" s="565">
        <v>5011.22</v>
      </c>
      <c r="W56" s="564">
        <f>V56/$W$11</f>
        <v>250.56100000000001</v>
      </c>
      <c r="X56" s="564">
        <f>W56*$X$11</f>
        <v>50.112200000000001</v>
      </c>
      <c r="Y56" s="519">
        <f>W56-X56</f>
        <v>200.44880000000001</v>
      </c>
      <c r="Z56" s="569">
        <f>(Y56-U56)/Y56</f>
        <v>9.3259725176703667E-2</v>
      </c>
      <c r="AA56" s="409">
        <f t="shared" si="3"/>
        <v>1353.45</v>
      </c>
      <c r="AB56" s="557">
        <f t="shared" si="34"/>
        <v>341.06939999999997</v>
      </c>
      <c r="AC56" s="565">
        <f t="shared" si="42"/>
        <v>7340.42</v>
      </c>
      <c r="AD56" s="564">
        <f>AC56/$AD$11</f>
        <v>367.02100000000002</v>
      </c>
      <c r="AE56" s="564">
        <f>AD56*$AE$11</f>
        <v>73.404200000000003</v>
      </c>
      <c r="AF56" s="519">
        <f>AD56-AE56</f>
        <v>293.61680000000001</v>
      </c>
      <c r="AG56" s="569">
        <f>(AF56-AB56)/AF56</f>
        <v>-0.1616140493323269</v>
      </c>
      <c r="AH56" s="408">
        <f t="shared" si="4"/>
        <v>2074.6999999999998</v>
      </c>
      <c r="AI56" s="409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0">
        <v>1</v>
      </c>
      <c r="D57" s="551" t="s">
        <v>298</v>
      </c>
      <c r="E57" s="552" t="s">
        <v>131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08">
        <f t="shared" si="1"/>
        <v>407.55</v>
      </c>
      <c r="U57" s="557">
        <f t="shared" si="2"/>
        <v>102.70259999999998</v>
      </c>
      <c r="V57" s="565"/>
      <c r="W57" s="565"/>
      <c r="X57" s="564"/>
      <c r="Y57" s="519"/>
      <c r="Z57" s="519"/>
      <c r="AA57" s="409">
        <f t="shared" si="3"/>
        <v>1637.25</v>
      </c>
      <c r="AB57" s="557">
        <f t="shared" si="34"/>
        <v>412.58699999999993</v>
      </c>
      <c r="AC57" s="565"/>
      <c r="AD57" s="565"/>
      <c r="AE57" s="564"/>
      <c r="AF57" s="519"/>
      <c r="AG57" s="519"/>
      <c r="AH57" s="408">
        <f t="shared" si="4"/>
        <v>2044.8</v>
      </c>
      <c r="AI57" s="409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6">
        <v>1</v>
      </c>
      <c r="D58" s="507" t="s">
        <v>298</v>
      </c>
      <c r="E58" s="508" t="s">
        <v>131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08">
        <f t="shared" si="1"/>
        <v>618.15000000000009</v>
      </c>
      <c r="U58" s="557">
        <f t="shared" si="2"/>
        <v>155.77379999999999</v>
      </c>
      <c r="V58" s="567">
        <v>5743.5</v>
      </c>
      <c r="W58" s="565"/>
      <c r="X58" s="564"/>
      <c r="Y58" s="519"/>
      <c r="Z58" s="570">
        <f>AVERAGE(Z59:Z62)</f>
        <v>0.10876790235695155</v>
      </c>
      <c r="AA58" s="409">
        <f t="shared" si="3"/>
        <v>1637.25</v>
      </c>
      <c r="AB58" s="557">
        <f t="shared" si="34"/>
        <v>412.58699999999993</v>
      </c>
      <c r="AC58" s="565"/>
      <c r="AD58" s="565"/>
      <c r="AE58" s="564"/>
      <c r="AF58" s="519"/>
      <c r="AG58" s="570">
        <f>AVERAGE(AG59:AG62)</f>
        <v>-0.32692790109798214</v>
      </c>
      <c r="AH58" s="408">
        <f t="shared" si="4"/>
        <v>2255.4</v>
      </c>
      <c r="AI58" s="409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2">
        <v>1</v>
      </c>
      <c r="D59" s="513" t="s">
        <v>298</v>
      </c>
      <c r="E59" s="514" t="s">
        <v>131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08">
        <f t="shared" si="1"/>
        <v>520.65</v>
      </c>
      <c r="U59" s="557">
        <f t="shared" si="2"/>
        <v>131.20379999999997</v>
      </c>
      <c r="V59" s="565">
        <f>4172.04</f>
        <v>4172.04</v>
      </c>
      <c r="W59" s="564">
        <f>V59/$W$11</f>
        <v>208.602</v>
      </c>
      <c r="X59" s="564">
        <f>W59*$X$11</f>
        <v>41.720400000000005</v>
      </c>
      <c r="Y59" s="519">
        <f>W59-X59</f>
        <v>166.88159999999999</v>
      </c>
      <c r="Z59" s="569">
        <f>(Y59-U59)/Y59</f>
        <v>0.21379109500388313</v>
      </c>
      <c r="AA59" s="409">
        <f t="shared" si="3"/>
        <v>1637.25</v>
      </c>
      <c r="AB59" s="557">
        <f t="shared" si="34"/>
        <v>412.58699999999993</v>
      </c>
      <c r="AC59" s="565">
        <f>7254.95+518.4</f>
        <v>7773.3499999999995</v>
      </c>
      <c r="AD59" s="564">
        <f>AC59/$AD$11</f>
        <v>388.66749999999996</v>
      </c>
      <c r="AE59" s="564">
        <f>AD59*$AE$11</f>
        <v>77.733499999999992</v>
      </c>
      <c r="AF59" s="519">
        <f>AD59-AE59</f>
        <v>310.93399999999997</v>
      </c>
      <c r="AG59" s="569">
        <f>(AF59-AB59)/AF59</f>
        <v>-0.32692790109798214</v>
      </c>
      <c r="AH59" s="408">
        <f t="shared" si="4"/>
        <v>2157.9</v>
      </c>
      <c r="AI59" s="409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2">
        <v>1</v>
      </c>
      <c r="D60" s="513" t="s">
        <v>298</v>
      </c>
      <c r="E60" s="514" t="s">
        <v>131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08">
        <f t="shared" si="1"/>
        <v>628.40000000000009</v>
      </c>
      <c r="U60" s="557">
        <f t="shared" si="2"/>
        <v>158.35679999999999</v>
      </c>
      <c r="V60" s="565">
        <f>4651.92</f>
        <v>4651.92</v>
      </c>
      <c r="W60" s="564">
        <f>V60/$W$11</f>
        <v>232.596</v>
      </c>
      <c r="X60" s="564">
        <f>W60*$X$11</f>
        <v>46.519200000000005</v>
      </c>
      <c r="Y60" s="519">
        <f>W60-X60</f>
        <v>186.07679999999999</v>
      </c>
      <c r="Z60" s="569">
        <f>(Y60-U60)/Y60</f>
        <v>0.14897074756229686</v>
      </c>
      <c r="AA60" s="409">
        <f t="shared" si="3"/>
        <v>1637.25</v>
      </c>
      <c r="AB60" s="557">
        <f t="shared" si="34"/>
        <v>412.58699999999993</v>
      </c>
      <c r="AC60" s="565">
        <f t="shared" ref="AC60:AC62" si="43">7254.95+518.4</f>
        <v>7773.3499999999995</v>
      </c>
      <c r="AD60" s="564">
        <f>AC60/$AD$11</f>
        <v>388.66749999999996</v>
      </c>
      <c r="AE60" s="564">
        <f>AD60*$AE$11</f>
        <v>77.733499999999992</v>
      </c>
      <c r="AF60" s="519">
        <f>AD60-AE60</f>
        <v>310.93399999999997</v>
      </c>
      <c r="AG60" s="569">
        <f>(AF60-AB60)/AF60</f>
        <v>-0.32692790109798214</v>
      </c>
      <c r="AH60" s="408">
        <f t="shared" si="4"/>
        <v>2265.65</v>
      </c>
      <c r="AI60" s="409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2">
        <v>1</v>
      </c>
      <c r="D61" s="513" t="s">
        <v>298</v>
      </c>
      <c r="E61" s="514" t="s">
        <v>131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08">
        <f t="shared" si="1"/>
        <v>755.65000000000009</v>
      </c>
      <c r="U61" s="557">
        <f t="shared" si="2"/>
        <v>190.4238</v>
      </c>
      <c r="V61" s="565">
        <v>4647.8100000000004</v>
      </c>
      <c r="W61" s="564">
        <f>V61/$W$11</f>
        <v>232.39050000000003</v>
      </c>
      <c r="X61" s="564">
        <f>W61*$X$11</f>
        <v>46.478100000000012</v>
      </c>
      <c r="Y61" s="519">
        <f>W61-X61</f>
        <v>185.91240000000002</v>
      </c>
      <c r="Z61" s="569">
        <f>(Y61-U61)/Y61</f>
        <v>-2.4266267338811074E-2</v>
      </c>
      <c r="AA61" s="409">
        <f t="shared" si="3"/>
        <v>1637.25</v>
      </c>
      <c r="AB61" s="557">
        <f t="shared" si="34"/>
        <v>412.58699999999993</v>
      </c>
      <c r="AC61" s="565">
        <f t="shared" si="43"/>
        <v>7773.3499999999995</v>
      </c>
      <c r="AD61" s="564">
        <f>AC61/$AD$11</f>
        <v>388.66749999999996</v>
      </c>
      <c r="AE61" s="564">
        <f>AD61*$AE$11</f>
        <v>77.733499999999992</v>
      </c>
      <c r="AF61" s="519">
        <f>AD61-AE61</f>
        <v>310.93399999999997</v>
      </c>
      <c r="AG61" s="569">
        <f>(AF61-AB61)/AF61</f>
        <v>-0.32692790109798214</v>
      </c>
      <c r="AH61" s="408">
        <f t="shared" si="4"/>
        <v>2392.9</v>
      </c>
      <c r="AI61" s="409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2">
        <v>1</v>
      </c>
      <c r="D62" s="513" t="s">
        <v>298</v>
      </c>
      <c r="E62" s="514" t="s">
        <v>131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08">
        <f t="shared" si="1"/>
        <v>877.5</v>
      </c>
      <c r="U62" s="557">
        <f t="shared" si="2"/>
        <v>221.13</v>
      </c>
      <c r="V62" s="565">
        <v>6119.22</v>
      </c>
      <c r="W62" s="564">
        <f>V62/$W$11</f>
        <v>305.96100000000001</v>
      </c>
      <c r="X62" s="564">
        <f>W62*$X$11</f>
        <v>61.192200000000007</v>
      </c>
      <c r="Y62" s="519">
        <f>W62-X62</f>
        <v>244.7688</v>
      </c>
      <c r="Z62" s="569">
        <f>(Y62-U62)/Y62</f>
        <v>9.6576034200437325E-2</v>
      </c>
      <c r="AA62" s="409">
        <f t="shared" si="3"/>
        <v>1637.25</v>
      </c>
      <c r="AB62" s="557">
        <f t="shared" si="34"/>
        <v>412.58699999999993</v>
      </c>
      <c r="AC62" s="565">
        <f t="shared" si="43"/>
        <v>7773.3499999999995</v>
      </c>
      <c r="AD62" s="564">
        <f>AC62/$AD$11</f>
        <v>388.66749999999996</v>
      </c>
      <c r="AE62" s="564">
        <f>AD62*$AE$11</f>
        <v>77.733499999999992</v>
      </c>
      <c r="AF62" s="519">
        <f>AD62-AE62</f>
        <v>310.93399999999997</v>
      </c>
      <c r="AG62" s="569">
        <f>(AF62-AB62)/AF62</f>
        <v>-0.32692790109798214</v>
      </c>
      <c r="AH62" s="408">
        <f t="shared" si="4"/>
        <v>2514.75</v>
      </c>
      <c r="AI62" s="409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07" t="str">
        <f>IF('CALC -P.P.- MOT.PLUG IN '!S4="INGLES","QTY.","CANT.")</f>
        <v>CANT.</v>
      </c>
      <c r="D63" s="908" t="str">
        <f>IF('CALC -P.P.- MOT.PLUG IN '!S4="INGLES","DESCRIPTION OF ADDITIONAL SERVICES","DESCRIPCION DE SERVICIOS ADICIONALES")</f>
        <v>DESCRIPCION DE SERVICIOS ADICIONALES</v>
      </c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4" hidden="1" customWidth="1"/>
    <col min="2" max="2" width="23" style="694" hidden="1" customWidth="1"/>
    <col min="3" max="3" width="22" style="694" hidden="1" customWidth="1"/>
    <col min="4" max="4" width="51.28515625" style="694" hidden="1" customWidth="1"/>
    <col min="5" max="5" width="34.42578125" style="694" hidden="1" customWidth="1"/>
    <col min="6" max="6" width="18.42578125" style="694" hidden="1" customWidth="1"/>
    <col min="7" max="7" width="31.140625" style="694" hidden="1" customWidth="1"/>
    <col min="8" max="8" width="13.7109375" style="694" hidden="1" customWidth="1"/>
    <col min="9" max="9" width="13" style="694" hidden="1" customWidth="1"/>
    <col min="10" max="15" width="9.42578125" style="694" hidden="1" customWidth="1"/>
    <col min="16" max="16" width="14.28515625" style="697" hidden="1" customWidth="1"/>
    <col min="17" max="20" width="10.28515625" style="694" hidden="1" customWidth="1"/>
    <col min="21" max="26" width="10.28515625" style="698" hidden="1" customWidth="1"/>
    <col min="27" max="16384" width="10.28515625" style="698"/>
  </cols>
  <sheetData>
    <row r="1" spans="1:21" ht="15.75" hidden="1" customHeight="1" x14ac:dyDescent="0.25">
      <c r="B1" s="695" t="s">
        <v>344</v>
      </c>
      <c r="C1" s="695" t="s">
        <v>345</v>
      </c>
      <c r="D1" s="696" t="s">
        <v>346</v>
      </c>
      <c r="E1" s="696"/>
      <c r="L1" s="694">
        <v>20</v>
      </c>
      <c r="N1" s="694">
        <v>70</v>
      </c>
      <c r="O1" s="694">
        <v>180</v>
      </c>
    </row>
    <row r="2" spans="1:21" ht="15.75" hidden="1" customHeight="1" thickBot="1" x14ac:dyDescent="0.3">
      <c r="B2" s="699" t="s">
        <v>347</v>
      </c>
      <c r="C2" s="700">
        <v>44545</v>
      </c>
    </row>
    <row r="3" spans="1:21" ht="15.75" hidden="1" customHeight="1" thickBot="1" x14ac:dyDescent="0.3">
      <c r="Q3" s="965" t="s">
        <v>348</v>
      </c>
      <c r="R3" s="966"/>
      <c r="S3" s="966"/>
      <c r="T3" s="967"/>
    </row>
    <row r="4" spans="1:21" s="709" customFormat="1" ht="45" hidden="1" customHeight="1" thickBot="1" x14ac:dyDescent="0.3">
      <c r="A4" s="695"/>
      <c r="B4" s="701" t="s">
        <v>349</v>
      </c>
      <c r="C4" s="702" t="s">
        <v>350</v>
      </c>
      <c r="D4" s="702" t="s">
        <v>351</v>
      </c>
      <c r="E4" s="703" t="s">
        <v>660</v>
      </c>
      <c r="F4" s="702" t="s">
        <v>126</v>
      </c>
      <c r="G4" s="702" t="s">
        <v>352</v>
      </c>
      <c r="H4" s="702" t="s">
        <v>353</v>
      </c>
      <c r="I4" s="702" t="s">
        <v>354</v>
      </c>
      <c r="J4" s="704" t="s">
        <v>355</v>
      </c>
      <c r="K4" s="704" t="s">
        <v>356</v>
      </c>
      <c r="L4" s="704" t="s">
        <v>357</v>
      </c>
      <c r="M4" s="704" t="s">
        <v>358</v>
      </c>
      <c r="N4" s="705" t="s">
        <v>359</v>
      </c>
      <c r="O4" s="704" t="s">
        <v>360</v>
      </c>
      <c r="P4" s="706" t="s">
        <v>361</v>
      </c>
      <c r="Q4" s="707">
        <v>0.3</v>
      </c>
      <c r="R4" s="707">
        <v>0.35</v>
      </c>
      <c r="S4" s="707">
        <v>0.4</v>
      </c>
      <c r="T4" s="708">
        <v>0.45</v>
      </c>
    </row>
    <row r="5" spans="1:21" s="709" customFormat="1" ht="27.95" hidden="1" customHeight="1" x14ac:dyDescent="0.25">
      <c r="A5" s="694">
        <v>1</v>
      </c>
      <c r="B5" s="710" t="s">
        <v>362</v>
      </c>
      <c r="C5" s="711" t="s">
        <v>366</v>
      </c>
      <c r="D5" s="711" t="s">
        <v>367</v>
      </c>
      <c r="E5" s="711" t="s">
        <v>685</v>
      </c>
      <c r="F5" s="711" t="s">
        <v>368</v>
      </c>
      <c r="G5" s="711" t="s">
        <v>365</v>
      </c>
      <c r="H5" s="711">
        <v>3.05</v>
      </c>
      <c r="I5" s="711">
        <v>120</v>
      </c>
      <c r="J5" s="712"/>
      <c r="K5" s="712">
        <v>245.75229357798165</v>
      </c>
      <c r="L5" s="712">
        <v>12.287614678899082</v>
      </c>
      <c r="M5" s="711">
        <v>50</v>
      </c>
      <c r="N5" s="713">
        <v>8.6013302752293583</v>
      </c>
      <c r="O5" s="712">
        <v>0.18</v>
      </c>
      <c r="P5" s="714">
        <v>8.7813302752293581</v>
      </c>
      <c r="Q5" s="715">
        <v>12.54475753604194</v>
      </c>
      <c r="R5" s="715">
        <v>13.509738884968243</v>
      </c>
      <c r="S5" s="715">
        <v>14.635550458715597</v>
      </c>
      <c r="T5" s="716">
        <v>15.966055045871558</v>
      </c>
      <c r="U5" s="698"/>
    </row>
    <row r="6" spans="1:21" ht="27.95" hidden="1" customHeight="1" x14ac:dyDescent="0.25">
      <c r="A6" s="694">
        <v>2</v>
      </c>
      <c r="B6" s="717" t="s">
        <v>362</v>
      </c>
      <c r="C6" s="718" t="s">
        <v>387</v>
      </c>
      <c r="D6" s="718" t="s">
        <v>388</v>
      </c>
      <c r="E6" s="718" t="s">
        <v>687</v>
      </c>
      <c r="F6" s="718" t="s">
        <v>389</v>
      </c>
      <c r="G6" s="719" t="s">
        <v>386</v>
      </c>
      <c r="H6" s="718">
        <v>3</v>
      </c>
      <c r="I6" s="718">
        <v>118</v>
      </c>
      <c r="J6" s="720"/>
      <c r="K6" s="720">
        <v>306.46788990825689</v>
      </c>
      <c r="L6" s="720">
        <v>15.323394495412845</v>
      </c>
      <c r="M6" s="718">
        <v>50</v>
      </c>
      <c r="N6" s="721">
        <v>10.726376146788992</v>
      </c>
      <c r="O6" s="720">
        <v>0.18</v>
      </c>
      <c r="P6" s="722">
        <v>10.906376146788991</v>
      </c>
      <c r="Q6" s="723">
        <v>15.580537352555703</v>
      </c>
      <c r="R6" s="723">
        <v>16.779040225829217</v>
      </c>
      <c r="S6" s="723">
        <v>18.177293577981654</v>
      </c>
      <c r="T6" s="724">
        <v>19.829774812343619</v>
      </c>
    </row>
    <row r="7" spans="1:21" ht="27.95" hidden="1" customHeight="1" x14ac:dyDescent="0.25">
      <c r="A7" s="694">
        <v>3</v>
      </c>
      <c r="B7" s="717" t="s">
        <v>362</v>
      </c>
      <c r="C7" s="718" t="s">
        <v>397</v>
      </c>
      <c r="D7" s="718" t="s">
        <v>398</v>
      </c>
      <c r="E7" s="718" t="s">
        <v>688</v>
      </c>
      <c r="F7" s="718" t="s">
        <v>374</v>
      </c>
      <c r="G7" s="719" t="s">
        <v>365</v>
      </c>
      <c r="H7" s="718">
        <v>3</v>
      </c>
      <c r="I7" s="718">
        <v>118</v>
      </c>
      <c r="J7" s="720"/>
      <c r="K7" s="720">
        <v>340.52293577981652</v>
      </c>
      <c r="L7" s="720">
        <v>17.026146788990825</v>
      </c>
      <c r="M7" s="718">
        <v>50</v>
      </c>
      <c r="N7" s="721">
        <v>11.918302752293577</v>
      </c>
      <c r="O7" s="720">
        <v>0.18</v>
      </c>
      <c r="P7" s="722">
        <v>12.098302752293577</v>
      </c>
      <c r="Q7" s="723">
        <v>17.283289646133682</v>
      </c>
      <c r="R7" s="723">
        <v>18.61277346506704</v>
      </c>
      <c r="S7" s="723">
        <v>20.163837920489296</v>
      </c>
      <c r="T7" s="724">
        <v>21.99691409507923</v>
      </c>
    </row>
    <row r="8" spans="1:21" ht="27.95" hidden="1" customHeight="1" x14ac:dyDescent="0.25">
      <c r="A8" s="694">
        <v>4</v>
      </c>
      <c r="B8" s="717" t="s">
        <v>362</v>
      </c>
      <c r="C8" s="718" t="s">
        <v>408</v>
      </c>
      <c r="D8" s="718" t="s">
        <v>409</v>
      </c>
      <c r="E8" s="718" t="s">
        <v>684</v>
      </c>
      <c r="F8" s="718" t="s">
        <v>410</v>
      </c>
      <c r="G8" s="719" t="s">
        <v>365</v>
      </c>
      <c r="H8" s="718">
        <v>3</v>
      </c>
      <c r="I8" s="718">
        <v>118</v>
      </c>
      <c r="J8" s="720"/>
      <c r="K8" s="720">
        <v>244.55963302752292</v>
      </c>
      <c r="L8" s="720">
        <v>12.227981651376146</v>
      </c>
      <c r="M8" s="718">
        <v>50</v>
      </c>
      <c r="N8" s="721">
        <v>8.5595871559633014</v>
      </c>
      <c r="O8" s="720">
        <v>0.18</v>
      </c>
      <c r="P8" s="722">
        <v>8.7395871559633012</v>
      </c>
      <c r="Q8" s="723">
        <v>12.485124508519002</v>
      </c>
      <c r="R8" s="723">
        <v>13.445518701482001</v>
      </c>
      <c r="S8" s="723">
        <v>14.565978593272169</v>
      </c>
      <c r="T8" s="724">
        <v>15.890158465387819</v>
      </c>
    </row>
    <row r="9" spans="1:21" ht="27.95" hidden="1" customHeight="1" x14ac:dyDescent="0.25">
      <c r="A9" s="694">
        <v>5</v>
      </c>
      <c r="B9" s="717" t="s">
        <v>362</v>
      </c>
      <c r="C9" s="718" t="s">
        <v>439</v>
      </c>
      <c r="D9" s="718" t="s">
        <v>440</v>
      </c>
      <c r="E9" s="718" t="s">
        <v>680</v>
      </c>
      <c r="F9" s="718" t="s">
        <v>425</v>
      </c>
      <c r="G9" s="719" t="s">
        <v>365</v>
      </c>
      <c r="H9" s="718">
        <v>3.2</v>
      </c>
      <c r="I9" s="718">
        <v>126</v>
      </c>
      <c r="J9" s="720"/>
      <c r="K9" s="720">
        <v>191.62385321100916</v>
      </c>
      <c r="L9" s="720">
        <v>9.5811926605504585</v>
      </c>
      <c r="M9" s="718">
        <v>50</v>
      </c>
      <c r="N9" s="721">
        <v>6.7068348623853202</v>
      </c>
      <c r="O9" s="720">
        <v>0.18</v>
      </c>
      <c r="P9" s="722">
        <v>6.8868348623853199</v>
      </c>
      <c r="Q9" s="723">
        <v>9.8383355176933147</v>
      </c>
      <c r="R9" s="723">
        <v>10.595130557515876</v>
      </c>
      <c r="S9" s="723">
        <v>11.478058103975533</v>
      </c>
      <c r="T9" s="724">
        <v>12.521517931609672</v>
      </c>
    </row>
    <row r="10" spans="1:21" ht="27.95" hidden="1" customHeight="1" x14ac:dyDescent="0.25">
      <c r="A10" s="694">
        <v>6</v>
      </c>
      <c r="B10" s="717" t="s">
        <v>362</v>
      </c>
      <c r="C10" s="718" t="s">
        <v>458</v>
      </c>
      <c r="D10" s="718" t="s">
        <v>459</v>
      </c>
      <c r="E10" s="718" t="s">
        <v>679</v>
      </c>
      <c r="F10" s="718" t="s">
        <v>460</v>
      </c>
      <c r="G10" s="719" t="s">
        <v>365</v>
      </c>
      <c r="H10" s="718">
        <v>3.05</v>
      </c>
      <c r="I10" s="718">
        <v>120</v>
      </c>
      <c r="J10" s="720"/>
      <c r="K10" s="720">
        <v>168.15596330275227</v>
      </c>
      <c r="L10" s="720">
        <v>8.4077981651376135</v>
      </c>
      <c r="M10" s="718">
        <v>50</v>
      </c>
      <c r="N10" s="721">
        <v>5.8854587155963296</v>
      </c>
      <c r="O10" s="720">
        <v>0.18</v>
      </c>
      <c r="P10" s="722">
        <v>6.0654587155963293</v>
      </c>
      <c r="Q10" s="723">
        <v>8.6649410222804715</v>
      </c>
      <c r="R10" s="723">
        <v>9.3314749470712748</v>
      </c>
      <c r="S10" s="723">
        <v>10.109097859327216</v>
      </c>
      <c r="T10" s="724">
        <v>11.028106755629688</v>
      </c>
    </row>
    <row r="11" spans="1:21" ht="27.95" hidden="1" customHeight="1" thickBot="1" x14ac:dyDescent="0.3">
      <c r="A11" s="694">
        <v>7</v>
      </c>
      <c r="B11" s="725" t="s">
        <v>362</v>
      </c>
      <c r="C11" s="726" t="s">
        <v>557</v>
      </c>
      <c r="D11" s="726" t="s">
        <v>558</v>
      </c>
      <c r="E11" s="726" t="s">
        <v>690</v>
      </c>
      <c r="F11" s="726" t="s">
        <v>445</v>
      </c>
      <c r="G11" s="726" t="s">
        <v>365</v>
      </c>
      <c r="H11" s="726">
        <v>3.2</v>
      </c>
      <c r="I11" s="726">
        <v>126</v>
      </c>
      <c r="J11" s="727"/>
      <c r="K11" s="727">
        <v>364.09174311926603</v>
      </c>
      <c r="L11" s="727">
        <v>18.204587155963303</v>
      </c>
      <c r="M11" s="726">
        <v>50</v>
      </c>
      <c r="N11" s="728">
        <v>12.743211009174313</v>
      </c>
      <c r="O11" s="727">
        <v>0.18</v>
      </c>
      <c r="P11" s="729">
        <v>12.923211009174313</v>
      </c>
      <c r="Q11" s="730">
        <v>18.461730013106163</v>
      </c>
      <c r="R11" s="730">
        <v>19.881863091037403</v>
      </c>
      <c r="S11" s="730">
        <v>21.538685015290522</v>
      </c>
      <c r="T11" s="731">
        <v>23.496747289407839</v>
      </c>
    </row>
    <row r="12" spans="1:21" s="709" customFormat="1" ht="27.95" hidden="1" customHeight="1" x14ac:dyDescent="0.25">
      <c r="A12" s="694">
        <v>8</v>
      </c>
      <c r="B12" s="710" t="s">
        <v>362</v>
      </c>
      <c r="C12" s="711" t="s">
        <v>593</v>
      </c>
      <c r="D12" s="711" t="s">
        <v>594</v>
      </c>
      <c r="E12" s="711" t="s">
        <v>686</v>
      </c>
      <c r="F12" s="711" t="s">
        <v>595</v>
      </c>
      <c r="G12" s="711" t="s">
        <v>365</v>
      </c>
      <c r="H12" s="711">
        <v>3</v>
      </c>
      <c r="I12" s="711">
        <v>118</v>
      </c>
      <c r="J12" s="712"/>
      <c r="K12" s="712">
        <v>255.8440366972477</v>
      </c>
      <c r="L12" s="712">
        <v>12.792201834862386</v>
      </c>
      <c r="M12" s="711">
        <v>50</v>
      </c>
      <c r="N12" s="713">
        <v>8.9545412844036694</v>
      </c>
      <c r="O12" s="712">
        <v>0.18</v>
      </c>
      <c r="P12" s="714">
        <v>9.1345412844036691</v>
      </c>
      <c r="Q12" s="732">
        <v>13.049344692005242</v>
      </c>
      <c r="R12" s="732">
        <v>14.053140437544105</v>
      </c>
      <c r="S12" s="732">
        <v>15.224235474006116</v>
      </c>
      <c r="T12" s="733">
        <v>16.608256880733943</v>
      </c>
      <c r="U12" s="698"/>
    </row>
    <row r="13" spans="1:21" ht="27.95" hidden="1" customHeight="1" x14ac:dyDescent="0.25">
      <c r="A13" s="694">
        <v>9</v>
      </c>
      <c r="B13" s="717" t="s">
        <v>362</v>
      </c>
      <c r="C13" s="718" t="s">
        <v>621</v>
      </c>
      <c r="D13" s="718" t="s">
        <v>622</v>
      </c>
      <c r="E13" s="718" t="s">
        <v>678</v>
      </c>
      <c r="F13" s="718" t="s">
        <v>453</v>
      </c>
      <c r="G13" s="718" t="s">
        <v>365</v>
      </c>
      <c r="H13" s="718">
        <v>3.05</v>
      </c>
      <c r="I13" s="718">
        <v>120</v>
      </c>
      <c r="J13" s="720"/>
      <c r="K13" s="720">
        <v>165.46788990825689</v>
      </c>
      <c r="L13" s="720">
        <v>8.2733944954128447</v>
      </c>
      <c r="M13" s="718">
        <v>50</v>
      </c>
      <c r="N13" s="721">
        <v>5.7913761467889913</v>
      </c>
      <c r="O13" s="720">
        <v>0.18</v>
      </c>
      <c r="P13" s="722">
        <v>5.971376146788991</v>
      </c>
      <c r="Q13" s="723">
        <v>8.5305373525557027</v>
      </c>
      <c r="R13" s="723">
        <v>9.1867325335215249</v>
      </c>
      <c r="S13" s="723">
        <v>9.9522935779816528</v>
      </c>
      <c r="T13" s="724">
        <v>10.857047539616346</v>
      </c>
    </row>
    <row r="14" spans="1:21" ht="27.95" hidden="1" customHeight="1" x14ac:dyDescent="0.25">
      <c r="A14" s="694">
        <v>10</v>
      </c>
      <c r="B14" s="717" t="s">
        <v>362</v>
      </c>
      <c r="C14" s="718" t="s">
        <v>625</v>
      </c>
      <c r="D14" s="718" t="s">
        <v>627</v>
      </c>
      <c r="E14" s="718" t="s">
        <v>683</v>
      </c>
      <c r="F14" s="718" t="s">
        <v>453</v>
      </c>
      <c r="G14" s="718" t="s">
        <v>365</v>
      </c>
      <c r="H14" s="718">
        <v>3.05</v>
      </c>
      <c r="I14" s="718">
        <v>120</v>
      </c>
      <c r="J14" s="720"/>
      <c r="K14" s="720">
        <v>221.74311926605503</v>
      </c>
      <c r="L14" s="720">
        <v>11.087155963302752</v>
      </c>
      <c r="M14" s="718">
        <v>50</v>
      </c>
      <c r="N14" s="721">
        <v>7.7610091743119263</v>
      </c>
      <c r="O14" s="720">
        <v>0.18</v>
      </c>
      <c r="P14" s="722">
        <v>7.941009174311926</v>
      </c>
      <c r="Q14" s="723">
        <v>11.344298820445609</v>
      </c>
      <c r="R14" s="723">
        <v>12.216937191249116</v>
      </c>
      <c r="S14" s="723">
        <v>13.235015290519877</v>
      </c>
      <c r="T14" s="724">
        <v>14.438198498748955</v>
      </c>
    </row>
    <row r="15" spans="1:21" ht="27.95" hidden="1" customHeight="1" thickBot="1" x14ac:dyDescent="0.3">
      <c r="A15" s="694">
        <v>11</v>
      </c>
      <c r="B15" s="725" t="s">
        <v>362</v>
      </c>
      <c r="C15" s="726" t="s">
        <v>633</v>
      </c>
      <c r="D15" s="726" t="s">
        <v>634</v>
      </c>
      <c r="E15" s="726" t="s">
        <v>681</v>
      </c>
      <c r="F15" s="726" t="s">
        <v>377</v>
      </c>
      <c r="G15" s="726" t="s">
        <v>365</v>
      </c>
      <c r="H15" s="726">
        <v>3.05</v>
      </c>
      <c r="I15" s="726">
        <v>120</v>
      </c>
      <c r="J15" s="727"/>
      <c r="K15" s="727">
        <v>194.59633027522935</v>
      </c>
      <c r="L15" s="727">
        <v>9.7298165137614667</v>
      </c>
      <c r="M15" s="726">
        <v>50</v>
      </c>
      <c r="N15" s="728">
        <v>6.8108715596330258</v>
      </c>
      <c r="O15" s="727">
        <v>0.18</v>
      </c>
      <c r="P15" s="729">
        <v>6.9908715596330255</v>
      </c>
      <c r="Q15" s="730">
        <v>9.986959370904323</v>
      </c>
      <c r="R15" s="730">
        <v>10.75518701482004</v>
      </c>
      <c r="S15" s="730">
        <v>11.651452599388376</v>
      </c>
      <c r="T15" s="731">
        <v>12.710675562969136</v>
      </c>
    </row>
    <row r="16" spans="1:21" s="709" customFormat="1" ht="27.95" hidden="1" customHeight="1" x14ac:dyDescent="0.25">
      <c r="A16" s="694">
        <v>12</v>
      </c>
      <c r="B16" s="710" t="s">
        <v>362</v>
      </c>
      <c r="C16" s="711" t="s">
        <v>646</v>
      </c>
      <c r="D16" s="711" t="s">
        <v>647</v>
      </c>
      <c r="E16" s="711" t="s">
        <v>682</v>
      </c>
      <c r="F16" s="711" t="s">
        <v>576</v>
      </c>
      <c r="G16" s="711" t="s">
        <v>645</v>
      </c>
      <c r="H16" s="711">
        <v>3.2</v>
      </c>
      <c r="I16" s="711">
        <v>126</v>
      </c>
      <c r="J16" s="712"/>
      <c r="K16" s="712">
        <v>214.80733944954125</v>
      </c>
      <c r="L16" s="712">
        <v>10.740366972477062</v>
      </c>
      <c r="M16" s="711">
        <v>50</v>
      </c>
      <c r="N16" s="713">
        <v>7.5182568807339427</v>
      </c>
      <c r="O16" s="712">
        <v>0.18</v>
      </c>
      <c r="P16" s="714">
        <v>7.6982568807339424</v>
      </c>
      <c r="Q16" s="732">
        <v>10.997509829619919</v>
      </c>
      <c r="R16" s="732">
        <v>11.843472124206064</v>
      </c>
      <c r="S16" s="732">
        <v>12.830428134556572</v>
      </c>
      <c r="T16" s="733">
        <v>13.996830692243531</v>
      </c>
      <c r="U16" s="698"/>
    </row>
    <row r="17" spans="1:21" ht="27.95" hidden="1" customHeight="1" x14ac:dyDescent="0.25">
      <c r="A17" s="694" t="s">
        <v>655</v>
      </c>
      <c r="B17" s="734" t="s">
        <v>659</v>
      </c>
      <c r="C17" s="735" t="s">
        <v>491</v>
      </c>
      <c r="D17" s="735" t="s">
        <v>492</v>
      </c>
      <c r="E17" s="735" t="s">
        <v>674</v>
      </c>
      <c r="F17" s="735" t="s">
        <v>448</v>
      </c>
      <c r="G17" s="736" t="s">
        <v>490</v>
      </c>
      <c r="H17" s="735">
        <v>3</v>
      </c>
      <c r="I17" s="735">
        <v>118</v>
      </c>
      <c r="J17" s="737"/>
      <c r="K17" s="737">
        <v>241.29357798165134</v>
      </c>
      <c r="L17" s="737">
        <v>12.064678899082567</v>
      </c>
      <c r="M17" s="735">
        <v>30</v>
      </c>
      <c r="N17" s="738">
        <v>8.4452752293577973</v>
      </c>
      <c r="O17" s="737">
        <v>0.3</v>
      </c>
      <c r="P17" s="722">
        <v>8.745275229357798</v>
      </c>
      <c r="Q17" s="723">
        <v>12.493250327653998</v>
      </c>
      <c r="R17" s="723">
        <v>13.454269583627381</v>
      </c>
      <c r="S17" s="723">
        <v>14.57545871559633</v>
      </c>
      <c r="T17" s="724">
        <v>15.900500417014177</v>
      </c>
    </row>
    <row r="18" spans="1:21" ht="27.95" hidden="1" customHeight="1" x14ac:dyDescent="0.25">
      <c r="A18" s="694" t="s">
        <v>656</v>
      </c>
      <c r="B18" s="734" t="s">
        <v>659</v>
      </c>
      <c r="C18" s="735" t="s">
        <v>510</v>
      </c>
      <c r="D18" s="735" t="s">
        <v>511</v>
      </c>
      <c r="E18" s="735" t="s">
        <v>676</v>
      </c>
      <c r="F18" s="735" t="s">
        <v>413</v>
      </c>
      <c r="G18" s="736" t="s">
        <v>490</v>
      </c>
      <c r="H18" s="735">
        <v>2.8</v>
      </c>
      <c r="I18" s="735">
        <v>110</v>
      </c>
      <c r="J18" s="737"/>
      <c r="K18" s="737">
        <v>394.85321100917429</v>
      </c>
      <c r="L18" s="737">
        <v>19.742660550458716</v>
      </c>
      <c r="M18" s="735">
        <v>30</v>
      </c>
      <c r="N18" s="738">
        <v>13.8198623853211</v>
      </c>
      <c r="O18" s="737">
        <v>0.3</v>
      </c>
      <c r="P18" s="722">
        <v>14.119862385321101</v>
      </c>
      <c r="Q18" s="723">
        <v>20.171231979030146</v>
      </c>
      <c r="R18" s="723">
        <v>21.72286520818631</v>
      </c>
      <c r="S18" s="723">
        <v>23.53310397553517</v>
      </c>
      <c r="T18" s="724">
        <v>25.672477064220182</v>
      </c>
    </row>
    <row r="19" spans="1:21" ht="27.95" hidden="1" customHeight="1" thickBot="1" x14ac:dyDescent="0.3">
      <c r="A19" s="694" t="s">
        <v>657</v>
      </c>
      <c r="B19" s="734" t="s">
        <v>659</v>
      </c>
      <c r="C19" s="735" t="s">
        <v>522</v>
      </c>
      <c r="D19" s="735" t="s">
        <v>523</v>
      </c>
      <c r="E19" s="735" t="s">
        <v>677</v>
      </c>
      <c r="F19" s="735" t="s">
        <v>377</v>
      </c>
      <c r="G19" s="736" t="s">
        <v>521</v>
      </c>
      <c r="H19" s="735">
        <v>2.8</v>
      </c>
      <c r="I19" s="735">
        <v>110</v>
      </c>
      <c r="J19" s="737"/>
      <c r="K19" s="737">
        <v>497.33944954128441</v>
      </c>
      <c r="L19" s="737">
        <v>24.86697247706422</v>
      </c>
      <c r="M19" s="735">
        <v>30</v>
      </c>
      <c r="N19" s="738">
        <v>17.406880733944956</v>
      </c>
      <c r="O19" s="737">
        <v>0.3</v>
      </c>
      <c r="P19" s="722">
        <v>17.706880733944956</v>
      </c>
      <c r="Q19" s="723">
        <v>25.295543905635654</v>
      </c>
      <c r="R19" s="723">
        <v>27.241354975299931</v>
      </c>
      <c r="S19" s="723">
        <v>29.511467889908261</v>
      </c>
      <c r="T19" s="724">
        <v>32.194328607172643</v>
      </c>
    </row>
    <row r="20" spans="1:21" s="709" customFormat="1" ht="27.95" hidden="1" customHeight="1" x14ac:dyDescent="0.25">
      <c r="A20" s="694" t="s">
        <v>658</v>
      </c>
      <c r="B20" s="734" t="s">
        <v>659</v>
      </c>
      <c r="C20" s="739" t="s">
        <v>604</v>
      </c>
      <c r="D20" s="739" t="s">
        <v>605</v>
      </c>
      <c r="E20" s="739" t="s">
        <v>675</v>
      </c>
      <c r="F20" s="739" t="s">
        <v>606</v>
      </c>
      <c r="G20" s="740" t="s">
        <v>603</v>
      </c>
      <c r="H20" s="739">
        <v>2.8</v>
      </c>
      <c r="I20" s="739">
        <v>110</v>
      </c>
      <c r="J20" s="741"/>
      <c r="K20" s="741">
        <v>363.63302752293578</v>
      </c>
      <c r="L20" s="741">
        <v>18.181651376146789</v>
      </c>
      <c r="M20" s="739">
        <v>30</v>
      </c>
      <c r="N20" s="742">
        <v>12.727155963302753</v>
      </c>
      <c r="O20" s="741">
        <v>0.3</v>
      </c>
      <c r="P20" s="714">
        <v>13.027155963302754</v>
      </c>
      <c r="Q20" s="732">
        <v>18.610222804718219</v>
      </c>
      <c r="R20" s="732">
        <v>20.041778405081157</v>
      </c>
      <c r="S20" s="732">
        <v>21.711926605504591</v>
      </c>
      <c r="T20" s="733">
        <v>23.685738115095912</v>
      </c>
      <c r="U20" s="698"/>
    </row>
    <row r="21" spans="1:21" s="752" customFormat="1" ht="27.95" hidden="1" customHeight="1" x14ac:dyDescent="0.25">
      <c r="A21" s="743"/>
      <c r="B21" s="744"/>
      <c r="C21" s="745"/>
      <c r="D21" s="745"/>
      <c r="E21" s="745"/>
      <c r="F21" s="745"/>
      <c r="G21" s="746"/>
      <c r="H21" s="745"/>
      <c r="I21" s="745"/>
      <c r="J21" s="747"/>
      <c r="K21" s="747"/>
      <c r="L21" s="747"/>
      <c r="M21" s="745"/>
      <c r="N21" s="748"/>
      <c r="O21" s="747"/>
      <c r="P21" s="747"/>
      <c r="Q21" s="749"/>
      <c r="R21" s="749"/>
      <c r="S21" s="749"/>
      <c r="T21" s="750"/>
      <c r="U21" s="751"/>
    </row>
    <row r="22" spans="1:21" s="752" customFormat="1" ht="27.95" hidden="1" customHeight="1" x14ac:dyDescent="0.25">
      <c r="A22" s="743"/>
      <c r="B22" s="744"/>
      <c r="C22" s="745"/>
      <c r="D22" s="745"/>
      <c r="E22" s="745"/>
      <c r="F22" s="745"/>
      <c r="G22" s="746"/>
      <c r="H22" s="745"/>
      <c r="I22" s="745"/>
      <c r="J22" s="747"/>
      <c r="K22" s="747"/>
      <c r="L22" s="747"/>
      <c r="M22" s="745"/>
      <c r="N22" s="748"/>
      <c r="O22" s="747"/>
      <c r="P22" s="747"/>
      <c r="Q22" s="749"/>
      <c r="R22" s="749"/>
      <c r="S22" s="749"/>
      <c r="T22" s="750"/>
      <c r="U22" s="751"/>
    </row>
    <row r="23" spans="1:21" ht="27.95" hidden="1" customHeight="1" x14ac:dyDescent="0.25">
      <c r="A23" s="695"/>
      <c r="B23" s="753" t="s">
        <v>362</v>
      </c>
      <c r="C23" s="754" t="s">
        <v>363</v>
      </c>
      <c r="D23" s="754" t="s">
        <v>364</v>
      </c>
      <c r="E23" s="755"/>
      <c r="F23" s="754"/>
      <c r="G23" s="754" t="s">
        <v>365</v>
      </c>
      <c r="H23" s="754">
        <v>3.05</v>
      </c>
      <c r="I23" s="754">
        <v>120</v>
      </c>
      <c r="J23" s="756">
        <v>267.87</v>
      </c>
      <c r="K23" s="754"/>
      <c r="L23" s="754"/>
      <c r="M23" s="754"/>
      <c r="N23" s="757"/>
      <c r="O23" s="756"/>
      <c r="P23" s="758"/>
      <c r="Q23" s="754"/>
      <c r="R23" s="754"/>
      <c r="S23" s="754"/>
      <c r="T23" s="759"/>
      <c r="U23" s="709"/>
    </row>
    <row r="24" spans="1:21" ht="27.95" hidden="1" customHeight="1" x14ac:dyDescent="0.25">
      <c r="B24" s="760" t="s">
        <v>362</v>
      </c>
      <c r="C24" s="755" t="s">
        <v>369</v>
      </c>
      <c r="D24" s="755" t="s">
        <v>370</v>
      </c>
      <c r="E24" s="755"/>
      <c r="F24" s="755" t="s">
        <v>371</v>
      </c>
      <c r="G24" s="755" t="s">
        <v>365</v>
      </c>
      <c r="H24" s="755">
        <v>3.05</v>
      </c>
      <c r="I24" s="755">
        <v>120</v>
      </c>
      <c r="J24" s="761"/>
      <c r="K24" s="761">
        <v>245.75229357798165</v>
      </c>
      <c r="L24" s="761">
        <v>12.287614678899082</v>
      </c>
      <c r="M24" s="755">
        <v>50</v>
      </c>
      <c r="N24" s="762">
        <v>8.6013302752293583</v>
      </c>
      <c r="O24" s="761">
        <v>0.18</v>
      </c>
      <c r="P24" s="722">
        <v>8.7813302752293581</v>
      </c>
      <c r="Q24" s="723">
        <v>12.54475753604194</v>
      </c>
      <c r="R24" s="723">
        <v>13.509738884968243</v>
      </c>
      <c r="S24" s="723">
        <v>14.635550458715597</v>
      </c>
      <c r="T24" s="724">
        <v>15.966055045871558</v>
      </c>
    </row>
    <row r="25" spans="1:21" ht="27.95" hidden="1" customHeight="1" x14ac:dyDescent="0.25">
      <c r="B25" s="760" t="s">
        <v>362</v>
      </c>
      <c r="C25" s="755" t="s">
        <v>372</v>
      </c>
      <c r="D25" s="755" t="s">
        <v>373</v>
      </c>
      <c r="E25" s="755"/>
      <c r="F25" s="755" t="s">
        <v>374</v>
      </c>
      <c r="G25" s="755" t="s">
        <v>365</v>
      </c>
      <c r="H25" s="755">
        <v>3.05</v>
      </c>
      <c r="I25" s="755">
        <v>120</v>
      </c>
      <c r="J25" s="761"/>
      <c r="K25" s="761">
        <v>245.75229357798165</v>
      </c>
      <c r="L25" s="761">
        <v>12.287614678899082</v>
      </c>
      <c r="M25" s="755">
        <v>50</v>
      </c>
      <c r="N25" s="762">
        <v>8.6013302752293583</v>
      </c>
      <c r="O25" s="761">
        <v>0.18</v>
      </c>
      <c r="P25" s="722">
        <v>8.7813302752293581</v>
      </c>
      <c r="Q25" s="723">
        <v>12.54475753604194</v>
      </c>
      <c r="R25" s="723">
        <v>13.509738884968243</v>
      </c>
      <c r="S25" s="723">
        <v>14.635550458715597</v>
      </c>
      <c r="T25" s="724">
        <v>15.966055045871558</v>
      </c>
    </row>
    <row r="26" spans="1:21" ht="27.95" hidden="1" customHeight="1" thickBot="1" x14ac:dyDescent="0.3">
      <c r="B26" s="763" t="s">
        <v>362</v>
      </c>
      <c r="C26" s="764" t="s">
        <v>375</v>
      </c>
      <c r="D26" s="764" t="s">
        <v>376</v>
      </c>
      <c r="E26" s="764"/>
      <c r="F26" s="764" t="s">
        <v>377</v>
      </c>
      <c r="G26" s="764" t="s">
        <v>365</v>
      </c>
      <c r="H26" s="764">
        <v>3.05</v>
      </c>
      <c r="I26" s="764">
        <v>120</v>
      </c>
      <c r="J26" s="765"/>
      <c r="K26" s="765">
        <v>245.75229357798165</v>
      </c>
      <c r="L26" s="765">
        <v>12.287614678899082</v>
      </c>
      <c r="M26" s="764">
        <v>50</v>
      </c>
      <c r="N26" s="766">
        <v>8.6013302752293583</v>
      </c>
      <c r="O26" s="765">
        <v>0.18</v>
      </c>
      <c r="P26" s="729">
        <v>8.7813302752293581</v>
      </c>
      <c r="Q26" s="730">
        <v>12.54475753604194</v>
      </c>
      <c r="R26" s="730">
        <v>13.509738884968243</v>
      </c>
      <c r="S26" s="730">
        <v>14.635550458715597</v>
      </c>
      <c r="T26" s="731">
        <v>15.966055045871558</v>
      </c>
    </row>
    <row r="27" spans="1:21" s="709" customFormat="1" ht="54.75" hidden="1" customHeight="1" x14ac:dyDescent="0.25">
      <c r="A27" s="694"/>
      <c r="B27" s="767" t="s">
        <v>362</v>
      </c>
      <c r="C27" s="768" t="s">
        <v>378</v>
      </c>
      <c r="D27" s="768" t="s">
        <v>379</v>
      </c>
      <c r="E27" s="768"/>
      <c r="F27" s="768" t="s">
        <v>380</v>
      </c>
      <c r="G27" s="768" t="s">
        <v>365</v>
      </c>
      <c r="H27" s="768">
        <v>3.05</v>
      </c>
      <c r="I27" s="768">
        <v>120</v>
      </c>
      <c r="J27" s="769"/>
      <c r="K27" s="769">
        <v>245.75229357798165</v>
      </c>
      <c r="L27" s="769">
        <v>12.287614678899082</v>
      </c>
      <c r="M27" s="768">
        <v>50</v>
      </c>
      <c r="N27" s="770">
        <v>8.6013302752293583</v>
      </c>
      <c r="O27" s="769">
        <v>0.18</v>
      </c>
      <c r="P27" s="714">
        <v>8.7813302752293581</v>
      </c>
      <c r="Q27" s="732">
        <v>12.54475753604194</v>
      </c>
      <c r="R27" s="732">
        <v>13.509738884968243</v>
      </c>
      <c r="S27" s="732">
        <v>14.635550458715597</v>
      </c>
      <c r="T27" s="733">
        <v>15.966055045871558</v>
      </c>
      <c r="U27" s="698"/>
    </row>
    <row r="28" spans="1:21" ht="27.95" hidden="1" customHeight="1" x14ac:dyDescent="0.25">
      <c r="B28" s="760" t="s">
        <v>362</v>
      </c>
      <c r="C28" s="755" t="s">
        <v>381</v>
      </c>
      <c r="D28" s="755" t="s">
        <v>382</v>
      </c>
      <c r="E28" s="755"/>
      <c r="F28" s="755" t="s">
        <v>383</v>
      </c>
      <c r="G28" s="755" t="s">
        <v>365</v>
      </c>
      <c r="H28" s="755">
        <v>3.05</v>
      </c>
      <c r="I28" s="755">
        <v>120</v>
      </c>
      <c r="J28" s="761"/>
      <c r="K28" s="761">
        <v>245.75229357798165</v>
      </c>
      <c r="L28" s="761">
        <v>12.287614678899082</v>
      </c>
      <c r="M28" s="755">
        <v>50</v>
      </c>
      <c r="N28" s="762">
        <v>8.6013302752293583</v>
      </c>
      <c r="O28" s="761">
        <v>0.18</v>
      </c>
      <c r="P28" s="722">
        <v>8.7813302752293581</v>
      </c>
      <c r="Q28" s="723">
        <v>12.54475753604194</v>
      </c>
      <c r="R28" s="723">
        <v>13.509738884968243</v>
      </c>
      <c r="S28" s="723">
        <v>14.635550458715597</v>
      </c>
      <c r="T28" s="724">
        <v>15.966055045871558</v>
      </c>
    </row>
    <row r="29" spans="1:21" ht="27.95" hidden="1" customHeight="1" x14ac:dyDescent="0.25">
      <c r="A29" s="695"/>
      <c r="B29" s="753" t="s">
        <v>362</v>
      </c>
      <c r="C29" s="754" t="s">
        <v>384</v>
      </c>
      <c r="D29" s="754" t="s">
        <v>385</v>
      </c>
      <c r="E29" s="755"/>
      <c r="F29" s="754"/>
      <c r="G29" s="771" t="s">
        <v>386</v>
      </c>
      <c r="H29" s="754">
        <v>3</v>
      </c>
      <c r="I29" s="754">
        <v>118</v>
      </c>
      <c r="J29" s="756">
        <v>334.05</v>
      </c>
      <c r="K29" s="756"/>
      <c r="L29" s="756"/>
      <c r="M29" s="754"/>
      <c r="N29" s="757"/>
      <c r="O29" s="756"/>
      <c r="P29" s="758"/>
      <c r="Q29" s="723"/>
      <c r="R29" s="723"/>
      <c r="S29" s="723"/>
      <c r="T29" s="724"/>
      <c r="U29" s="709"/>
    </row>
    <row r="30" spans="1:21" ht="27.95" hidden="1" customHeight="1" x14ac:dyDescent="0.25">
      <c r="B30" s="760" t="s">
        <v>362</v>
      </c>
      <c r="C30" s="755" t="s">
        <v>390</v>
      </c>
      <c r="D30" s="755" t="s">
        <v>391</v>
      </c>
      <c r="E30" s="755"/>
      <c r="F30" s="755" t="s">
        <v>377</v>
      </c>
      <c r="G30" s="772" t="s">
        <v>386</v>
      </c>
      <c r="H30" s="755">
        <v>3</v>
      </c>
      <c r="I30" s="755">
        <v>118</v>
      </c>
      <c r="J30" s="761"/>
      <c r="K30" s="761">
        <v>306.46788990825689</v>
      </c>
      <c r="L30" s="761">
        <v>15.323394495412845</v>
      </c>
      <c r="M30" s="755">
        <v>50</v>
      </c>
      <c r="N30" s="762">
        <v>10.726376146788992</v>
      </c>
      <c r="O30" s="761">
        <v>0.18</v>
      </c>
      <c r="P30" s="722">
        <v>10.906376146788991</v>
      </c>
      <c r="Q30" s="723">
        <v>15.580537352555703</v>
      </c>
      <c r="R30" s="723">
        <v>16.779040225829217</v>
      </c>
      <c r="S30" s="723">
        <v>18.177293577981654</v>
      </c>
      <c r="T30" s="724">
        <v>19.829774812343619</v>
      </c>
    </row>
    <row r="31" spans="1:21" ht="27.95" hidden="1" customHeight="1" x14ac:dyDescent="0.25">
      <c r="B31" s="760" t="s">
        <v>362</v>
      </c>
      <c r="C31" s="755" t="s">
        <v>392</v>
      </c>
      <c r="D31" s="755" t="s">
        <v>393</v>
      </c>
      <c r="E31" s="755"/>
      <c r="F31" s="755" t="s">
        <v>394</v>
      </c>
      <c r="G31" s="772" t="s">
        <v>386</v>
      </c>
      <c r="H31" s="755">
        <v>3</v>
      </c>
      <c r="I31" s="755">
        <v>118</v>
      </c>
      <c r="J31" s="761"/>
      <c r="K31" s="761">
        <v>306.46788990825689</v>
      </c>
      <c r="L31" s="761">
        <v>15.323394495412845</v>
      </c>
      <c r="M31" s="755">
        <v>50</v>
      </c>
      <c r="N31" s="762">
        <v>10.726376146788992</v>
      </c>
      <c r="O31" s="761">
        <v>0.18</v>
      </c>
      <c r="P31" s="722">
        <v>10.906376146788991</v>
      </c>
      <c r="Q31" s="723">
        <v>15.580537352555703</v>
      </c>
      <c r="R31" s="723">
        <v>16.779040225829217</v>
      </c>
      <c r="S31" s="723">
        <v>18.177293577981654</v>
      </c>
      <c r="T31" s="724">
        <v>19.829774812343619</v>
      </c>
    </row>
    <row r="32" spans="1:21" ht="27.95" hidden="1" customHeight="1" thickBot="1" x14ac:dyDescent="0.3">
      <c r="A32" s="695"/>
      <c r="B32" s="773" t="s">
        <v>362</v>
      </c>
      <c r="C32" s="774" t="s">
        <v>395</v>
      </c>
      <c r="D32" s="774" t="s">
        <v>396</v>
      </c>
      <c r="E32" s="764"/>
      <c r="F32" s="774"/>
      <c r="G32" s="775" t="s">
        <v>365</v>
      </c>
      <c r="H32" s="774">
        <v>3</v>
      </c>
      <c r="I32" s="774">
        <v>118</v>
      </c>
      <c r="J32" s="776">
        <v>371.17</v>
      </c>
      <c r="K32" s="776"/>
      <c r="L32" s="776"/>
      <c r="M32" s="774"/>
      <c r="N32" s="777"/>
      <c r="O32" s="776"/>
      <c r="P32" s="778"/>
      <c r="Q32" s="730"/>
      <c r="R32" s="730"/>
      <c r="S32" s="730"/>
      <c r="T32" s="731"/>
      <c r="U32" s="709"/>
    </row>
    <row r="33" spans="1:21" s="709" customFormat="1" ht="27.95" hidden="1" customHeight="1" x14ac:dyDescent="0.25">
      <c r="A33" s="694"/>
      <c r="B33" s="767" t="s">
        <v>362</v>
      </c>
      <c r="C33" s="768" t="s">
        <v>399</v>
      </c>
      <c r="D33" s="768" t="s">
        <v>400</v>
      </c>
      <c r="E33" s="768"/>
      <c r="F33" s="768" t="s">
        <v>377</v>
      </c>
      <c r="G33" s="779" t="s">
        <v>365</v>
      </c>
      <c r="H33" s="768">
        <v>3</v>
      </c>
      <c r="I33" s="768">
        <v>118</v>
      </c>
      <c r="J33" s="769"/>
      <c r="K33" s="769">
        <v>340.52293577981652</v>
      </c>
      <c r="L33" s="769">
        <v>17.026146788990825</v>
      </c>
      <c r="M33" s="768">
        <v>50</v>
      </c>
      <c r="N33" s="770">
        <v>11.918302752293577</v>
      </c>
      <c r="O33" s="769">
        <v>0.18</v>
      </c>
      <c r="P33" s="714">
        <v>12.098302752293577</v>
      </c>
      <c r="Q33" s="732">
        <v>17.283289646133682</v>
      </c>
      <c r="R33" s="732">
        <v>18.61277346506704</v>
      </c>
      <c r="S33" s="732">
        <v>20.163837920489296</v>
      </c>
      <c r="T33" s="733">
        <v>21.99691409507923</v>
      </c>
      <c r="U33" s="698"/>
    </row>
    <row r="34" spans="1:21" ht="27.95" hidden="1" customHeight="1" x14ac:dyDescent="0.25">
      <c r="B34" s="760" t="s">
        <v>362</v>
      </c>
      <c r="C34" s="755" t="s">
        <v>401</v>
      </c>
      <c r="D34" s="755" t="s">
        <v>402</v>
      </c>
      <c r="E34" s="755"/>
      <c r="F34" s="755" t="s">
        <v>403</v>
      </c>
      <c r="G34" s="772" t="s">
        <v>365</v>
      </c>
      <c r="H34" s="755">
        <v>3</v>
      </c>
      <c r="I34" s="755">
        <v>118</v>
      </c>
      <c r="J34" s="761"/>
      <c r="K34" s="761">
        <v>340.52293577981652</v>
      </c>
      <c r="L34" s="761">
        <v>17.026146788990825</v>
      </c>
      <c r="M34" s="755">
        <v>50</v>
      </c>
      <c r="N34" s="762">
        <v>11.918302752293577</v>
      </c>
      <c r="O34" s="761">
        <v>0.18</v>
      </c>
      <c r="P34" s="722">
        <v>12.098302752293577</v>
      </c>
      <c r="Q34" s="723">
        <v>17.283289646133682</v>
      </c>
      <c r="R34" s="723">
        <v>18.61277346506704</v>
      </c>
      <c r="S34" s="723">
        <v>20.163837920489296</v>
      </c>
      <c r="T34" s="724">
        <v>21.99691409507923</v>
      </c>
    </row>
    <row r="35" spans="1:21" ht="27.95" hidden="1" customHeight="1" x14ac:dyDescent="0.25">
      <c r="B35" s="760" t="s">
        <v>362</v>
      </c>
      <c r="C35" s="755" t="s">
        <v>404</v>
      </c>
      <c r="D35" s="755" t="s">
        <v>405</v>
      </c>
      <c r="E35" s="755"/>
      <c r="F35" s="755" t="s">
        <v>371</v>
      </c>
      <c r="G35" s="772" t="s">
        <v>365</v>
      </c>
      <c r="H35" s="755">
        <v>3</v>
      </c>
      <c r="I35" s="755">
        <v>118</v>
      </c>
      <c r="J35" s="761"/>
      <c r="K35" s="761">
        <v>340.52293577981652</v>
      </c>
      <c r="L35" s="761">
        <v>17.026146788990825</v>
      </c>
      <c r="M35" s="755">
        <v>50</v>
      </c>
      <c r="N35" s="762">
        <v>11.918302752293577</v>
      </c>
      <c r="O35" s="761">
        <v>0.18</v>
      </c>
      <c r="P35" s="722">
        <v>12.098302752293577</v>
      </c>
      <c r="Q35" s="723">
        <v>17.283289646133682</v>
      </c>
      <c r="R35" s="723">
        <v>18.61277346506704</v>
      </c>
      <c r="S35" s="723">
        <v>20.163837920489296</v>
      </c>
      <c r="T35" s="724">
        <v>21.99691409507923</v>
      </c>
    </row>
    <row r="36" spans="1:21" ht="27.95" hidden="1" customHeight="1" x14ac:dyDescent="0.25">
      <c r="A36" s="695"/>
      <c r="B36" s="753" t="s">
        <v>362</v>
      </c>
      <c r="C36" s="754" t="s">
        <v>406</v>
      </c>
      <c r="D36" s="754" t="s">
        <v>407</v>
      </c>
      <c r="E36" s="755"/>
      <c r="F36" s="754"/>
      <c r="G36" s="771" t="s">
        <v>365</v>
      </c>
      <c r="H36" s="754">
        <v>3</v>
      </c>
      <c r="I36" s="754">
        <v>118</v>
      </c>
      <c r="J36" s="756">
        <v>266.57</v>
      </c>
      <c r="K36" s="756"/>
      <c r="L36" s="756"/>
      <c r="M36" s="754"/>
      <c r="N36" s="757"/>
      <c r="O36" s="756"/>
      <c r="P36" s="758"/>
      <c r="Q36" s="723"/>
      <c r="R36" s="723"/>
      <c r="S36" s="723"/>
      <c r="T36" s="724"/>
      <c r="U36" s="709"/>
    </row>
    <row r="37" spans="1:21" ht="27.95" hidden="1" customHeight="1" x14ac:dyDescent="0.25">
      <c r="B37" s="760" t="s">
        <v>362</v>
      </c>
      <c r="C37" s="755" t="s">
        <v>411</v>
      </c>
      <c r="D37" s="755" t="s">
        <v>412</v>
      </c>
      <c r="E37" s="755"/>
      <c r="F37" s="755" t="s">
        <v>413</v>
      </c>
      <c r="G37" s="772" t="s">
        <v>365</v>
      </c>
      <c r="H37" s="755">
        <v>3</v>
      </c>
      <c r="I37" s="755">
        <v>118</v>
      </c>
      <c r="J37" s="761"/>
      <c r="K37" s="761">
        <v>244.55963302752292</v>
      </c>
      <c r="L37" s="761">
        <v>12.227981651376146</v>
      </c>
      <c r="M37" s="755">
        <v>50</v>
      </c>
      <c r="N37" s="762">
        <v>8.5595871559633014</v>
      </c>
      <c r="O37" s="761">
        <v>0.18</v>
      </c>
      <c r="P37" s="722">
        <v>8.7395871559633012</v>
      </c>
      <c r="Q37" s="723">
        <v>12.485124508519002</v>
      </c>
      <c r="R37" s="723">
        <v>13.445518701482001</v>
      </c>
      <c r="S37" s="723">
        <v>14.565978593272169</v>
      </c>
      <c r="T37" s="724">
        <v>15.890158465387819</v>
      </c>
    </row>
    <row r="38" spans="1:21" ht="27.95" hidden="1" customHeight="1" x14ac:dyDescent="0.25">
      <c r="B38" s="760" t="s">
        <v>362</v>
      </c>
      <c r="C38" s="755" t="s">
        <v>414</v>
      </c>
      <c r="D38" s="755" t="s">
        <v>415</v>
      </c>
      <c r="E38" s="755"/>
      <c r="F38" s="755" t="s">
        <v>416</v>
      </c>
      <c r="G38" s="772" t="s">
        <v>365</v>
      </c>
      <c r="H38" s="755">
        <v>3</v>
      </c>
      <c r="I38" s="755">
        <v>118</v>
      </c>
      <c r="J38" s="761"/>
      <c r="K38" s="761">
        <v>244.55963302752292</v>
      </c>
      <c r="L38" s="761">
        <v>12.227981651376146</v>
      </c>
      <c r="M38" s="755">
        <v>50</v>
      </c>
      <c r="N38" s="762">
        <v>8.5595871559633014</v>
      </c>
      <c r="O38" s="761">
        <v>0.18</v>
      </c>
      <c r="P38" s="722">
        <v>8.7395871559633012</v>
      </c>
      <c r="Q38" s="723">
        <v>12.485124508519002</v>
      </c>
      <c r="R38" s="723">
        <v>13.445518701482001</v>
      </c>
      <c r="S38" s="723">
        <v>14.565978593272169</v>
      </c>
      <c r="T38" s="724">
        <v>15.890158465387819</v>
      </c>
    </row>
    <row r="39" spans="1:21" ht="27.95" hidden="1" customHeight="1" x14ac:dyDescent="0.25">
      <c r="B39" s="760" t="s">
        <v>362</v>
      </c>
      <c r="C39" s="755" t="s">
        <v>417</v>
      </c>
      <c r="D39" s="755" t="s">
        <v>418</v>
      </c>
      <c r="E39" s="755"/>
      <c r="F39" s="755" t="s">
        <v>419</v>
      </c>
      <c r="G39" s="772" t="s">
        <v>365</v>
      </c>
      <c r="H39" s="755">
        <v>3</v>
      </c>
      <c r="I39" s="755">
        <v>118</v>
      </c>
      <c r="J39" s="761"/>
      <c r="K39" s="761">
        <v>244.55963302752292</v>
      </c>
      <c r="L39" s="761">
        <v>12.227981651376146</v>
      </c>
      <c r="M39" s="755">
        <v>50</v>
      </c>
      <c r="N39" s="762">
        <v>8.5595871559633014</v>
      </c>
      <c r="O39" s="761">
        <v>0.18</v>
      </c>
      <c r="P39" s="722">
        <v>8.7395871559633012</v>
      </c>
      <c r="Q39" s="723">
        <v>12.485124508519002</v>
      </c>
      <c r="R39" s="723">
        <v>13.445518701482001</v>
      </c>
      <c r="S39" s="723">
        <v>14.565978593272169</v>
      </c>
      <c r="T39" s="724">
        <v>15.890158465387819</v>
      </c>
    </row>
    <row r="40" spans="1:21" ht="27.95" hidden="1" customHeight="1" thickBot="1" x14ac:dyDescent="0.3">
      <c r="A40" s="695"/>
      <c r="B40" s="780" t="s">
        <v>362</v>
      </c>
      <c r="C40" s="781" t="s">
        <v>420</v>
      </c>
      <c r="D40" s="781" t="s">
        <v>421</v>
      </c>
      <c r="E40" s="782"/>
      <c r="F40" s="783" t="s">
        <v>422</v>
      </c>
      <c r="G40" s="783" t="s">
        <v>365</v>
      </c>
      <c r="H40" s="781">
        <v>2.9</v>
      </c>
      <c r="I40" s="781">
        <v>114</v>
      </c>
      <c r="J40" s="784">
        <v>370.73</v>
      </c>
      <c r="K40" s="784"/>
      <c r="L40" s="784"/>
      <c r="M40" s="781"/>
      <c r="N40" s="785"/>
      <c r="O40" s="784"/>
      <c r="P40" s="778"/>
      <c r="Q40" s="786"/>
      <c r="R40" s="786"/>
      <c r="S40" s="786"/>
      <c r="T40" s="787"/>
      <c r="U40" s="709"/>
    </row>
    <row r="41" spans="1:21" s="709" customFormat="1" ht="27.95" hidden="1" customHeight="1" x14ac:dyDescent="0.25">
      <c r="A41" s="694"/>
      <c r="B41" s="788" t="s">
        <v>362</v>
      </c>
      <c r="C41" s="789" t="s">
        <v>423</v>
      </c>
      <c r="D41" s="789" t="s">
        <v>424</v>
      </c>
      <c r="E41" s="789"/>
      <c r="F41" s="789" t="s">
        <v>425</v>
      </c>
      <c r="G41" s="790" t="s">
        <v>365</v>
      </c>
      <c r="H41" s="789">
        <v>2.9</v>
      </c>
      <c r="I41" s="789">
        <v>114</v>
      </c>
      <c r="J41" s="791"/>
      <c r="K41" s="791">
        <v>340.11926605504584</v>
      </c>
      <c r="L41" s="791">
        <v>17.005963302752292</v>
      </c>
      <c r="M41" s="789">
        <v>50</v>
      </c>
      <c r="N41" s="792">
        <v>11.904174311926603</v>
      </c>
      <c r="O41" s="791">
        <v>0.18</v>
      </c>
      <c r="P41" s="714">
        <v>12.084174311926603</v>
      </c>
      <c r="Q41" s="793">
        <v>17.263106159895148</v>
      </c>
      <c r="R41" s="793">
        <v>18.591037402964005</v>
      </c>
      <c r="S41" s="793">
        <v>20.140290519877674</v>
      </c>
      <c r="T41" s="794">
        <v>21.971226021684732</v>
      </c>
      <c r="U41" s="698"/>
    </row>
    <row r="42" spans="1:21" ht="27.95" hidden="1" customHeight="1" x14ac:dyDescent="0.25">
      <c r="B42" s="795" t="s">
        <v>362</v>
      </c>
      <c r="C42" s="796" t="s">
        <v>426</v>
      </c>
      <c r="D42" s="796" t="s">
        <v>427</v>
      </c>
      <c r="E42" s="796"/>
      <c r="F42" s="796" t="s">
        <v>428</v>
      </c>
      <c r="G42" s="797" t="s">
        <v>365</v>
      </c>
      <c r="H42" s="796">
        <v>2.9</v>
      </c>
      <c r="I42" s="796">
        <v>114</v>
      </c>
      <c r="J42" s="798"/>
      <c r="K42" s="798">
        <v>340.11926605504584</v>
      </c>
      <c r="L42" s="798">
        <v>17.005963302752292</v>
      </c>
      <c r="M42" s="796">
        <v>50</v>
      </c>
      <c r="N42" s="799">
        <v>11.904174311926603</v>
      </c>
      <c r="O42" s="798">
        <v>0.18</v>
      </c>
      <c r="P42" s="722">
        <v>12.084174311926603</v>
      </c>
      <c r="Q42" s="800">
        <v>17.263106159895148</v>
      </c>
      <c r="R42" s="800">
        <v>18.591037402964005</v>
      </c>
      <c r="S42" s="800">
        <v>20.140290519877674</v>
      </c>
      <c r="T42" s="801">
        <v>21.971226021684732</v>
      </c>
    </row>
    <row r="43" spans="1:21" ht="27.95" hidden="1" customHeight="1" x14ac:dyDescent="0.25">
      <c r="B43" s="795" t="s">
        <v>362</v>
      </c>
      <c r="C43" s="796" t="s">
        <v>429</v>
      </c>
      <c r="D43" s="796" t="s">
        <v>430</v>
      </c>
      <c r="E43" s="796"/>
      <c r="F43" s="796" t="s">
        <v>431</v>
      </c>
      <c r="G43" s="797" t="s">
        <v>365</v>
      </c>
      <c r="H43" s="796">
        <v>2.9</v>
      </c>
      <c r="I43" s="796">
        <v>114</v>
      </c>
      <c r="J43" s="798"/>
      <c r="K43" s="798">
        <v>340.11926605504584</v>
      </c>
      <c r="L43" s="798">
        <v>17.005963302752292</v>
      </c>
      <c r="M43" s="796">
        <v>50</v>
      </c>
      <c r="N43" s="799">
        <v>11.904174311926603</v>
      </c>
      <c r="O43" s="798">
        <v>0.18</v>
      </c>
      <c r="P43" s="722">
        <v>12.084174311926603</v>
      </c>
      <c r="Q43" s="800">
        <v>17.263106159895148</v>
      </c>
      <c r="R43" s="800">
        <v>18.591037402964005</v>
      </c>
      <c r="S43" s="800">
        <v>20.140290519877674</v>
      </c>
      <c r="T43" s="801">
        <v>21.971226021684732</v>
      </c>
    </row>
    <row r="44" spans="1:21" ht="27.95" hidden="1" customHeight="1" x14ac:dyDescent="0.25">
      <c r="B44" s="795" t="s">
        <v>362</v>
      </c>
      <c r="C44" s="796" t="s">
        <v>432</v>
      </c>
      <c r="D44" s="796" t="s">
        <v>433</v>
      </c>
      <c r="E44" s="796"/>
      <c r="F44" s="796" t="s">
        <v>371</v>
      </c>
      <c r="G44" s="797" t="s">
        <v>365</v>
      </c>
      <c r="H44" s="796">
        <v>2.9</v>
      </c>
      <c r="I44" s="796">
        <v>114</v>
      </c>
      <c r="J44" s="798"/>
      <c r="K44" s="798">
        <v>340.11926605504584</v>
      </c>
      <c r="L44" s="798">
        <v>17.005963302752292</v>
      </c>
      <c r="M44" s="796">
        <v>50</v>
      </c>
      <c r="N44" s="799">
        <v>11.904174311926603</v>
      </c>
      <c r="O44" s="798">
        <v>0.18</v>
      </c>
      <c r="P44" s="722">
        <v>12.084174311926603</v>
      </c>
      <c r="Q44" s="800">
        <v>17.263106159895148</v>
      </c>
      <c r="R44" s="800">
        <v>18.591037402964005</v>
      </c>
      <c r="S44" s="800">
        <v>20.140290519877674</v>
      </c>
      <c r="T44" s="801">
        <v>21.971226021684732</v>
      </c>
    </row>
    <row r="45" spans="1:21" ht="27.95" hidden="1" customHeight="1" x14ac:dyDescent="0.25">
      <c r="B45" s="795" t="s">
        <v>362</v>
      </c>
      <c r="C45" s="796" t="s">
        <v>434</v>
      </c>
      <c r="D45" s="796" t="s">
        <v>435</v>
      </c>
      <c r="E45" s="796"/>
      <c r="F45" s="796" t="s">
        <v>436</v>
      </c>
      <c r="G45" s="797" t="s">
        <v>365</v>
      </c>
      <c r="H45" s="796">
        <v>2.9</v>
      </c>
      <c r="I45" s="796">
        <v>114</v>
      </c>
      <c r="J45" s="798"/>
      <c r="K45" s="798">
        <v>340.11926605504584</v>
      </c>
      <c r="L45" s="798">
        <v>17.005963302752292</v>
      </c>
      <c r="M45" s="796">
        <v>50</v>
      </c>
      <c r="N45" s="799">
        <v>11.904174311926603</v>
      </c>
      <c r="O45" s="798">
        <v>0.18</v>
      </c>
      <c r="P45" s="722">
        <v>12.084174311926603</v>
      </c>
      <c r="Q45" s="800">
        <v>17.263106159895148</v>
      </c>
      <c r="R45" s="800">
        <v>18.591037402964005</v>
      </c>
      <c r="S45" s="800">
        <v>20.140290519877674</v>
      </c>
      <c r="T45" s="801">
        <v>21.971226021684732</v>
      </c>
    </row>
    <row r="46" spans="1:21" ht="27.95" hidden="1" customHeight="1" x14ac:dyDescent="0.25">
      <c r="A46" s="695"/>
      <c r="B46" s="753" t="s">
        <v>362</v>
      </c>
      <c r="C46" s="754" t="s">
        <v>437</v>
      </c>
      <c r="D46" s="754" t="s">
        <v>438</v>
      </c>
      <c r="E46" s="755"/>
      <c r="F46" s="754"/>
      <c r="G46" s="771" t="s">
        <v>365</v>
      </c>
      <c r="H46" s="754">
        <v>3.2</v>
      </c>
      <c r="I46" s="754">
        <v>126</v>
      </c>
      <c r="J46" s="756">
        <v>208.87</v>
      </c>
      <c r="K46" s="756"/>
      <c r="L46" s="756"/>
      <c r="M46" s="754"/>
      <c r="N46" s="757"/>
      <c r="O46" s="756"/>
      <c r="P46" s="758"/>
      <c r="Q46" s="723"/>
      <c r="R46" s="723"/>
      <c r="S46" s="723"/>
      <c r="T46" s="724"/>
      <c r="U46" s="709"/>
    </row>
    <row r="47" spans="1:21" ht="27.95" hidden="1" customHeight="1" thickBot="1" x14ac:dyDescent="0.3">
      <c r="B47" s="763" t="s">
        <v>362</v>
      </c>
      <c r="C47" s="764" t="s">
        <v>441</v>
      </c>
      <c r="D47" s="764" t="s">
        <v>442</v>
      </c>
      <c r="E47" s="764"/>
      <c r="F47" s="764" t="s">
        <v>431</v>
      </c>
      <c r="G47" s="802" t="s">
        <v>365</v>
      </c>
      <c r="H47" s="764">
        <v>3.2</v>
      </c>
      <c r="I47" s="764">
        <v>126</v>
      </c>
      <c r="J47" s="765"/>
      <c r="K47" s="765">
        <v>191.62385321100916</v>
      </c>
      <c r="L47" s="765">
        <v>9.5811926605504585</v>
      </c>
      <c r="M47" s="764">
        <v>50</v>
      </c>
      <c r="N47" s="766">
        <v>6.7068348623853202</v>
      </c>
      <c r="O47" s="765">
        <v>0.18</v>
      </c>
      <c r="P47" s="729">
        <v>6.8868348623853199</v>
      </c>
      <c r="Q47" s="730">
        <v>9.8383355176933147</v>
      </c>
      <c r="R47" s="730">
        <v>10.595130557515876</v>
      </c>
      <c r="S47" s="730">
        <v>11.478058103975533</v>
      </c>
      <c r="T47" s="731">
        <v>12.521517931609672</v>
      </c>
    </row>
    <row r="48" spans="1:21" s="709" customFormat="1" ht="53.25" hidden="1" customHeight="1" x14ac:dyDescent="0.25">
      <c r="A48" s="694"/>
      <c r="B48" s="767" t="s">
        <v>362</v>
      </c>
      <c r="C48" s="768" t="s">
        <v>443</v>
      </c>
      <c r="D48" s="768" t="s">
        <v>444</v>
      </c>
      <c r="E48" s="768"/>
      <c r="F48" s="768" t="s">
        <v>445</v>
      </c>
      <c r="G48" s="779" t="s">
        <v>365</v>
      </c>
      <c r="H48" s="768">
        <v>3.2</v>
      </c>
      <c r="I48" s="768">
        <v>126</v>
      </c>
      <c r="J48" s="769"/>
      <c r="K48" s="769">
        <v>191.62385321100916</v>
      </c>
      <c r="L48" s="769">
        <v>9.5811926605504585</v>
      </c>
      <c r="M48" s="768">
        <v>50</v>
      </c>
      <c r="N48" s="770">
        <v>6.7068348623853202</v>
      </c>
      <c r="O48" s="769">
        <v>0.18</v>
      </c>
      <c r="P48" s="714">
        <v>6.8868348623853199</v>
      </c>
      <c r="Q48" s="732">
        <v>9.8383355176933147</v>
      </c>
      <c r="R48" s="732">
        <v>10.595130557515876</v>
      </c>
      <c r="S48" s="732">
        <v>11.478058103975533</v>
      </c>
      <c r="T48" s="733">
        <v>12.521517931609672</v>
      </c>
      <c r="U48" s="698"/>
    </row>
    <row r="49" spans="1:21" ht="27.95" hidden="1" customHeight="1" x14ac:dyDescent="0.25">
      <c r="B49" s="760" t="s">
        <v>362</v>
      </c>
      <c r="C49" s="755" t="s">
        <v>446</v>
      </c>
      <c r="D49" s="755" t="s">
        <v>447</v>
      </c>
      <c r="E49" s="755"/>
      <c r="F49" s="755" t="s">
        <v>448</v>
      </c>
      <c r="G49" s="772" t="s">
        <v>365</v>
      </c>
      <c r="H49" s="755">
        <v>3.2</v>
      </c>
      <c r="I49" s="755">
        <v>126</v>
      </c>
      <c r="J49" s="761"/>
      <c r="K49" s="761">
        <v>191.62385321100916</v>
      </c>
      <c r="L49" s="761">
        <v>9.5811926605504585</v>
      </c>
      <c r="M49" s="755">
        <v>50</v>
      </c>
      <c r="N49" s="762">
        <v>6.7068348623853202</v>
      </c>
      <c r="O49" s="761">
        <v>0.18</v>
      </c>
      <c r="P49" s="722">
        <v>6.8868348623853199</v>
      </c>
      <c r="Q49" s="723">
        <v>9.8383355176933147</v>
      </c>
      <c r="R49" s="723">
        <v>10.595130557515876</v>
      </c>
      <c r="S49" s="723">
        <v>11.478058103975533</v>
      </c>
      <c r="T49" s="724">
        <v>12.521517931609672</v>
      </c>
    </row>
    <row r="50" spans="1:21" ht="27.95" hidden="1" customHeight="1" x14ac:dyDescent="0.25">
      <c r="B50" s="760" t="s">
        <v>362</v>
      </c>
      <c r="C50" s="755" t="s">
        <v>449</v>
      </c>
      <c r="D50" s="755" t="s">
        <v>450</v>
      </c>
      <c r="E50" s="755"/>
      <c r="F50" s="755" t="s">
        <v>371</v>
      </c>
      <c r="G50" s="772" t="s">
        <v>365</v>
      </c>
      <c r="H50" s="755">
        <v>3.2</v>
      </c>
      <c r="I50" s="755">
        <v>126</v>
      </c>
      <c r="J50" s="761"/>
      <c r="K50" s="761">
        <v>191.62385321100916</v>
      </c>
      <c r="L50" s="761">
        <v>9.5811926605504585</v>
      </c>
      <c r="M50" s="755">
        <v>50</v>
      </c>
      <c r="N50" s="762">
        <v>6.7068348623853202</v>
      </c>
      <c r="O50" s="761">
        <v>0.18</v>
      </c>
      <c r="P50" s="722">
        <v>6.8868348623853199</v>
      </c>
      <c r="Q50" s="723">
        <v>9.8383355176933147</v>
      </c>
      <c r="R50" s="723">
        <v>10.595130557515876</v>
      </c>
      <c r="S50" s="723">
        <v>11.478058103975533</v>
      </c>
      <c r="T50" s="724">
        <v>12.521517931609672</v>
      </c>
    </row>
    <row r="51" spans="1:21" ht="27.95" hidden="1" customHeight="1" x14ac:dyDescent="0.25">
      <c r="B51" s="760" t="s">
        <v>362</v>
      </c>
      <c r="C51" s="755" t="s">
        <v>451</v>
      </c>
      <c r="D51" s="755" t="s">
        <v>452</v>
      </c>
      <c r="E51" s="755"/>
      <c r="F51" s="755" t="s">
        <v>453</v>
      </c>
      <c r="G51" s="772" t="s">
        <v>365</v>
      </c>
      <c r="H51" s="755">
        <v>3.2</v>
      </c>
      <c r="I51" s="755">
        <v>126</v>
      </c>
      <c r="J51" s="761"/>
      <c r="K51" s="761">
        <v>191.62385321100916</v>
      </c>
      <c r="L51" s="761">
        <v>9.5811926605504585</v>
      </c>
      <c r="M51" s="755">
        <v>50</v>
      </c>
      <c r="N51" s="762">
        <v>6.7068348623853202</v>
      </c>
      <c r="O51" s="761">
        <v>0.18</v>
      </c>
      <c r="P51" s="722">
        <v>6.8868348623853199</v>
      </c>
      <c r="Q51" s="723">
        <v>9.8383355176933147</v>
      </c>
      <c r="R51" s="723">
        <v>10.595130557515876</v>
      </c>
      <c r="S51" s="723">
        <v>11.478058103975533</v>
      </c>
      <c r="T51" s="724">
        <v>12.521517931609672</v>
      </c>
    </row>
    <row r="52" spans="1:21" ht="27.95" hidden="1" customHeight="1" thickBot="1" x14ac:dyDescent="0.3">
      <c r="B52" s="763" t="s">
        <v>362</v>
      </c>
      <c r="C52" s="764" t="s">
        <v>454</v>
      </c>
      <c r="D52" s="764" t="s">
        <v>455</v>
      </c>
      <c r="E52" s="764"/>
      <c r="F52" s="764" t="s">
        <v>436</v>
      </c>
      <c r="G52" s="802" t="s">
        <v>365</v>
      </c>
      <c r="H52" s="764">
        <v>3.2</v>
      </c>
      <c r="I52" s="764">
        <v>126</v>
      </c>
      <c r="J52" s="765"/>
      <c r="K52" s="765">
        <v>191.62385321100916</v>
      </c>
      <c r="L52" s="765">
        <v>9.5811926605504585</v>
      </c>
      <c r="M52" s="764">
        <v>50</v>
      </c>
      <c r="N52" s="766">
        <v>6.7068348623853202</v>
      </c>
      <c r="O52" s="765">
        <v>0.18</v>
      </c>
      <c r="P52" s="729">
        <v>6.8868348623853199</v>
      </c>
      <c r="Q52" s="730">
        <v>9.8383355176933147</v>
      </c>
      <c r="R52" s="730">
        <v>10.595130557515876</v>
      </c>
      <c r="S52" s="730">
        <v>11.478058103975533</v>
      </c>
      <c r="T52" s="731">
        <v>12.521517931609672</v>
      </c>
    </row>
    <row r="53" spans="1:21" s="709" customFormat="1" ht="27.95" hidden="1" customHeight="1" x14ac:dyDescent="0.25">
      <c r="A53" s="695"/>
      <c r="B53" s="803" t="s">
        <v>362</v>
      </c>
      <c r="C53" s="804" t="s">
        <v>456</v>
      </c>
      <c r="D53" s="804" t="s">
        <v>457</v>
      </c>
      <c r="E53" s="768"/>
      <c r="F53" s="804"/>
      <c r="G53" s="805" t="s">
        <v>365</v>
      </c>
      <c r="H53" s="804">
        <v>3.05</v>
      </c>
      <c r="I53" s="804">
        <v>120</v>
      </c>
      <c r="J53" s="806">
        <v>183.29</v>
      </c>
      <c r="K53" s="806"/>
      <c r="L53" s="806"/>
      <c r="M53" s="804"/>
      <c r="N53" s="807"/>
      <c r="O53" s="806"/>
      <c r="P53" s="808"/>
      <c r="Q53" s="732"/>
      <c r="R53" s="732"/>
      <c r="S53" s="732"/>
      <c r="T53" s="733"/>
    </row>
    <row r="54" spans="1:21" ht="27.95" hidden="1" customHeight="1" x14ac:dyDescent="0.25">
      <c r="B54" s="760" t="s">
        <v>362</v>
      </c>
      <c r="C54" s="755" t="s">
        <v>461</v>
      </c>
      <c r="D54" s="755" t="s">
        <v>462</v>
      </c>
      <c r="E54" s="755"/>
      <c r="F54" s="755" t="s">
        <v>463</v>
      </c>
      <c r="G54" s="772" t="s">
        <v>365</v>
      </c>
      <c r="H54" s="755">
        <v>3.05</v>
      </c>
      <c r="I54" s="755">
        <v>120</v>
      </c>
      <c r="J54" s="761"/>
      <c r="K54" s="761">
        <v>168.15596330275227</v>
      </c>
      <c r="L54" s="761">
        <v>8.4077981651376135</v>
      </c>
      <c r="M54" s="755">
        <v>50</v>
      </c>
      <c r="N54" s="762">
        <v>5.8854587155963296</v>
      </c>
      <c r="O54" s="761">
        <v>0.18</v>
      </c>
      <c r="P54" s="722">
        <v>6.0654587155963293</v>
      </c>
      <c r="Q54" s="723">
        <v>8.6649410222804715</v>
      </c>
      <c r="R54" s="723">
        <v>9.3314749470712748</v>
      </c>
      <c r="S54" s="723">
        <v>10.109097859327216</v>
      </c>
      <c r="T54" s="724">
        <v>11.028106755629688</v>
      </c>
    </row>
    <row r="55" spans="1:21" ht="27.95" hidden="1" customHeight="1" x14ac:dyDescent="0.25">
      <c r="B55" s="760" t="s">
        <v>362</v>
      </c>
      <c r="C55" s="755" t="s">
        <v>464</v>
      </c>
      <c r="D55" s="755" t="s">
        <v>465</v>
      </c>
      <c r="E55" s="755"/>
      <c r="F55" s="755" t="s">
        <v>374</v>
      </c>
      <c r="G55" s="772" t="s">
        <v>365</v>
      </c>
      <c r="H55" s="755">
        <v>3.05</v>
      </c>
      <c r="I55" s="755">
        <v>120</v>
      </c>
      <c r="J55" s="761"/>
      <c r="K55" s="761">
        <v>168.15596330275227</v>
      </c>
      <c r="L55" s="761">
        <v>8.4077981651376135</v>
      </c>
      <c r="M55" s="755">
        <v>50</v>
      </c>
      <c r="N55" s="762">
        <v>5.8854587155963296</v>
      </c>
      <c r="O55" s="761">
        <v>0.18</v>
      </c>
      <c r="P55" s="722">
        <v>6.0654587155963293</v>
      </c>
      <c r="Q55" s="723">
        <v>8.6649410222804715</v>
      </c>
      <c r="R55" s="723">
        <v>9.3314749470712748</v>
      </c>
      <c r="S55" s="723">
        <v>10.109097859327216</v>
      </c>
      <c r="T55" s="724">
        <v>11.028106755629688</v>
      </c>
    </row>
    <row r="56" spans="1:21" ht="27.95" hidden="1" customHeight="1" x14ac:dyDescent="0.25">
      <c r="B56" s="760" t="s">
        <v>362</v>
      </c>
      <c r="C56" s="755" t="s">
        <v>466</v>
      </c>
      <c r="D56" s="755" t="s">
        <v>467</v>
      </c>
      <c r="E56" s="755"/>
      <c r="F56" s="755" t="s">
        <v>377</v>
      </c>
      <c r="G56" s="772" t="s">
        <v>365</v>
      </c>
      <c r="H56" s="755">
        <v>3.05</v>
      </c>
      <c r="I56" s="755">
        <v>120</v>
      </c>
      <c r="J56" s="761"/>
      <c r="K56" s="761">
        <v>168.15596330275227</v>
      </c>
      <c r="L56" s="761">
        <v>8.4077981651376135</v>
      </c>
      <c r="M56" s="755">
        <v>50</v>
      </c>
      <c r="N56" s="762">
        <v>5.8854587155963296</v>
      </c>
      <c r="O56" s="761">
        <v>0.18</v>
      </c>
      <c r="P56" s="722">
        <v>6.0654587155963293</v>
      </c>
      <c r="Q56" s="723">
        <v>8.6649410222804715</v>
      </c>
      <c r="R56" s="723">
        <v>9.3314749470712748</v>
      </c>
      <c r="S56" s="723">
        <v>10.109097859327216</v>
      </c>
      <c r="T56" s="724">
        <v>11.028106755629688</v>
      </c>
    </row>
    <row r="57" spans="1:21" ht="27.95" hidden="1" customHeight="1" x14ac:dyDescent="0.25">
      <c r="B57" s="760" t="s">
        <v>362</v>
      </c>
      <c r="C57" s="755" t="s">
        <v>468</v>
      </c>
      <c r="D57" s="755" t="s">
        <v>469</v>
      </c>
      <c r="E57" s="755"/>
      <c r="F57" s="755" t="s">
        <v>380</v>
      </c>
      <c r="G57" s="772" t="s">
        <v>365</v>
      </c>
      <c r="H57" s="755">
        <v>3.05</v>
      </c>
      <c r="I57" s="755">
        <v>120</v>
      </c>
      <c r="J57" s="761"/>
      <c r="K57" s="761">
        <v>168.15596330275227</v>
      </c>
      <c r="L57" s="761">
        <v>8.4077981651376135</v>
      </c>
      <c r="M57" s="755">
        <v>50</v>
      </c>
      <c r="N57" s="762">
        <v>5.8854587155963296</v>
      </c>
      <c r="O57" s="761">
        <v>0.18</v>
      </c>
      <c r="P57" s="722">
        <v>6.0654587155963293</v>
      </c>
      <c r="Q57" s="723">
        <v>8.6649410222804715</v>
      </c>
      <c r="R57" s="723">
        <v>9.3314749470712748</v>
      </c>
      <c r="S57" s="723">
        <v>10.109097859327216</v>
      </c>
      <c r="T57" s="724">
        <v>11.028106755629688</v>
      </c>
    </row>
    <row r="58" spans="1:21" ht="27.95" hidden="1" customHeight="1" thickBot="1" x14ac:dyDescent="0.3">
      <c r="B58" s="763" t="s">
        <v>362</v>
      </c>
      <c r="C58" s="764" t="s">
        <v>470</v>
      </c>
      <c r="D58" s="764" t="s">
        <v>471</v>
      </c>
      <c r="E58" s="764"/>
      <c r="F58" s="764" t="s">
        <v>472</v>
      </c>
      <c r="G58" s="802" t="s">
        <v>365</v>
      </c>
      <c r="H58" s="764">
        <v>3.05</v>
      </c>
      <c r="I58" s="764">
        <v>120</v>
      </c>
      <c r="J58" s="765"/>
      <c r="K58" s="765">
        <v>168.15596330275227</v>
      </c>
      <c r="L58" s="765">
        <v>8.4077981651376135</v>
      </c>
      <c r="M58" s="764">
        <v>50</v>
      </c>
      <c r="N58" s="766">
        <v>5.8854587155963296</v>
      </c>
      <c r="O58" s="765">
        <v>0.18</v>
      </c>
      <c r="P58" s="729">
        <v>6.0654587155963293</v>
      </c>
      <c r="Q58" s="730">
        <v>8.6649410222804715</v>
      </c>
      <c r="R58" s="730">
        <v>9.3314749470712748</v>
      </c>
      <c r="S58" s="730">
        <v>10.109097859327216</v>
      </c>
      <c r="T58" s="731">
        <v>11.028106755629688</v>
      </c>
    </row>
    <row r="59" spans="1:21" s="709" customFormat="1" ht="27.95" hidden="1" customHeight="1" x14ac:dyDescent="0.25">
      <c r="A59" s="695"/>
      <c r="B59" s="809" t="s">
        <v>362</v>
      </c>
      <c r="C59" s="810" t="s">
        <v>473</v>
      </c>
      <c r="D59" s="810" t="s">
        <v>474</v>
      </c>
      <c r="E59" s="789"/>
      <c r="F59" s="811" t="s">
        <v>422</v>
      </c>
      <c r="G59" s="811" t="s">
        <v>365</v>
      </c>
      <c r="H59" s="810">
        <v>3.05</v>
      </c>
      <c r="I59" s="810">
        <v>120</v>
      </c>
      <c r="J59" s="812">
        <v>222.77</v>
      </c>
      <c r="K59" s="812"/>
      <c r="L59" s="812"/>
      <c r="M59" s="810"/>
      <c r="N59" s="813"/>
      <c r="O59" s="812"/>
      <c r="P59" s="808"/>
      <c r="Q59" s="793"/>
      <c r="R59" s="793"/>
      <c r="S59" s="793"/>
      <c r="T59" s="794"/>
    </row>
    <row r="60" spans="1:21" ht="27.95" hidden="1" customHeight="1" x14ac:dyDescent="0.25">
      <c r="B60" s="795" t="s">
        <v>362</v>
      </c>
      <c r="C60" s="796" t="s">
        <v>475</v>
      </c>
      <c r="D60" s="796" t="s">
        <v>476</v>
      </c>
      <c r="E60" s="796"/>
      <c r="F60" s="796" t="s">
        <v>477</v>
      </c>
      <c r="G60" s="797" t="s">
        <v>365</v>
      </c>
      <c r="H60" s="796">
        <v>3.05</v>
      </c>
      <c r="I60" s="796">
        <v>120</v>
      </c>
      <c r="J60" s="798"/>
      <c r="K60" s="798">
        <v>204.37614678899081</v>
      </c>
      <c r="L60" s="798">
        <v>10.21880733944954</v>
      </c>
      <c r="M60" s="796">
        <v>50</v>
      </c>
      <c r="N60" s="799">
        <v>7.1531651376146783</v>
      </c>
      <c r="O60" s="798">
        <v>0.18</v>
      </c>
      <c r="P60" s="722">
        <v>7.333165137614678</v>
      </c>
      <c r="Q60" s="800">
        <v>10.475950196592398</v>
      </c>
      <c r="R60" s="800">
        <v>11.281792519407196</v>
      </c>
      <c r="S60" s="800">
        <v>12.221941896024465</v>
      </c>
      <c r="T60" s="801">
        <v>13.333027522935778</v>
      </c>
    </row>
    <row r="61" spans="1:21" ht="27.95" hidden="1" customHeight="1" x14ac:dyDescent="0.25">
      <c r="B61" s="795" t="s">
        <v>362</v>
      </c>
      <c r="C61" s="796" t="s">
        <v>478</v>
      </c>
      <c r="D61" s="796" t="s">
        <v>479</v>
      </c>
      <c r="E61" s="796"/>
      <c r="F61" s="796" t="s">
        <v>480</v>
      </c>
      <c r="G61" s="797" t="s">
        <v>365</v>
      </c>
      <c r="H61" s="796">
        <v>3.05</v>
      </c>
      <c r="I61" s="796">
        <v>120</v>
      </c>
      <c r="J61" s="798"/>
      <c r="K61" s="798">
        <v>204.37614678899081</v>
      </c>
      <c r="L61" s="798">
        <v>10.21880733944954</v>
      </c>
      <c r="M61" s="796">
        <v>50</v>
      </c>
      <c r="N61" s="799">
        <v>7.1531651376146783</v>
      </c>
      <c r="O61" s="798">
        <v>0.18</v>
      </c>
      <c r="P61" s="722">
        <v>7.333165137614678</v>
      </c>
      <c r="Q61" s="800">
        <v>10.475950196592398</v>
      </c>
      <c r="R61" s="800">
        <v>11.281792519407196</v>
      </c>
      <c r="S61" s="800">
        <v>12.221941896024465</v>
      </c>
      <c r="T61" s="801">
        <v>13.333027522935778</v>
      </c>
    </row>
    <row r="62" spans="1:21" ht="27.95" hidden="1" customHeight="1" x14ac:dyDescent="0.25">
      <c r="B62" s="795" t="s">
        <v>362</v>
      </c>
      <c r="C62" s="796" t="s">
        <v>481</v>
      </c>
      <c r="D62" s="796" t="s">
        <v>482</v>
      </c>
      <c r="E62" s="796"/>
      <c r="F62" s="796" t="s">
        <v>483</v>
      </c>
      <c r="G62" s="797" t="s">
        <v>365</v>
      </c>
      <c r="H62" s="796">
        <v>3.05</v>
      </c>
      <c r="I62" s="796">
        <v>120</v>
      </c>
      <c r="J62" s="798"/>
      <c r="K62" s="798">
        <v>204.37614678899081</v>
      </c>
      <c r="L62" s="798">
        <v>10.21880733944954</v>
      </c>
      <c r="M62" s="796">
        <v>50</v>
      </c>
      <c r="N62" s="799">
        <v>7.1531651376146783</v>
      </c>
      <c r="O62" s="798">
        <v>0.18</v>
      </c>
      <c r="P62" s="722">
        <v>7.333165137614678</v>
      </c>
      <c r="Q62" s="800">
        <v>10.475950196592398</v>
      </c>
      <c r="R62" s="800">
        <v>11.281792519407196</v>
      </c>
      <c r="S62" s="800">
        <v>12.221941896024465</v>
      </c>
      <c r="T62" s="801">
        <v>13.333027522935778</v>
      </c>
    </row>
    <row r="63" spans="1:21" ht="27.95" hidden="1" customHeight="1" x14ac:dyDescent="0.25">
      <c r="B63" s="795" t="s">
        <v>362</v>
      </c>
      <c r="C63" s="796" t="s">
        <v>484</v>
      </c>
      <c r="D63" s="796" t="s">
        <v>485</v>
      </c>
      <c r="E63" s="796"/>
      <c r="F63" s="796" t="s">
        <v>486</v>
      </c>
      <c r="G63" s="797" t="s">
        <v>365</v>
      </c>
      <c r="H63" s="796">
        <v>3.05</v>
      </c>
      <c r="I63" s="796">
        <v>120</v>
      </c>
      <c r="J63" s="798"/>
      <c r="K63" s="798">
        <v>204.37614678899081</v>
      </c>
      <c r="L63" s="798">
        <v>10.21880733944954</v>
      </c>
      <c r="M63" s="796">
        <v>50</v>
      </c>
      <c r="N63" s="799">
        <v>7.1531651376146783</v>
      </c>
      <c r="O63" s="798">
        <v>0.18</v>
      </c>
      <c r="P63" s="722">
        <v>7.333165137614678</v>
      </c>
      <c r="Q63" s="800">
        <v>10.475950196592398</v>
      </c>
      <c r="R63" s="800">
        <v>11.281792519407196</v>
      </c>
      <c r="S63" s="800">
        <v>12.221941896024465</v>
      </c>
      <c r="T63" s="801">
        <v>13.333027522935778</v>
      </c>
    </row>
    <row r="64" spans="1:21" ht="27.95" hidden="1" customHeight="1" thickBot="1" x14ac:dyDescent="0.3">
      <c r="A64" s="695"/>
      <c r="B64" s="773" t="s">
        <v>487</v>
      </c>
      <c r="C64" s="774" t="s">
        <v>488</v>
      </c>
      <c r="D64" s="774" t="s">
        <v>489</v>
      </c>
      <c r="E64" s="764"/>
      <c r="F64" s="774"/>
      <c r="G64" s="775" t="s">
        <v>490</v>
      </c>
      <c r="H64" s="774">
        <v>3</v>
      </c>
      <c r="I64" s="774">
        <v>118</v>
      </c>
      <c r="J64" s="776">
        <v>263.01</v>
      </c>
      <c r="K64" s="776"/>
      <c r="L64" s="776"/>
      <c r="M64" s="774"/>
      <c r="N64" s="777"/>
      <c r="O64" s="776"/>
      <c r="P64" s="778"/>
      <c r="Q64" s="730"/>
      <c r="R64" s="730"/>
      <c r="S64" s="730"/>
      <c r="T64" s="731"/>
      <c r="U64" s="709"/>
    </row>
    <row r="65" spans="1:21" s="709" customFormat="1" ht="27.95" hidden="1" customHeight="1" x14ac:dyDescent="0.25">
      <c r="A65" s="694"/>
      <c r="B65" s="767" t="s">
        <v>487</v>
      </c>
      <c r="C65" s="768" t="s">
        <v>493</v>
      </c>
      <c r="D65" s="768" t="s">
        <v>494</v>
      </c>
      <c r="E65" s="768"/>
      <c r="F65" s="768" t="s">
        <v>413</v>
      </c>
      <c r="G65" s="779" t="s">
        <v>490</v>
      </c>
      <c r="H65" s="768">
        <v>3</v>
      </c>
      <c r="I65" s="768">
        <v>118</v>
      </c>
      <c r="J65" s="769"/>
      <c r="K65" s="769">
        <v>241.29357798165134</v>
      </c>
      <c r="L65" s="769">
        <v>12.064678899082567</v>
      </c>
      <c r="M65" s="768">
        <v>30</v>
      </c>
      <c r="N65" s="770">
        <v>8.4452752293577973</v>
      </c>
      <c r="O65" s="769">
        <v>0.3</v>
      </c>
      <c r="P65" s="714">
        <v>8.745275229357798</v>
      </c>
      <c r="Q65" s="732">
        <v>12.493250327653998</v>
      </c>
      <c r="R65" s="732">
        <v>13.454269583627381</v>
      </c>
      <c r="S65" s="732">
        <v>14.57545871559633</v>
      </c>
      <c r="T65" s="733">
        <v>15.900500417014177</v>
      </c>
      <c r="U65" s="698"/>
    </row>
    <row r="66" spans="1:21" ht="27.95" hidden="1" customHeight="1" x14ac:dyDescent="0.25">
      <c r="B66" s="760" t="s">
        <v>487</v>
      </c>
      <c r="C66" s="755" t="s">
        <v>495</v>
      </c>
      <c r="D66" s="755" t="s">
        <v>496</v>
      </c>
      <c r="E66" s="755"/>
      <c r="F66" s="755" t="s">
        <v>371</v>
      </c>
      <c r="G66" s="772" t="s">
        <v>490</v>
      </c>
      <c r="H66" s="755">
        <v>3</v>
      </c>
      <c r="I66" s="755">
        <v>118</v>
      </c>
      <c r="J66" s="761"/>
      <c r="K66" s="761">
        <v>241.29357798165134</v>
      </c>
      <c r="L66" s="761">
        <v>12.064678899082567</v>
      </c>
      <c r="M66" s="755">
        <v>30</v>
      </c>
      <c r="N66" s="762">
        <v>8.4452752293577973</v>
      </c>
      <c r="O66" s="761">
        <v>0.3</v>
      </c>
      <c r="P66" s="722">
        <v>8.745275229357798</v>
      </c>
      <c r="Q66" s="723">
        <v>12.493250327653998</v>
      </c>
      <c r="R66" s="723">
        <v>13.454269583627381</v>
      </c>
      <c r="S66" s="723">
        <v>14.57545871559633</v>
      </c>
      <c r="T66" s="724">
        <v>15.900500417014177</v>
      </c>
    </row>
    <row r="67" spans="1:21" ht="27.95" hidden="1" customHeight="1" x14ac:dyDescent="0.25">
      <c r="B67" s="760" t="s">
        <v>487</v>
      </c>
      <c r="C67" s="755" t="s">
        <v>497</v>
      </c>
      <c r="D67" s="755" t="s">
        <v>498</v>
      </c>
      <c r="E67" s="755"/>
      <c r="F67" s="755" t="s">
        <v>453</v>
      </c>
      <c r="G67" s="772" t="s">
        <v>490</v>
      </c>
      <c r="H67" s="755">
        <v>3</v>
      </c>
      <c r="I67" s="755">
        <v>118</v>
      </c>
      <c r="J67" s="761"/>
      <c r="K67" s="761">
        <v>241.29357798165134</v>
      </c>
      <c r="L67" s="761">
        <v>12.064678899082567</v>
      </c>
      <c r="M67" s="755">
        <v>30</v>
      </c>
      <c r="N67" s="762">
        <v>8.4452752293577973</v>
      </c>
      <c r="O67" s="761">
        <v>0.3</v>
      </c>
      <c r="P67" s="722">
        <v>8.745275229357798</v>
      </c>
      <c r="Q67" s="723">
        <v>12.493250327653998</v>
      </c>
      <c r="R67" s="723">
        <v>13.454269583627381</v>
      </c>
      <c r="S67" s="723">
        <v>14.57545871559633</v>
      </c>
      <c r="T67" s="724">
        <v>15.900500417014177</v>
      </c>
    </row>
    <row r="68" spans="1:21" ht="27.95" hidden="1" customHeight="1" x14ac:dyDescent="0.25">
      <c r="B68" s="760" t="s">
        <v>487</v>
      </c>
      <c r="C68" s="755" t="s">
        <v>499</v>
      </c>
      <c r="D68" s="755" t="s">
        <v>500</v>
      </c>
      <c r="E68" s="755"/>
      <c r="F68" s="755" t="s">
        <v>501</v>
      </c>
      <c r="G68" s="772" t="s">
        <v>490</v>
      </c>
      <c r="H68" s="755">
        <v>3</v>
      </c>
      <c r="I68" s="755">
        <v>118</v>
      </c>
      <c r="J68" s="761"/>
      <c r="K68" s="761">
        <v>241.29357798165134</v>
      </c>
      <c r="L68" s="761">
        <v>12.064678899082567</v>
      </c>
      <c r="M68" s="755">
        <v>30</v>
      </c>
      <c r="N68" s="762">
        <v>8.4452752293577973</v>
      </c>
      <c r="O68" s="761">
        <v>0.3</v>
      </c>
      <c r="P68" s="722">
        <v>8.745275229357798</v>
      </c>
      <c r="Q68" s="723">
        <v>12.493250327653998</v>
      </c>
      <c r="R68" s="723">
        <v>13.454269583627381</v>
      </c>
      <c r="S68" s="723">
        <v>14.57545871559633</v>
      </c>
      <c r="T68" s="724">
        <v>15.900500417014177</v>
      </c>
    </row>
    <row r="69" spans="1:21" ht="27.95" hidden="1" customHeight="1" thickBot="1" x14ac:dyDescent="0.3">
      <c r="A69" s="695"/>
      <c r="B69" s="773" t="s">
        <v>487</v>
      </c>
      <c r="C69" s="774" t="s">
        <v>488</v>
      </c>
      <c r="D69" s="774" t="s">
        <v>502</v>
      </c>
      <c r="E69" s="764"/>
      <c r="F69" s="774"/>
      <c r="G69" s="775" t="s">
        <v>490</v>
      </c>
      <c r="H69" s="774">
        <v>2.8</v>
      </c>
      <c r="I69" s="774">
        <v>110</v>
      </c>
      <c r="J69" s="776">
        <v>263.01</v>
      </c>
      <c r="K69" s="776"/>
      <c r="L69" s="776"/>
      <c r="M69" s="774"/>
      <c r="N69" s="777"/>
      <c r="O69" s="776"/>
      <c r="P69" s="778"/>
      <c r="Q69" s="730"/>
      <c r="R69" s="730"/>
      <c r="S69" s="730"/>
      <c r="T69" s="731"/>
      <c r="U69" s="709"/>
    </row>
    <row r="70" spans="1:21" s="709" customFormat="1" ht="27.95" hidden="1" customHeight="1" x14ac:dyDescent="0.25">
      <c r="A70" s="694"/>
      <c r="B70" s="767" t="s">
        <v>487</v>
      </c>
      <c r="C70" s="768" t="s">
        <v>491</v>
      </c>
      <c r="D70" s="768" t="s">
        <v>503</v>
      </c>
      <c r="E70" s="768"/>
      <c r="F70" s="768" t="s">
        <v>448</v>
      </c>
      <c r="G70" s="779" t="s">
        <v>490</v>
      </c>
      <c r="H70" s="768">
        <v>2.8</v>
      </c>
      <c r="I70" s="768">
        <v>110</v>
      </c>
      <c r="J70" s="769"/>
      <c r="K70" s="769">
        <v>241.29357798165134</v>
      </c>
      <c r="L70" s="769">
        <v>12.064678899082567</v>
      </c>
      <c r="M70" s="768">
        <v>30</v>
      </c>
      <c r="N70" s="770">
        <v>8.4452752293577973</v>
      </c>
      <c r="O70" s="769">
        <v>0.3</v>
      </c>
      <c r="P70" s="714">
        <v>8.745275229357798</v>
      </c>
      <c r="Q70" s="732">
        <v>12.493250327653998</v>
      </c>
      <c r="R70" s="732">
        <v>13.454269583627381</v>
      </c>
      <c r="S70" s="732">
        <v>14.57545871559633</v>
      </c>
      <c r="T70" s="733">
        <v>15.900500417014177</v>
      </c>
      <c r="U70" s="698"/>
    </row>
    <row r="71" spans="1:21" ht="27.95" hidden="1" customHeight="1" x14ac:dyDescent="0.25">
      <c r="B71" s="760" t="s">
        <v>487</v>
      </c>
      <c r="C71" s="755" t="s">
        <v>493</v>
      </c>
      <c r="D71" s="755" t="s">
        <v>504</v>
      </c>
      <c r="E71" s="755"/>
      <c r="F71" s="755" t="s">
        <v>413</v>
      </c>
      <c r="G71" s="772" t="s">
        <v>490</v>
      </c>
      <c r="H71" s="755">
        <v>2.8</v>
      </c>
      <c r="I71" s="755">
        <v>110</v>
      </c>
      <c r="J71" s="761"/>
      <c r="K71" s="761">
        <v>241.29357798165134</v>
      </c>
      <c r="L71" s="761">
        <v>12.064678899082567</v>
      </c>
      <c r="M71" s="755">
        <v>30</v>
      </c>
      <c r="N71" s="762">
        <v>8.4452752293577973</v>
      </c>
      <c r="O71" s="761">
        <v>0.3</v>
      </c>
      <c r="P71" s="722">
        <v>8.745275229357798</v>
      </c>
      <c r="Q71" s="723">
        <v>12.493250327653998</v>
      </c>
      <c r="R71" s="723">
        <v>13.454269583627381</v>
      </c>
      <c r="S71" s="723">
        <v>14.57545871559633</v>
      </c>
      <c r="T71" s="724">
        <v>15.900500417014177</v>
      </c>
    </row>
    <row r="72" spans="1:21" ht="27.95" hidden="1" customHeight="1" x14ac:dyDescent="0.25">
      <c r="B72" s="760" t="s">
        <v>487</v>
      </c>
      <c r="C72" s="755" t="s">
        <v>495</v>
      </c>
      <c r="D72" s="755" t="s">
        <v>505</v>
      </c>
      <c r="E72" s="755"/>
      <c r="F72" s="755" t="s">
        <v>371</v>
      </c>
      <c r="G72" s="772" t="s">
        <v>490</v>
      </c>
      <c r="H72" s="755">
        <v>2.8</v>
      </c>
      <c r="I72" s="755">
        <v>110</v>
      </c>
      <c r="J72" s="761"/>
      <c r="K72" s="761">
        <v>241.29357798165134</v>
      </c>
      <c r="L72" s="761">
        <v>12.064678899082567</v>
      </c>
      <c r="M72" s="755">
        <v>30</v>
      </c>
      <c r="N72" s="762">
        <v>8.4452752293577973</v>
      </c>
      <c r="O72" s="761">
        <v>0.3</v>
      </c>
      <c r="P72" s="722">
        <v>8.745275229357798</v>
      </c>
      <c r="Q72" s="723">
        <v>12.493250327653998</v>
      </c>
      <c r="R72" s="723">
        <v>13.454269583627381</v>
      </c>
      <c r="S72" s="723">
        <v>14.57545871559633</v>
      </c>
      <c r="T72" s="724">
        <v>15.900500417014177</v>
      </c>
    </row>
    <row r="73" spans="1:21" ht="27.95" hidden="1" customHeight="1" x14ac:dyDescent="0.25">
      <c r="B73" s="760" t="s">
        <v>487</v>
      </c>
      <c r="C73" s="755" t="s">
        <v>497</v>
      </c>
      <c r="D73" s="755" t="s">
        <v>506</v>
      </c>
      <c r="E73" s="755"/>
      <c r="F73" s="755" t="s">
        <v>453</v>
      </c>
      <c r="G73" s="772" t="s">
        <v>490</v>
      </c>
      <c r="H73" s="755">
        <v>2.8</v>
      </c>
      <c r="I73" s="755">
        <v>110</v>
      </c>
      <c r="J73" s="761"/>
      <c r="K73" s="761">
        <v>241.29357798165134</v>
      </c>
      <c r="L73" s="761">
        <v>12.064678899082567</v>
      </c>
      <c r="M73" s="755">
        <v>30</v>
      </c>
      <c r="N73" s="762">
        <v>8.4452752293577973</v>
      </c>
      <c r="O73" s="761">
        <v>0.3</v>
      </c>
      <c r="P73" s="722">
        <v>8.745275229357798</v>
      </c>
      <c r="Q73" s="723">
        <v>12.493250327653998</v>
      </c>
      <c r="R73" s="723">
        <v>13.454269583627381</v>
      </c>
      <c r="S73" s="723">
        <v>14.57545871559633</v>
      </c>
      <c r="T73" s="724">
        <v>15.900500417014177</v>
      </c>
    </row>
    <row r="74" spans="1:21" ht="27.95" hidden="1" customHeight="1" x14ac:dyDescent="0.25">
      <c r="B74" s="760" t="s">
        <v>487</v>
      </c>
      <c r="C74" s="755" t="s">
        <v>499</v>
      </c>
      <c r="D74" s="755" t="s">
        <v>507</v>
      </c>
      <c r="E74" s="755"/>
      <c r="F74" s="755" t="s">
        <v>501</v>
      </c>
      <c r="G74" s="772" t="s">
        <v>490</v>
      </c>
      <c r="H74" s="755">
        <v>2.8</v>
      </c>
      <c r="I74" s="755">
        <v>110</v>
      </c>
      <c r="J74" s="761"/>
      <c r="K74" s="761">
        <v>241.29357798165134</v>
      </c>
      <c r="L74" s="761">
        <v>12.064678899082567</v>
      </c>
      <c r="M74" s="755">
        <v>30</v>
      </c>
      <c r="N74" s="762">
        <v>8.4452752293577973</v>
      </c>
      <c r="O74" s="761">
        <v>0.3</v>
      </c>
      <c r="P74" s="722">
        <v>8.745275229357798</v>
      </c>
      <c r="Q74" s="723">
        <v>12.493250327653998</v>
      </c>
      <c r="R74" s="723">
        <v>13.454269583627381</v>
      </c>
      <c r="S74" s="723">
        <v>14.57545871559633</v>
      </c>
      <c r="T74" s="724">
        <v>15.900500417014177</v>
      </c>
    </row>
    <row r="75" spans="1:21" ht="27.95" hidden="1" customHeight="1" x14ac:dyDescent="0.25">
      <c r="A75" s="695"/>
      <c r="B75" s="753" t="s">
        <v>487</v>
      </c>
      <c r="C75" s="754" t="s">
        <v>508</v>
      </c>
      <c r="D75" s="754" t="s">
        <v>509</v>
      </c>
      <c r="E75" s="755"/>
      <c r="F75" s="754"/>
      <c r="G75" s="771" t="s">
        <v>490</v>
      </c>
      <c r="H75" s="754">
        <v>2.8</v>
      </c>
      <c r="I75" s="754">
        <v>110</v>
      </c>
      <c r="J75" s="756">
        <v>430.39</v>
      </c>
      <c r="K75" s="756"/>
      <c r="L75" s="756"/>
      <c r="M75" s="754"/>
      <c r="N75" s="757"/>
      <c r="O75" s="756"/>
      <c r="P75" s="758"/>
      <c r="Q75" s="723"/>
      <c r="R75" s="723"/>
      <c r="S75" s="723"/>
      <c r="T75" s="724"/>
      <c r="U75" s="709"/>
    </row>
    <row r="76" spans="1:21" ht="27.95" hidden="1" customHeight="1" x14ac:dyDescent="0.25">
      <c r="B76" s="760" t="s">
        <v>487</v>
      </c>
      <c r="C76" s="755" t="s">
        <v>512</v>
      </c>
      <c r="D76" s="755" t="s">
        <v>513</v>
      </c>
      <c r="E76" s="755"/>
      <c r="F76" s="755" t="s">
        <v>374</v>
      </c>
      <c r="G76" s="772" t="s">
        <v>490</v>
      </c>
      <c r="H76" s="755">
        <v>2.8</v>
      </c>
      <c r="I76" s="755">
        <v>110</v>
      </c>
      <c r="J76" s="761"/>
      <c r="K76" s="761">
        <v>394.85321100917429</v>
      </c>
      <c r="L76" s="761">
        <v>19.742660550458716</v>
      </c>
      <c r="M76" s="755">
        <v>30</v>
      </c>
      <c r="N76" s="762">
        <v>13.8198623853211</v>
      </c>
      <c r="O76" s="761">
        <v>0.3</v>
      </c>
      <c r="P76" s="722">
        <v>14.119862385321101</v>
      </c>
      <c r="Q76" s="723">
        <v>20.171231979030146</v>
      </c>
      <c r="R76" s="723">
        <v>21.72286520818631</v>
      </c>
      <c r="S76" s="723">
        <v>23.53310397553517</v>
      </c>
      <c r="T76" s="724">
        <v>25.672477064220182</v>
      </c>
    </row>
    <row r="77" spans="1:21" ht="27.95" hidden="1" customHeight="1" x14ac:dyDescent="0.25">
      <c r="B77" s="760" t="s">
        <v>487</v>
      </c>
      <c r="C77" s="755" t="s">
        <v>514</v>
      </c>
      <c r="D77" s="755" t="s">
        <v>515</v>
      </c>
      <c r="E77" s="755"/>
      <c r="F77" s="755" t="s">
        <v>380</v>
      </c>
      <c r="G77" s="772" t="s">
        <v>490</v>
      </c>
      <c r="H77" s="755">
        <v>2.8</v>
      </c>
      <c r="I77" s="755">
        <v>110</v>
      </c>
      <c r="J77" s="761"/>
      <c r="K77" s="761">
        <v>394.85321100917429</v>
      </c>
      <c r="L77" s="761">
        <v>19.742660550458716</v>
      </c>
      <c r="M77" s="755">
        <v>30</v>
      </c>
      <c r="N77" s="762">
        <v>13.8198623853211</v>
      </c>
      <c r="O77" s="761">
        <v>0.3</v>
      </c>
      <c r="P77" s="722">
        <v>14.119862385321101</v>
      </c>
      <c r="Q77" s="723">
        <v>20.171231979030146</v>
      </c>
      <c r="R77" s="723">
        <v>21.72286520818631</v>
      </c>
      <c r="S77" s="723">
        <v>23.53310397553517</v>
      </c>
      <c r="T77" s="724">
        <v>25.672477064220182</v>
      </c>
    </row>
    <row r="78" spans="1:21" ht="27.95" hidden="1" customHeight="1" thickBot="1" x14ac:dyDescent="0.3">
      <c r="B78" s="763" t="s">
        <v>487</v>
      </c>
      <c r="C78" s="764" t="s">
        <v>516</v>
      </c>
      <c r="D78" s="764" t="s">
        <v>517</v>
      </c>
      <c r="E78" s="764"/>
      <c r="F78" s="764" t="s">
        <v>518</v>
      </c>
      <c r="G78" s="802" t="s">
        <v>490</v>
      </c>
      <c r="H78" s="764">
        <v>2.8</v>
      </c>
      <c r="I78" s="764">
        <v>110</v>
      </c>
      <c r="J78" s="765"/>
      <c r="K78" s="765">
        <v>394.85321100917429</v>
      </c>
      <c r="L78" s="765">
        <v>19.742660550458716</v>
      </c>
      <c r="M78" s="764">
        <v>30</v>
      </c>
      <c r="N78" s="766">
        <v>13.8198623853211</v>
      </c>
      <c r="O78" s="765">
        <v>0.3</v>
      </c>
      <c r="P78" s="729">
        <v>14.119862385321101</v>
      </c>
      <c r="Q78" s="730">
        <v>20.171231979030146</v>
      </c>
      <c r="R78" s="730">
        <v>21.72286520818631</v>
      </c>
      <c r="S78" s="730">
        <v>23.53310397553517</v>
      </c>
      <c r="T78" s="731">
        <v>25.672477064220182</v>
      </c>
    </row>
    <row r="79" spans="1:21" s="709" customFormat="1" ht="55.5" hidden="1" customHeight="1" x14ac:dyDescent="0.25">
      <c r="A79" s="695"/>
      <c r="B79" s="803" t="s">
        <v>487</v>
      </c>
      <c r="C79" s="804" t="s">
        <v>519</v>
      </c>
      <c r="D79" s="804" t="s">
        <v>520</v>
      </c>
      <c r="E79" s="768"/>
      <c r="F79" s="804"/>
      <c r="G79" s="805" t="s">
        <v>521</v>
      </c>
      <c r="H79" s="804">
        <v>2.8</v>
      </c>
      <c r="I79" s="804">
        <v>110</v>
      </c>
      <c r="J79" s="806">
        <v>542.1</v>
      </c>
      <c r="K79" s="806"/>
      <c r="L79" s="806"/>
      <c r="M79" s="804"/>
      <c r="N79" s="807"/>
      <c r="O79" s="806"/>
      <c r="P79" s="808"/>
      <c r="Q79" s="732"/>
      <c r="R79" s="732"/>
      <c r="S79" s="732"/>
      <c r="T79" s="733"/>
    </row>
    <row r="80" spans="1:21" ht="27.95" hidden="1" customHeight="1" x14ac:dyDescent="0.25">
      <c r="B80" s="760" t="s">
        <v>487</v>
      </c>
      <c r="C80" s="755" t="s">
        <v>524</v>
      </c>
      <c r="D80" s="755" t="s">
        <v>525</v>
      </c>
      <c r="E80" s="755"/>
      <c r="F80" s="755" t="s">
        <v>526</v>
      </c>
      <c r="G80" s="772" t="s">
        <v>521</v>
      </c>
      <c r="H80" s="755">
        <v>2.8</v>
      </c>
      <c r="I80" s="755">
        <v>110</v>
      </c>
      <c r="J80" s="761"/>
      <c r="K80" s="761">
        <v>497.33944954128441</v>
      </c>
      <c r="L80" s="761">
        <v>24.86697247706422</v>
      </c>
      <c r="M80" s="755">
        <v>30</v>
      </c>
      <c r="N80" s="762">
        <v>17.406880733944956</v>
      </c>
      <c r="O80" s="761">
        <v>0.3</v>
      </c>
      <c r="P80" s="722">
        <v>17.706880733944956</v>
      </c>
      <c r="Q80" s="723">
        <v>25.295543905635654</v>
      </c>
      <c r="R80" s="723">
        <v>27.241354975299931</v>
      </c>
      <c r="S80" s="723">
        <v>29.511467889908261</v>
      </c>
      <c r="T80" s="724">
        <v>32.194328607172643</v>
      </c>
    </row>
    <row r="81" spans="1:21" ht="27.95" hidden="1" customHeight="1" x14ac:dyDescent="0.25">
      <c r="B81" s="760" t="s">
        <v>487</v>
      </c>
      <c r="C81" s="755" t="s">
        <v>527</v>
      </c>
      <c r="D81" s="755" t="s">
        <v>528</v>
      </c>
      <c r="E81" s="755"/>
      <c r="F81" s="755" t="s">
        <v>413</v>
      </c>
      <c r="G81" s="772" t="s">
        <v>521</v>
      </c>
      <c r="H81" s="755">
        <v>2.8</v>
      </c>
      <c r="I81" s="755">
        <v>110</v>
      </c>
      <c r="J81" s="761"/>
      <c r="K81" s="761">
        <v>497.33944954128441</v>
      </c>
      <c r="L81" s="761">
        <v>24.86697247706422</v>
      </c>
      <c r="M81" s="755">
        <v>30</v>
      </c>
      <c r="N81" s="762">
        <v>17.406880733944956</v>
      </c>
      <c r="O81" s="761">
        <v>0.3</v>
      </c>
      <c r="P81" s="722">
        <v>17.706880733944956</v>
      </c>
      <c r="Q81" s="723">
        <v>25.295543905635654</v>
      </c>
      <c r="R81" s="723">
        <v>27.241354975299931</v>
      </c>
      <c r="S81" s="723">
        <v>29.511467889908261</v>
      </c>
      <c r="T81" s="724">
        <v>32.194328607172643</v>
      </c>
    </row>
    <row r="82" spans="1:21" ht="27.95" hidden="1" customHeight="1" x14ac:dyDescent="0.25">
      <c r="B82" s="760" t="s">
        <v>487</v>
      </c>
      <c r="C82" s="755" t="s">
        <v>529</v>
      </c>
      <c r="D82" s="755" t="s">
        <v>530</v>
      </c>
      <c r="E82" s="755"/>
      <c r="F82" s="755" t="s">
        <v>371</v>
      </c>
      <c r="G82" s="772" t="s">
        <v>521</v>
      </c>
      <c r="H82" s="755">
        <v>2.8</v>
      </c>
      <c r="I82" s="755">
        <v>110</v>
      </c>
      <c r="J82" s="761"/>
      <c r="K82" s="761">
        <v>497.33944954128441</v>
      </c>
      <c r="L82" s="761">
        <v>24.86697247706422</v>
      </c>
      <c r="M82" s="755">
        <v>30</v>
      </c>
      <c r="N82" s="762">
        <v>17.406880733944956</v>
      </c>
      <c r="O82" s="761">
        <v>0.3</v>
      </c>
      <c r="P82" s="722">
        <v>17.706880733944956</v>
      </c>
      <c r="Q82" s="723">
        <v>25.295543905635654</v>
      </c>
      <c r="R82" s="723">
        <v>27.241354975299931</v>
      </c>
      <c r="S82" s="723">
        <v>29.511467889908261</v>
      </c>
      <c r="T82" s="724">
        <v>32.194328607172643</v>
      </c>
    </row>
    <row r="83" spans="1:21" ht="27.95" hidden="1" customHeight="1" x14ac:dyDescent="0.25">
      <c r="B83" s="760" t="s">
        <v>487</v>
      </c>
      <c r="C83" s="755" t="s">
        <v>531</v>
      </c>
      <c r="D83" s="755" t="s">
        <v>532</v>
      </c>
      <c r="E83" s="755"/>
      <c r="F83" s="755" t="s">
        <v>374</v>
      </c>
      <c r="G83" s="772" t="s">
        <v>521</v>
      </c>
      <c r="H83" s="755">
        <v>2.8</v>
      </c>
      <c r="I83" s="755">
        <v>110</v>
      </c>
      <c r="J83" s="761"/>
      <c r="K83" s="761">
        <v>497.33944954128441</v>
      </c>
      <c r="L83" s="761">
        <v>24.86697247706422</v>
      </c>
      <c r="M83" s="755">
        <v>30</v>
      </c>
      <c r="N83" s="762">
        <v>17.406880733944956</v>
      </c>
      <c r="O83" s="761">
        <v>0.3</v>
      </c>
      <c r="P83" s="722">
        <v>17.706880733944956</v>
      </c>
      <c r="Q83" s="723">
        <v>25.295543905635654</v>
      </c>
      <c r="R83" s="723">
        <v>27.241354975299931</v>
      </c>
      <c r="S83" s="723">
        <v>29.511467889908261</v>
      </c>
      <c r="T83" s="724">
        <v>32.194328607172643</v>
      </c>
    </row>
    <row r="84" spans="1:21" ht="27.95" hidden="1" customHeight="1" x14ac:dyDescent="0.25">
      <c r="B84" s="760" t="s">
        <v>487</v>
      </c>
      <c r="C84" s="755" t="s">
        <v>533</v>
      </c>
      <c r="D84" s="755" t="s">
        <v>534</v>
      </c>
      <c r="E84" s="755"/>
      <c r="F84" s="755" t="s">
        <v>535</v>
      </c>
      <c r="G84" s="772" t="s">
        <v>521</v>
      </c>
      <c r="H84" s="755">
        <v>2.8</v>
      </c>
      <c r="I84" s="755">
        <v>110</v>
      </c>
      <c r="J84" s="761"/>
      <c r="K84" s="761">
        <v>497.33944954128441</v>
      </c>
      <c r="L84" s="761">
        <v>24.86697247706422</v>
      </c>
      <c r="M84" s="755">
        <v>30</v>
      </c>
      <c r="N84" s="762">
        <v>17.406880733944956</v>
      </c>
      <c r="O84" s="761">
        <v>0.3</v>
      </c>
      <c r="P84" s="722">
        <v>17.706880733944956</v>
      </c>
      <c r="Q84" s="723">
        <v>25.295543905635654</v>
      </c>
      <c r="R84" s="723">
        <v>27.241354975299931</v>
      </c>
      <c r="S84" s="723">
        <v>29.511467889908261</v>
      </c>
      <c r="T84" s="724">
        <v>32.194328607172643</v>
      </c>
    </row>
    <row r="85" spans="1:21" ht="27.95" hidden="1" customHeight="1" thickBot="1" x14ac:dyDescent="0.3">
      <c r="B85" s="763" t="s">
        <v>487</v>
      </c>
      <c r="C85" s="764" t="s">
        <v>536</v>
      </c>
      <c r="D85" s="764" t="s">
        <v>537</v>
      </c>
      <c r="E85" s="764"/>
      <c r="F85" s="764" t="s">
        <v>380</v>
      </c>
      <c r="G85" s="802" t="s">
        <v>521</v>
      </c>
      <c r="H85" s="764">
        <v>2.8</v>
      </c>
      <c r="I85" s="764">
        <v>110</v>
      </c>
      <c r="J85" s="765"/>
      <c r="K85" s="765">
        <v>497.33944954128441</v>
      </c>
      <c r="L85" s="765">
        <v>24.86697247706422</v>
      </c>
      <c r="M85" s="764">
        <v>30</v>
      </c>
      <c r="N85" s="766">
        <v>17.406880733944956</v>
      </c>
      <c r="O85" s="765">
        <v>0.3</v>
      </c>
      <c r="P85" s="729">
        <v>17.706880733944956</v>
      </c>
      <c r="Q85" s="730">
        <v>25.295543905635654</v>
      </c>
      <c r="R85" s="730">
        <v>27.241354975299931</v>
      </c>
      <c r="S85" s="730">
        <v>29.511467889908261</v>
      </c>
      <c r="T85" s="731">
        <v>32.194328607172643</v>
      </c>
    </row>
    <row r="86" spans="1:21" s="709" customFormat="1" ht="27.95" hidden="1" customHeight="1" x14ac:dyDescent="0.25">
      <c r="A86" s="694"/>
      <c r="B86" s="767" t="s">
        <v>487</v>
      </c>
      <c r="C86" s="768" t="s">
        <v>538</v>
      </c>
      <c r="D86" s="768" t="s">
        <v>539</v>
      </c>
      <c r="E86" s="768"/>
      <c r="F86" s="768" t="s">
        <v>453</v>
      </c>
      <c r="G86" s="779" t="s">
        <v>521</v>
      </c>
      <c r="H86" s="768">
        <v>2.8</v>
      </c>
      <c r="I86" s="768">
        <v>110</v>
      </c>
      <c r="J86" s="769"/>
      <c r="K86" s="769">
        <v>497.33944954128441</v>
      </c>
      <c r="L86" s="769">
        <v>24.86697247706422</v>
      </c>
      <c r="M86" s="768">
        <v>30</v>
      </c>
      <c r="N86" s="770">
        <v>17.406880733944956</v>
      </c>
      <c r="O86" s="769">
        <v>0.3</v>
      </c>
      <c r="P86" s="714">
        <v>17.706880733944956</v>
      </c>
      <c r="Q86" s="732">
        <v>25.295543905635654</v>
      </c>
      <c r="R86" s="732">
        <v>27.241354975299931</v>
      </c>
      <c r="S86" s="732">
        <v>29.511467889908261</v>
      </c>
      <c r="T86" s="733">
        <v>32.194328607172643</v>
      </c>
      <c r="U86" s="698"/>
    </row>
    <row r="87" spans="1:21" ht="27.95" hidden="1" customHeight="1" x14ac:dyDescent="0.25">
      <c r="A87" s="695"/>
      <c r="B87" s="814" t="s">
        <v>362</v>
      </c>
      <c r="C87" s="815" t="s">
        <v>540</v>
      </c>
      <c r="D87" s="815" t="s">
        <v>541</v>
      </c>
      <c r="E87" s="796"/>
      <c r="F87" s="816" t="s">
        <v>422</v>
      </c>
      <c r="G87" s="816" t="s">
        <v>365</v>
      </c>
      <c r="H87" s="815">
        <v>3</v>
      </c>
      <c r="I87" s="815">
        <v>118</v>
      </c>
      <c r="J87" s="817">
        <v>320.58</v>
      </c>
      <c r="K87" s="817"/>
      <c r="L87" s="817"/>
      <c r="M87" s="815"/>
      <c r="N87" s="818"/>
      <c r="O87" s="817"/>
      <c r="P87" s="758"/>
      <c r="Q87" s="800"/>
      <c r="R87" s="800"/>
      <c r="S87" s="800"/>
      <c r="T87" s="801"/>
      <c r="U87" s="709"/>
    </row>
    <row r="88" spans="1:21" ht="27.95" hidden="1" customHeight="1" x14ac:dyDescent="0.25">
      <c r="B88" s="795" t="s">
        <v>362</v>
      </c>
      <c r="C88" s="796" t="s">
        <v>542</v>
      </c>
      <c r="D88" s="796" t="s">
        <v>543</v>
      </c>
      <c r="E88" s="796"/>
      <c r="F88" s="796" t="s">
        <v>374</v>
      </c>
      <c r="G88" s="797" t="s">
        <v>365</v>
      </c>
      <c r="H88" s="796">
        <v>3</v>
      </c>
      <c r="I88" s="796">
        <v>118</v>
      </c>
      <c r="J88" s="798"/>
      <c r="K88" s="798">
        <v>294.11009174311926</v>
      </c>
      <c r="L88" s="798">
        <v>14.705504587155962</v>
      </c>
      <c r="M88" s="796">
        <v>50</v>
      </c>
      <c r="N88" s="799">
        <v>10.293853211009173</v>
      </c>
      <c r="O88" s="798">
        <v>0.18</v>
      </c>
      <c r="P88" s="722">
        <v>10.473853211009173</v>
      </c>
      <c r="Q88" s="800">
        <v>14.962647444298819</v>
      </c>
      <c r="R88" s="800">
        <v>16.113620324629498</v>
      </c>
      <c r="S88" s="800">
        <v>17.456422018348622</v>
      </c>
      <c r="T88" s="801">
        <v>19.04336947456213</v>
      </c>
    </row>
    <row r="89" spans="1:21" ht="27.95" hidden="1" customHeight="1" thickBot="1" x14ac:dyDescent="0.3">
      <c r="B89" s="819" t="s">
        <v>362</v>
      </c>
      <c r="C89" s="782" t="s">
        <v>544</v>
      </c>
      <c r="D89" s="782" t="s">
        <v>545</v>
      </c>
      <c r="E89" s="782"/>
      <c r="F89" s="782" t="s">
        <v>377</v>
      </c>
      <c r="G89" s="820" t="s">
        <v>365</v>
      </c>
      <c r="H89" s="782">
        <v>3</v>
      </c>
      <c r="I89" s="782">
        <v>118</v>
      </c>
      <c r="J89" s="821"/>
      <c r="K89" s="821">
        <v>294.11009174311926</v>
      </c>
      <c r="L89" s="821">
        <v>14.705504587155962</v>
      </c>
      <c r="M89" s="782">
        <v>50</v>
      </c>
      <c r="N89" s="822">
        <v>10.293853211009173</v>
      </c>
      <c r="O89" s="821">
        <v>0.18</v>
      </c>
      <c r="P89" s="729">
        <v>10.473853211009173</v>
      </c>
      <c r="Q89" s="786">
        <v>14.962647444298819</v>
      </c>
      <c r="R89" s="786">
        <v>16.113620324629498</v>
      </c>
      <c r="S89" s="786">
        <v>17.456422018348622</v>
      </c>
      <c r="T89" s="787">
        <v>19.04336947456213</v>
      </c>
    </row>
    <row r="90" spans="1:21" s="709" customFormat="1" ht="49.5" hidden="1" customHeight="1" x14ac:dyDescent="0.25">
      <c r="A90" s="694"/>
      <c r="B90" s="788" t="s">
        <v>362</v>
      </c>
      <c r="C90" s="789" t="s">
        <v>546</v>
      </c>
      <c r="D90" s="789" t="s">
        <v>547</v>
      </c>
      <c r="E90" s="789"/>
      <c r="F90" s="789" t="s">
        <v>403</v>
      </c>
      <c r="G90" s="790" t="s">
        <v>365</v>
      </c>
      <c r="H90" s="789">
        <v>3</v>
      </c>
      <c r="I90" s="789">
        <v>118</v>
      </c>
      <c r="J90" s="791"/>
      <c r="K90" s="791">
        <v>294.11009174311926</v>
      </c>
      <c r="L90" s="791">
        <v>14.705504587155962</v>
      </c>
      <c r="M90" s="789">
        <v>50</v>
      </c>
      <c r="N90" s="792">
        <v>10.293853211009173</v>
      </c>
      <c r="O90" s="791">
        <v>0.18</v>
      </c>
      <c r="P90" s="714">
        <v>10.473853211009173</v>
      </c>
      <c r="Q90" s="793">
        <v>14.962647444298819</v>
      </c>
      <c r="R90" s="793">
        <v>16.113620324629498</v>
      </c>
      <c r="S90" s="793">
        <v>17.456422018348622</v>
      </c>
      <c r="T90" s="794">
        <v>19.04336947456213</v>
      </c>
      <c r="U90" s="698"/>
    </row>
    <row r="91" spans="1:21" ht="27.95" hidden="1" customHeight="1" x14ac:dyDescent="0.25">
      <c r="B91" s="795" t="s">
        <v>362</v>
      </c>
      <c r="C91" s="796" t="s">
        <v>548</v>
      </c>
      <c r="D91" s="796" t="s">
        <v>549</v>
      </c>
      <c r="E91" s="796"/>
      <c r="F91" s="796" t="s">
        <v>380</v>
      </c>
      <c r="G91" s="797" t="s">
        <v>365</v>
      </c>
      <c r="H91" s="796">
        <v>3</v>
      </c>
      <c r="I91" s="796">
        <v>118</v>
      </c>
      <c r="J91" s="798"/>
      <c r="K91" s="798">
        <v>294.11009174311926</v>
      </c>
      <c r="L91" s="798">
        <v>14.705504587155962</v>
      </c>
      <c r="M91" s="796">
        <v>50</v>
      </c>
      <c r="N91" s="799">
        <v>10.293853211009173</v>
      </c>
      <c r="O91" s="798">
        <v>0.18</v>
      </c>
      <c r="P91" s="722">
        <v>10.473853211009173</v>
      </c>
      <c r="Q91" s="800">
        <v>14.962647444298819</v>
      </c>
      <c r="R91" s="800">
        <v>16.113620324629498</v>
      </c>
      <c r="S91" s="800">
        <v>17.456422018348622</v>
      </c>
      <c r="T91" s="801">
        <v>19.04336947456213</v>
      </c>
    </row>
    <row r="92" spans="1:21" ht="27.95" hidden="1" customHeight="1" x14ac:dyDescent="0.25">
      <c r="B92" s="795" t="s">
        <v>362</v>
      </c>
      <c r="C92" s="796" t="s">
        <v>550</v>
      </c>
      <c r="D92" s="796" t="s">
        <v>551</v>
      </c>
      <c r="E92" s="796"/>
      <c r="F92" s="796" t="s">
        <v>552</v>
      </c>
      <c r="G92" s="797" t="s">
        <v>365</v>
      </c>
      <c r="H92" s="796">
        <v>3</v>
      </c>
      <c r="I92" s="796">
        <v>118</v>
      </c>
      <c r="J92" s="798"/>
      <c r="K92" s="798">
        <v>294.11009174311926</v>
      </c>
      <c r="L92" s="798">
        <v>14.705504587155962</v>
      </c>
      <c r="M92" s="796">
        <v>50</v>
      </c>
      <c r="N92" s="799">
        <v>10.293853211009173</v>
      </c>
      <c r="O92" s="798">
        <v>0.18</v>
      </c>
      <c r="P92" s="722">
        <v>10.473853211009173</v>
      </c>
      <c r="Q92" s="800">
        <v>14.962647444298819</v>
      </c>
      <c r="R92" s="800">
        <v>16.113620324629498</v>
      </c>
      <c r="S92" s="800">
        <v>17.456422018348622</v>
      </c>
      <c r="T92" s="801">
        <v>19.04336947456213</v>
      </c>
    </row>
    <row r="93" spans="1:21" ht="27.95" hidden="1" customHeight="1" x14ac:dyDescent="0.25">
      <c r="B93" s="795" t="s">
        <v>362</v>
      </c>
      <c r="C93" s="796" t="s">
        <v>553</v>
      </c>
      <c r="D93" s="796" t="s">
        <v>554</v>
      </c>
      <c r="E93" s="796"/>
      <c r="F93" s="796" t="s">
        <v>413</v>
      </c>
      <c r="G93" s="797" t="s">
        <v>365</v>
      </c>
      <c r="H93" s="796">
        <v>3</v>
      </c>
      <c r="I93" s="796">
        <v>118</v>
      </c>
      <c r="J93" s="798"/>
      <c r="K93" s="798">
        <v>294.11009174311926</v>
      </c>
      <c r="L93" s="798">
        <v>14.705504587155962</v>
      </c>
      <c r="M93" s="796">
        <v>50</v>
      </c>
      <c r="N93" s="799">
        <v>10.293853211009173</v>
      </c>
      <c r="O93" s="798">
        <v>0.18</v>
      </c>
      <c r="P93" s="722">
        <v>10.473853211009173</v>
      </c>
      <c r="Q93" s="800">
        <v>14.962647444298819</v>
      </c>
      <c r="R93" s="800">
        <v>16.113620324629498</v>
      </c>
      <c r="S93" s="800">
        <v>17.456422018348622</v>
      </c>
      <c r="T93" s="801">
        <v>19.04336947456213</v>
      </c>
    </row>
    <row r="94" spans="1:21" ht="27.95" hidden="1" customHeight="1" x14ac:dyDescent="0.25">
      <c r="A94" s="695"/>
      <c r="B94" s="753" t="s">
        <v>362</v>
      </c>
      <c r="C94" s="754" t="s">
        <v>555</v>
      </c>
      <c r="D94" s="754" t="s">
        <v>556</v>
      </c>
      <c r="E94" s="755"/>
      <c r="F94" s="754"/>
      <c r="G94" s="771" t="s">
        <v>365</v>
      </c>
      <c r="H94" s="754">
        <v>3.2</v>
      </c>
      <c r="I94" s="754">
        <v>126</v>
      </c>
      <c r="J94" s="756">
        <v>396.86</v>
      </c>
      <c r="K94" s="756"/>
      <c r="L94" s="756"/>
      <c r="M94" s="754"/>
      <c r="N94" s="757"/>
      <c r="O94" s="756"/>
      <c r="P94" s="758"/>
      <c r="Q94" s="723"/>
      <c r="R94" s="723"/>
      <c r="S94" s="723"/>
      <c r="T94" s="724"/>
      <c r="U94" s="709"/>
    </row>
    <row r="95" spans="1:21" ht="27.95" hidden="1" customHeight="1" x14ac:dyDescent="0.25">
      <c r="B95" s="760" t="s">
        <v>362</v>
      </c>
      <c r="C95" s="755" t="s">
        <v>559</v>
      </c>
      <c r="D95" s="755" t="s">
        <v>560</v>
      </c>
      <c r="E95" s="755"/>
      <c r="F95" s="755" t="s">
        <v>453</v>
      </c>
      <c r="G95" s="755" t="s">
        <v>365</v>
      </c>
      <c r="H95" s="755">
        <v>3.2</v>
      </c>
      <c r="I95" s="755">
        <v>126</v>
      </c>
      <c r="J95" s="761"/>
      <c r="K95" s="761">
        <v>364.09174311926603</v>
      </c>
      <c r="L95" s="761">
        <v>18.204587155963303</v>
      </c>
      <c r="M95" s="755">
        <v>50</v>
      </c>
      <c r="N95" s="762">
        <v>12.743211009174313</v>
      </c>
      <c r="O95" s="761">
        <v>0.18</v>
      </c>
      <c r="P95" s="722">
        <v>12.923211009174313</v>
      </c>
      <c r="Q95" s="723">
        <v>18.461730013106163</v>
      </c>
      <c r="R95" s="723">
        <v>19.881863091037403</v>
      </c>
      <c r="S95" s="723">
        <v>21.538685015290522</v>
      </c>
      <c r="T95" s="724">
        <v>23.496747289407839</v>
      </c>
    </row>
    <row r="96" spans="1:21" ht="27.95" hidden="1" customHeight="1" x14ac:dyDescent="0.25">
      <c r="B96" s="760" t="s">
        <v>362</v>
      </c>
      <c r="C96" s="755" t="s">
        <v>561</v>
      </c>
      <c r="D96" s="755" t="s">
        <v>562</v>
      </c>
      <c r="E96" s="755"/>
      <c r="F96" s="755" t="s">
        <v>425</v>
      </c>
      <c r="G96" s="755" t="s">
        <v>365</v>
      </c>
      <c r="H96" s="755">
        <v>3.2</v>
      </c>
      <c r="I96" s="755">
        <v>126</v>
      </c>
      <c r="J96" s="761"/>
      <c r="K96" s="761">
        <v>364.09174311926603</v>
      </c>
      <c r="L96" s="761">
        <v>18.204587155963303</v>
      </c>
      <c r="M96" s="755">
        <v>50</v>
      </c>
      <c r="N96" s="762">
        <v>12.743211009174313</v>
      </c>
      <c r="O96" s="761">
        <v>0.18</v>
      </c>
      <c r="P96" s="722">
        <v>12.923211009174313</v>
      </c>
      <c r="Q96" s="723">
        <v>18.461730013106163</v>
      </c>
      <c r="R96" s="723">
        <v>19.881863091037403</v>
      </c>
      <c r="S96" s="723">
        <v>21.538685015290522</v>
      </c>
      <c r="T96" s="724">
        <v>23.496747289407839</v>
      </c>
    </row>
    <row r="97" spans="1:21" ht="27.95" hidden="1" customHeight="1" x14ac:dyDescent="0.25">
      <c r="A97" s="695"/>
      <c r="B97" s="814" t="s">
        <v>487</v>
      </c>
      <c r="C97" s="815" t="s">
        <v>563</v>
      </c>
      <c r="D97" s="815" t="s">
        <v>564</v>
      </c>
      <c r="E97" s="796"/>
      <c r="F97" s="816" t="s">
        <v>422</v>
      </c>
      <c r="G97" s="815" t="s">
        <v>565</v>
      </c>
      <c r="H97" s="815">
        <v>3</v>
      </c>
      <c r="I97" s="815">
        <v>118</v>
      </c>
      <c r="J97" s="817">
        <v>527.34</v>
      </c>
      <c r="K97" s="817"/>
      <c r="L97" s="817"/>
      <c r="M97" s="815"/>
      <c r="N97" s="818"/>
      <c r="O97" s="817"/>
      <c r="P97" s="758"/>
      <c r="Q97" s="800"/>
      <c r="R97" s="800"/>
      <c r="S97" s="800"/>
      <c r="T97" s="724"/>
      <c r="U97" s="709"/>
    </row>
    <row r="98" spans="1:21" ht="27.95" hidden="1" customHeight="1" x14ac:dyDescent="0.25">
      <c r="B98" s="795" t="s">
        <v>659</v>
      </c>
      <c r="C98" s="796" t="s">
        <v>566</v>
      </c>
      <c r="D98" s="796" t="s">
        <v>567</v>
      </c>
      <c r="E98" s="796"/>
      <c r="F98" s="796" t="s">
        <v>425</v>
      </c>
      <c r="G98" s="796" t="s">
        <v>565</v>
      </c>
      <c r="H98" s="796">
        <v>3</v>
      </c>
      <c r="I98" s="796">
        <v>118</v>
      </c>
      <c r="J98" s="798"/>
      <c r="K98" s="798">
        <v>483.79816513761466</v>
      </c>
      <c r="L98" s="798">
        <v>24.189908256880734</v>
      </c>
      <c r="M98" s="796">
        <v>30</v>
      </c>
      <c r="N98" s="799">
        <v>16.932935779816514</v>
      </c>
      <c r="O98" s="798">
        <v>0.3</v>
      </c>
      <c r="P98" s="722">
        <v>17.232935779816515</v>
      </c>
      <c r="Q98" s="800">
        <v>24.618479685452165</v>
      </c>
      <c r="R98" s="800">
        <v>26.512208892025406</v>
      </c>
      <c r="S98" s="800">
        <v>28.721559633027525</v>
      </c>
      <c r="T98" s="724">
        <v>31.332610508757298</v>
      </c>
    </row>
    <row r="99" spans="1:21" ht="27.95" hidden="1" customHeight="1" x14ac:dyDescent="0.25">
      <c r="B99" s="795" t="s">
        <v>487</v>
      </c>
      <c r="C99" s="796" t="s">
        <v>568</v>
      </c>
      <c r="D99" s="796" t="s">
        <v>569</v>
      </c>
      <c r="E99" s="796"/>
      <c r="F99" s="796" t="s">
        <v>501</v>
      </c>
      <c r="G99" s="796" t="s">
        <v>565</v>
      </c>
      <c r="H99" s="796">
        <v>3</v>
      </c>
      <c r="I99" s="796">
        <v>118</v>
      </c>
      <c r="J99" s="798"/>
      <c r="K99" s="798">
        <v>483.79816513761466</v>
      </c>
      <c r="L99" s="798">
        <v>24.189908256880734</v>
      </c>
      <c r="M99" s="796">
        <v>30</v>
      </c>
      <c r="N99" s="799">
        <v>16.932935779816514</v>
      </c>
      <c r="O99" s="798">
        <v>0.3</v>
      </c>
      <c r="P99" s="722">
        <v>17.232935779816515</v>
      </c>
      <c r="Q99" s="800">
        <v>24.618479685452165</v>
      </c>
      <c r="R99" s="800">
        <v>26.512208892025406</v>
      </c>
      <c r="S99" s="800">
        <v>28.721559633027525</v>
      </c>
      <c r="T99" s="724">
        <v>31.332610508757298</v>
      </c>
    </row>
    <row r="100" spans="1:21" ht="27.95" hidden="1" customHeight="1" x14ac:dyDescent="0.25">
      <c r="B100" s="795" t="s">
        <v>487</v>
      </c>
      <c r="C100" s="796" t="s">
        <v>570</v>
      </c>
      <c r="D100" s="796" t="s">
        <v>571</v>
      </c>
      <c r="E100" s="796"/>
      <c r="F100" s="796" t="s">
        <v>371</v>
      </c>
      <c r="G100" s="796" t="s">
        <v>565</v>
      </c>
      <c r="H100" s="796">
        <v>3</v>
      </c>
      <c r="I100" s="796">
        <v>118</v>
      </c>
      <c r="J100" s="798"/>
      <c r="K100" s="798">
        <v>483.79816513761466</v>
      </c>
      <c r="L100" s="798">
        <v>24.189908256880734</v>
      </c>
      <c r="M100" s="796">
        <v>30</v>
      </c>
      <c r="N100" s="799">
        <v>16.932935779816514</v>
      </c>
      <c r="O100" s="798">
        <v>0.3</v>
      </c>
      <c r="P100" s="722">
        <v>17.232935779816515</v>
      </c>
      <c r="Q100" s="800">
        <v>24.618479685452165</v>
      </c>
      <c r="R100" s="800">
        <v>26.512208892025406</v>
      </c>
      <c r="S100" s="800">
        <v>28.721559633027525</v>
      </c>
      <c r="T100" s="724">
        <v>31.332610508757298</v>
      </c>
    </row>
    <row r="101" spans="1:21" ht="27.95" customHeight="1" thickBot="1" x14ac:dyDescent="0.3">
      <c r="B101" s="819" t="s">
        <v>487</v>
      </c>
      <c r="C101" s="782" t="s">
        <v>572</v>
      </c>
      <c r="D101" s="782" t="s">
        <v>573</v>
      </c>
      <c r="E101" s="782"/>
      <c r="F101" s="782" t="s">
        <v>453</v>
      </c>
      <c r="G101" s="782" t="s">
        <v>565</v>
      </c>
      <c r="H101" s="782">
        <v>3</v>
      </c>
      <c r="I101" s="782">
        <v>118</v>
      </c>
      <c r="J101" s="821"/>
      <c r="K101" s="821">
        <v>483.79816513761466</v>
      </c>
      <c r="L101" s="821">
        <v>24.189908256880734</v>
      </c>
      <c r="M101" s="782">
        <v>30</v>
      </c>
      <c r="N101" s="822">
        <v>16.932935779816514</v>
      </c>
      <c r="O101" s="821">
        <v>0.3</v>
      </c>
      <c r="P101" s="729">
        <v>17.232935779816515</v>
      </c>
      <c r="Q101" s="786">
        <v>24.618479685452165</v>
      </c>
      <c r="R101" s="786">
        <v>26.512208892025406</v>
      </c>
      <c r="S101" s="786">
        <v>28.721559633027525</v>
      </c>
      <c r="T101" s="731">
        <v>31.332610508757298</v>
      </c>
    </row>
    <row r="102" spans="1:21" s="709" customFormat="1" ht="27.95" customHeight="1" x14ac:dyDescent="0.25">
      <c r="A102" s="694"/>
      <c r="B102" s="788" t="s">
        <v>487</v>
      </c>
      <c r="C102" s="789" t="s">
        <v>574</v>
      </c>
      <c r="D102" s="789" t="s">
        <v>575</v>
      </c>
      <c r="E102" s="789"/>
      <c r="F102" s="789" t="s">
        <v>576</v>
      </c>
      <c r="G102" s="789" t="s">
        <v>565</v>
      </c>
      <c r="H102" s="789">
        <v>3</v>
      </c>
      <c r="I102" s="789">
        <v>118</v>
      </c>
      <c r="J102" s="791"/>
      <c r="K102" s="791">
        <v>483.79816513761466</v>
      </c>
      <c r="L102" s="791">
        <v>24.189908256880734</v>
      </c>
      <c r="M102" s="789">
        <v>30</v>
      </c>
      <c r="N102" s="792">
        <v>16.932935779816514</v>
      </c>
      <c r="O102" s="791">
        <v>0.3</v>
      </c>
      <c r="P102" s="714">
        <v>17.232935779816515</v>
      </c>
      <c r="Q102" s="793">
        <v>24.618479685452165</v>
      </c>
      <c r="R102" s="793">
        <v>26.512208892025406</v>
      </c>
      <c r="S102" s="793">
        <v>28.721559633027525</v>
      </c>
      <c r="T102" s="733">
        <v>31.332610508757298</v>
      </c>
      <c r="U102" s="698"/>
    </row>
    <row r="103" spans="1:21" ht="27.95" customHeight="1" x14ac:dyDescent="0.25">
      <c r="B103" s="795" t="s">
        <v>487</v>
      </c>
      <c r="C103" s="796" t="s">
        <v>577</v>
      </c>
      <c r="D103" s="796" t="s">
        <v>578</v>
      </c>
      <c r="E103" s="796"/>
      <c r="F103" s="796" t="s">
        <v>579</v>
      </c>
      <c r="G103" s="796" t="s">
        <v>565</v>
      </c>
      <c r="H103" s="796">
        <v>3</v>
      </c>
      <c r="I103" s="796">
        <v>118</v>
      </c>
      <c r="J103" s="798"/>
      <c r="K103" s="798">
        <v>483.79816513761466</v>
      </c>
      <c r="L103" s="798">
        <v>24.189908256880734</v>
      </c>
      <c r="M103" s="796">
        <v>30</v>
      </c>
      <c r="N103" s="799">
        <v>16.932935779816514</v>
      </c>
      <c r="O103" s="798">
        <v>0.3</v>
      </c>
      <c r="P103" s="722">
        <v>17.232935779816515</v>
      </c>
      <c r="Q103" s="800">
        <v>24.618479685452165</v>
      </c>
      <c r="R103" s="800">
        <v>26.512208892025406</v>
      </c>
      <c r="S103" s="800">
        <v>28.721559633027525</v>
      </c>
      <c r="T103" s="724">
        <v>31.332610508757298</v>
      </c>
    </row>
    <row r="104" spans="1:21" ht="27.95" customHeight="1" x14ac:dyDescent="0.25">
      <c r="B104" s="795" t="s">
        <v>487</v>
      </c>
      <c r="C104" s="796" t="s">
        <v>580</v>
      </c>
      <c r="D104" s="796" t="s">
        <v>581</v>
      </c>
      <c r="E104" s="796"/>
      <c r="F104" s="796" t="s">
        <v>582</v>
      </c>
      <c r="G104" s="796" t="s">
        <v>565</v>
      </c>
      <c r="H104" s="796">
        <v>3</v>
      </c>
      <c r="I104" s="796">
        <v>118</v>
      </c>
      <c r="J104" s="798"/>
      <c r="K104" s="798">
        <v>483.79816513761466</v>
      </c>
      <c r="L104" s="798">
        <v>24.189908256880734</v>
      </c>
      <c r="M104" s="796">
        <v>30</v>
      </c>
      <c r="N104" s="799">
        <v>16.932935779816514</v>
      </c>
      <c r="O104" s="798">
        <v>0.3</v>
      </c>
      <c r="P104" s="722">
        <v>17.232935779816515</v>
      </c>
      <c r="Q104" s="800">
        <v>24.618479685452165</v>
      </c>
      <c r="R104" s="800">
        <v>26.512208892025406</v>
      </c>
      <c r="S104" s="800">
        <v>28.721559633027525</v>
      </c>
      <c r="T104" s="724">
        <v>31.332610508757298</v>
      </c>
    </row>
    <row r="105" spans="1:21" ht="27.95" customHeight="1" thickBot="1" x14ac:dyDescent="0.3">
      <c r="B105" s="819" t="s">
        <v>487</v>
      </c>
      <c r="C105" s="782" t="s">
        <v>583</v>
      </c>
      <c r="D105" s="782" t="s">
        <v>584</v>
      </c>
      <c r="E105" s="782"/>
      <c r="F105" s="782" t="s">
        <v>585</v>
      </c>
      <c r="G105" s="782" t="s">
        <v>565</v>
      </c>
      <c r="H105" s="782">
        <v>3</v>
      </c>
      <c r="I105" s="782">
        <v>118</v>
      </c>
      <c r="J105" s="821"/>
      <c r="K105" s="821">
        <v>483.79816513761466</v>
      </c>
      <c r="L105" s="821">
        <v>24.189908256880734</v>
      </c>
      <c r="M105" s="782">
        <v>30</v>
      </c>
      <c r="N105" s="822">
        <v>16.932935779816514</v>
      </c>
      <c r="O105" s="821">
        <v>0.3</v>
      </c>
      <c r="P105" s="729">
        <v>17.232935779816515</v>
      </c>
      <c r="Q105" s="786">
        <v>24.618479685452165</v>
      </c>
      <c r="R105" s="786">
        <v>26.512208892025406</v>
      </c>
      <c r="S105" s="786">
        <v>28.721559633027525</v>
      </c>
      <c r="T105" s="731">
        <v>31.332610508757298</v>
      </c>
    </row>
    <row r="106" spans="1:21" s="709" customFormat="1" ht="27.95" customHeight="1" x14ac:dyDescent="0.25">
      <c r="A106" s="694"/>
      <c r="B106" s="788" t="s">
        <v>487</v>
      </c>
      <c r="C106" s="789" t="s">
        <v>586</v>
      </c>
      <c r="D106" s="789" t="s">
        <v>587</v>
      </c>
      <c r="E106" s="789"/>
      <c r="F106" s="789" t="s">
        <v>588</v>
      </c>
      <c r="G106" s="789" t="s">
        <v>565</v>
      </c>
      <c r="H106" s="789">
        <v>3</v>
      </c>
      <c r="I106" s="789">
        <v>118</v>
      </c>
      <c r="J106" s="791"/>
      <c r="K106" s="791">
        <v>483.79816513761466</v>
      </c>
      <c r="L106" s="791">
        <v>24.189908256880734</v>
      </c>
      <c r="M106" s="789">
        <v>30</v>
      </c>
      <c r="N106" s="792">
        <v>16.932935779816514</v>
      </c>
      <c r="O106" s="791">
        <v>0.3</v>
      </c>
      <c r="P106" s="714">
        <v>17.232935779816515</v>
      </c>
      <c r="Q106" s="793">
        <v>24.618479685452165</v>
      </c>
      <c r="R106" s="793">
        <v>26.512208892025406</v>
      </c>
      <c r="S106" s="793">
        <v>28.721559633027525</v>
      </c>
      <c r="T106" s="733">
        <v>31.332610508757298</v>
      </c>
      <c r="U106" s="698"/>
    </row>
    <row r="107" spans="1:21" ht="27.95" customHeight="1" x14ac:dyDescent="0.25">
      <c r="B107" s="795" t="s">
        <v>487</v>
      </c>
      <c r="C107" s="796" t="s">
        <v>589</v>
      </c>
      <c r="D107" s="796" t="s">
        <v>590</v>
      </c>
      <c r="E107" s="796"/>
      <c r="F107" s="796" t="s">
        <v>472</v>
      </c>
      <c r="G107" s="796" t="s">
        <v>565</v>
      </c>
      <c r="H107" s="796">
        <v>3</v>
      </c>
      <c r="I107" s="796">
        <v>118</v>
      </c>
      <c r="J107" s="798"/>
      <c r="K107" s="798">
        <v>483.79816513761466</v>
      </c>
      <c r="L107" s="798">
        <v>24.189908256880734</v>
      </c>
      <c r="M107" s="796">
        <v>30</v>
      </c>
      <c r="N107" s="799">
        <v>16.932935779816514</v>
      </c>
      <c r="O107" s="798">
        <v>0.3</v>
      </c>
      <c r="P107" s="722">
        <v>17.232935779816515</v>
      </c>
      <c r="Q107" s="800">
        <v>24.618479685452165</v>
      </c>
      <c r="R107" s="800">
        <v>26.512208892025406</v>
      </c>
      <c r="S107" s="800">
        <v>28.721559633027525</v>
      </c>
      <c r="T107" s="724">
        <v>31.332610508757298</v>
      </c>
    </row>
    <row r="108" spans="1:21" ht="27.95" customHeight="1" x14ac:dyDescent="0.25">
      <c r="A108" s="695"/>
      <c r="B108" s="753" t="s">
        <v>362</v>
      </c>
      <c r="C108" s="754" t="s">
        <v>591</v>
      </c>
      <c r="D108" s="754" t="s">
        <v>592</v>
      </c>
      <c r="E108" s="755"/>
      <c r="F108" s="754"/>
      <c r="G108" s="754" t="s">
        <v>365</v>
      </c>
      <c r="H108" s="754">
        <v>3</v>
      </c>
      <c r="I108" s="754">
        <v>118</v>
      </c>
      <c r="J108" s="756">
        <v>278.87</v>
      </c>
      <c r="K108" s="756"/>
      <c r="L108" s="756"/>
      <c r="M108" s="754"/>
      <c r="N108" s="757"/>
      <c r="O108" s="756"/>
      <c r="P108" s="758"/>
      <c r="Q108" s="723"/>
      <c r="R108" s="723"/>
      <c r="S108" s="723"/>
      <c r="T108" s="724"/>
      <c r="U108" s="709"/>
    </row>
    <row r="109" spans="1:21" ht="27.95" customHeight="1" x14ac:dyDescent="0.25">
      <c r="B109" s="760" t="s">
        <v>362</v>
      </c>
      <c r="C109" s="755" t="s">
        <v>596</v>
      </c>
      <c r="D109" s="755" t="s">
        <v>597</v>
      </c>
      <c r="E109" s="755"/>
      <c r="F109" s="755" t="s">
        <v>598</v>
      </c>
      <c r="G109" s="755" t="s">
        <v>365</v>
      </c>
      <c r="H109" s="755">
        <v>3</v>
      </c>
      <c r="I109" s="755">
        <v>118</v>
      </c>
      <c r="J109" s="761"/>
      <c r="K109" s="761">
        <v>255.8440366972477</v>
      </c>
      <c r="L109" s="761">
        <v>12.792201834862386</v>
      </c>
      <c r="M109" s="755">
        <v>50</v>
      </c>
      <c r="N109" s="762">
        <v>8.9545412844036694</v>
      </c>
      <c r="O109" s="761">
        <v>0.18</v>
      </c>
      <c r="P109" s="722">
        <v>9.1345412844036691</v>
      </c>
      <c r="Q109" s="723">
        <v>13.049344692005242</v>
      </c>
      <c r="R109" s="723">
        <v>14.053140437544105</v>
      </c>
      <c r="S109" s="723">
        <v>15.224235474006116</v>
      </c>
      <c r="T109" s="724">
        <v>16.608256880733943</v>
      </c>
    </row>
    <row r="110" spans="1:21" ht="27.95" customHeight="1" x14ac:dyDescent="0.25">
      <c r="B110" s="760" t="s">
        <v>362</v>
      </c>
      <c r="C110" s="755" t="s">
        <v>599</v>
      </c>
      <c r="D110" s="755" t="s">
        <v>600</v>
      </c>
      <c r="E110" s="755"/>
      <c r="F110" s="755" t="s">
        <v>453</v>
      </c>
      <c r="G110" s="755" t="s">
        <v>365</v>
      </c>
      <c r="H110" s="755">
        <v>3</v>
      </c>
      <c r="I110" s="755">
        <v>118</v>
      </c>
      <c r="J110" s="761"/>
      <c r="K110" s="761">
        <v>255.8440366972477</v>
      </c>
      <c r="L110" s="761">
        <v>12.792201834862386</v>
      </c>
      <c r="M110" s="755">
        <v>50</v>
      </c>
      <c r="N110" s="762">
        <v>8.9545412844036694</v>
      </c>
      <c r="O110" s="761">
        <v>0.18</v>
      </c>
      <c r="P110" s="722">
        <v>9.1345412844036691</v>
      </c>
      <c r="Q110" s="723">
        <v>13.049344692005242</v>
      </c>
      <c r="R110" s="723">
        <v>14.053140437544105</v>
      </c>
      <c r="S110" s="723">
        <v>15.224235474006116</v>
      </c>
      <c r="T110" s="724">
        <v>16.608256880733943</v>
      </c>
    </row>
    <row r="111" spans="1:21" ht="27.95" customHeight="1" thickBot="1" x14ac:dyDescent="0.3">
      <c r="A111" s="695"/>
      <c r="B111" s="773" t="s">
        <v>487</v>
      </c>
      <c r="C111" s="774" t="s">
        <v>601</v>
      </c>
      <c r="D111" s="774" t="s">
        <v>602</v>
      </c>
      <c r="E111" s="764"/>
      <c r="F111" s="774"/>
      <c r="G111" s="775" t="s">
        <v>603</v>
      </c>
      <c r="H111" s="774">
        <v>2.8</v>
      </c>
      <c r="I111" s="774">
        <v>110</v>
      </c>
      <c r="J111" s="776">
        <v>396.36</v>
      </c>
      <c r="K111" s="776"/>
      <c r="L111" s="776"/>
      <c r="M111" s="774"/>
      <c r="N111" s="777"/>
      <c r="O111" s="776"/>
      <c r="P111" s="778"/>
      <c r="Q111" s="730"/>
      <c r="R111" s="730"/>
      <c r="S111" s="730"/>
      <c r="T111" s="731"/>
      <c r="U111" s="709"/>
    </row>
    <row r="112" spans="1:21" s="709" customFormat="1" ht="27.95" customHeight="1" x14ac:dyDescent="0.25">
      <c r="A112" s="694"/>
      <c r="B112" s="767" t="s">
        <v>487</v>
      </c>
      <c r="C112" s="768" t="s">
        <v>607</v>
      </c>
      <c r="D112" s="768" t="s">
        <v>608</v>
      </c>
      <c r="E112" s="768"/>
      <c r="F112" s="768" t="s">
        <v>609</v>
      </c>
      <c r="G112" s="779" t="s">
        <v>603</v>
      </c>
      <c r="H112" s="768">
        <v>2.8</v>
      </c>
      <c r="I112" s="768">
        <v>110</v>
      </c>
      <c r="J112" s="769"/>
      <c r="K112" s="769">
        <v>363.63302752293578</v>
      </c>
      <c r="L112" s="769">
        <v>18.181651376146789</v>
      </c>
      <c r="M112" s="768">
        <v>30</v>
      </c>
      <c r="N112" s="770">
        <v>12.727155963302753</v>
      </c>
      <c r="O112" s="769">
        <v>0.3</v>
      </c>
      <c r="P112" s="714">
        <v>13.027155963302754</v>
      </c>
      <c r="Q112" s="732">
        <v>18.610222804718219</v>
      </c>
      <c r="R112" s="732">
        <v>20.041778405081157</v>
      </c>
      <c r="S112" s="732">
        <v>21.711926605504591</v>
      </c>
      <c r="T112" s="733">
        <v>23.685738115095912</v>
      </c>
      <c r="U112" s="698"/>
    </row>
    <row r="113" spans="1:21" ht="27.95" customHeight="1" x14ac:dyDescent="0.25">
      <c r="B113" s="760" t="s">
        <v>487</v>
      </c>
      <c r="C113" s="755" t="s">
        <v>610</v>
      </c>
      <c r="D113" s="755" t="s">
        <v>611</v>
      </c>
      <c r="E113" s="755"/>
      <c r="F113" s="755" t="s">
        <v>612</v>
      </c>
      <c r="G113" s="772" t="s">
        <v>603</v>
      </c>
      <c r="H113" s="755">
        <v>2.8</v>
      </c>
      <c r="I113" s="755">
        <v>110</v>
      </c>
      <c r="J113" s="761"/>
      <c r="K113" s="761">
        <v>363.63302752293578</v>
      </c>
      <c r="L113" s="761">
        <v>18.181651376146789</v>
      </c>
      <c r="M113" s="755">
        <v>30</v>
      </c>
      <c r="N113" s="762">
        <v>12.727155963302753</v>
      </c>
      <c r="O113" s="761">
        <v>0.3</v>
      </c>
      <c r="P113" s="722">
        <v>13.027155963302754</v>
      </c>
      <c r="Q113" s="723">
        <v>18.610222804718219</v>
      </c>
      <c r="R113" s="723">
        <v>20.041778405081157</v>
      </c>
      <c r="S113" s="723">
        <v>21.711926605504591</v>
      </c>
      <c r="T113" s="724">
        <v>23.685738115095912</v>
      </c>
    </row>
    <row r="114" spans="1:21" ht="27.95" customHeight="1" thickBot="1" x14ac:dyDescent="0.3">
      <c r="B114" s="763" t="s">
        <v>487</v>
      </c>
      <c r="C114" s="764" t="s">
        <v>613</v>
      </c>
      <c r="D114" s="764" t="s">
        <v>614</v>
      </c>
      <c r="E114" s="764"/>
      <c r="F114" s="764" t="s">
        <v>615</v>
      </c>
      <c r="G114" s="802" t="s">
        <v>603</v>
      </c>
      <c r="H114" s="764">
        <v>2.8</v>
      </c>
      <c r="I114" s="764">
        <v>110</v>
      </c>
      <c r="J114" s="765"/>
      <c r="K114" s="765">
        <v>363.63302752293578</v>
      </c>
      <c r="L114" s="765">
        <v>18.181651376146789</v>
      </c>
      <c r="M114" s="764">
        <v>30</v>
      </c>
      <c r="N114" s="766">
        <v>12.727155963302753</v>
      </c>
      <c r="O114" s="765">
        <v>0.3</v>
      </c>
      <c r="P114" s="729">
        <v>13.027155963302754</v>
      </c>
      <c r="Q114" s="730">
        <v>18.610222804718219</v>
      </c>
      <c r="R114" s="730">
        <v>20.041778405081157</v>
      </c>
      <c r="S114" s="730">
        <v>21.711926605504591</v>
      </c>
      <c r="T114" s="731">
        <v>23.685738115095912</v>
      </c>
    </row>
    <row r="115" spans="1:21" s="709" customFormat="1" ht="27.95" customHeight="1" x14ac:dyDescent="0.25">
      <c r="A115" s="694"/>
      <c r="B115" s="767" t="s">
        <v>487</v>
      </c>
      <c r="C115" s="768" t="s">
        <v>616</v>
      </c>
      <c r="D115" s="768" t="s">
        <v>617</v>
      </c>
      <c r="E115" s="768"/>
      <c r="F115" s="768" t="s">
        <v>618</v>
      </c>
      <c r="G115" s="779" t="s">
        <v>603</v>
      </c>
      <c r="H115" s="768">
        <v>2.8</v>
      </c>
      <c r="I115" s="768">
        <v>110</v>
      </c>
      <c r="J115" s="769"/>
      <c r="K115" s="769">
        <v>363.63302752293578</v>
      </c>
      <c r="L115" s="769">
        <v>18.181651376146789</v>
      </c>
      <c r="M115" s="768">
        <v>30</v>
      </c>
      <c r="N115" s="770">
        <v>12.727155963302753</v>
      </c>
      <c r="O115" s="769">
        <v>0.3</v>
      </c>
      <c r="P115" s="714">
        <v>13.027155963302754</v>
      </c>
      <c r="Q115" s="732">
        <v>18.610222804718219</v>
      </c>
      <c r="R115" s="732">
        <v>20.041778405081157</v>
      </c>
      <c r="S115" s="732">
        <v>21.711926605504591</v>
      </c>
      <c r="T115" s="733">
        <v>23.685738115095912</v>
      </c>
      <c r="U115" s="698"/>
    </row>
    <row r="116" spans="1:21" ht="27.95" customHeight="1" x14ac:dyDescent="0.25">
      <c r="A116" s="695"/>
      <c r="B116" s="753" t="s">
        <v>362</v>
      </c>
      <c r="C116" s="754" t="s">
        <v>619</v>
      </c>
      <c r="D116" s="754" t="s">
        <v>620</v>
      </c>
      <c r="E116" s="755"/>
      <c r="F116" s="754"/>
      <c r="G116" s="754" t="s">
        <v>365</v>
      </c>
      <c r="H116" s="754">
        <v>3.05</v>
      </c>
      <c r="I116" s="754">
        <v>120</v>
      </c>
      <c r="J116" s="756">
        <v>180.36</v>
      </c>
      <c r="K116" s="756"/>
      <c r="L116" s="756"/>
      <c r="M116" s="754"/>
      <c r="N116" s="757"/>
      <c r="O116" s="756"/>
      <c r="P116" s="758"/>
      <c r="Q116" s="723"/>
      <c r="R116" s="723"/>
      <c r="S116" s="723"/>
      <c r="T116" s="724"/>
      <c r="U116" s="709"/>
    </row>
    <row r="117" spans="1:21" ht="27.95" customHeight="1" x14ac:dyDescent="0.25">
      <c r="B117" s="760" t="s">
        <v>362</v>
      </c>
      <c r="C117" s="755" t="s">
        <v>623</v>
      </c>
      <c r="D117" s="755" t="s">
        <v>624</v>
      </c>
      <c r="E117" s="755"/>
      <c r="F117" s="755" t="s">
        <v>413</v>
      </c>
      <c r="G117" s="755" t="s">
        <v>365</v>
      </c>
      <c r="H117" s="755">
        <v>3.05</v>
      </c>
      <c r="I117" s="755">
        <v>120</v>
      </c>
      <c r="J117" s="761"/>
      <c r="K117" s="761">
        <v>165.46788990825689</v>
      </c>
      <c r="L117" s="761">
        <v>8.2733944954128447</v>
      </c>
      <c r="M117" s="755">
        <v>50</v>
      </c>
      <c r="N117" s="762">
        <v>5.7913761467889913</v>
      </c>
      <c r="O117" s="761">
        <v>0.18</v>
      </c>
      <c r="P117" s="722">
        <v>5.971376146788991</v>
      </c>
      <c r="Q117" s="723">
        <v>8.5305373525557027</v>
      </c>
      <c r="R117" s="723">
        <v>9.1867325335215249</v>
      </c>
      <c r="S117" s="723">
        <v>9.9522935779816528</v>
      </c>
      <c r="T117" s="724">
        <v>10.857047539616346</v>
      </c>
    </row>
    <row r="118" spans="1:21" ht="27.95" customHeight="1" x14ac:dyDescent="0.25">
      <c r="A118" s="695"/>
      <c r="B118" s="753" t="s">
        <v>362</v>
      </c>
      <c r="C118" s="754" t="s">
        <v>625</v>
      </c>
      <c r="D118" s="754" t="s">
        <v>626</v>
      </c>
      <c r="E118" s="755"/>
      <c r="F118" s="754"/>
      <c r="G118" s="754" t="s">
        <v>365</v>
      </c>
      <c r="H118" s="754">
        <v>3.05</v>
      </c>
      <c r="I118" s="754">
        <v>120</v>
      </c>
      <c r="J118" s="756">
        <v>241.7</v>
      </c>
      <c r="K118" s="756"/>
      <c r="L118" s="756"/>
      <c r="M118" s="754"/>
      <c r="N118" s="757"/>
      <c r="O118" s="756"/>
      <c r="P118" s="758"/>
      <c r="Q118" s="723"/>
      <c r="R118" s="723"/>
      <c r="S118" s="723"/>
      <c r="T118" s="724"/>
      <c r="U118" s="709"/>
    </row>
    <row r="119" spans="1:21" ht="27.95" customHeight="1" thickBot="1" x14ac:dyDescent="0.3">
      <c r="B119" s="763" t="s">
        <v>362</v>
      </c>
      <c r="C119" s="764" t="s">
        <v>625</v>
      </c>
      <c r="D119" s="764" t="s">
        <v>628</v>
      </c>
      <c r="E119" s="764"/>
      <c r="F119" s="764" t="s">
        <v>460</v>
      </c>
      <c r="G119" s="764" t="s">
        <v>365</v>
      </c>
      <c r="H119" s="764">
        <v>3.05</v>
      </c>
      <c r="I119" s="764">
        <v>120</v>
      </c>
      <c r="J119" s="765"/>
      <c r="K119" s="765">
        <v>221.74311926605503</v>
      </c>
      <c r="L119" s="765">
        <v>11.087155963302752</v>
      </c>
      <c r="M119" s="764">
        <v>50</v>
      </c>
      <c r="N119" s="766">
        <v>7.7610091743119263</v>
      </c>
      <c r="O119" s="765">
        <v>0.18</v>
      </c>
      <c r="P119" s="729">
        <v>7.941009174311926</v>
      </c>
      <c r="Q119" s="730">
        <v>11.344298820445609</v>
      </c>
      <c r="R119" s="730">
        <v>12.216937191249116</v>
      </c>
      <c r="S119" s="730">
        <v>13.235015290519877</v>
      </c>
      <c r="T119" s="731">
        <v>14.438198498748955</v>
      </c>
    </row>
    <row r="120" spans="1:21" s="709" customFormat="1" ht="27.95" customHeight="1" x14ac:dyDescent="0.25">
      <c r="A120" s="694"/>
      <c r="B120" s="767" t="s">
        <v>362</v>
      </c>
      <c r="C120" s="768" t="s">
        <v>625</v>
      </c>
      <c r="D120" s="768" t="s">
        <v>629</v>
      </c>
      <c r="E120" s="768"/>
      <c r="F120" s="768" t="s">
        <v>416</v>
      </c>
      <c r="G120" s="768" t="s">
        <v>365</v>
      </c>
      <c r="H120" s="768">
        <v>3.05</v>
      </c>
      <c r="I120" s="768">
        <v>120</v>
      </c>
      <c r="J120" s="769"/>
      <c r="K120" s="769">
        <v>221.74311926605503</v>
      </c>
      <c r="L120" s="769">
        <v>11.087155963302752</v>
      </c>
      <c r="M120" s="768">
        <v>50</v>
      </c>
      <c r="N120" s="770">
        <v>7.7610091743119263</v>
      </c>
      <c r="O120" s="769">
        <v>0.18</v>
      </c>
      <c r="P120" s="714">
        <v>7.941009174311926</v>
      </c>
      <c r="Q120" s="732">
        <v>11.344298820445609</v>
      </c>
      <c r="R120" s="732">
        <v>12.216937191249116</v>
      </c>
      <c r="S120" s="732">
        <v>13.235015290519877</v>
      </c>
      <c r="T120" s="733">
        <v>14.438198498748955</v>
      </c>
      <c r="U120" s="698"/>
    </row>
    <row r="121" spans="1:21" ht="27.95" customHeight="1" x14ac:dyDescent="0.25">
      <c r="B121" s="760" t="s">
        <v>362</v>
      </c>
      <c r="C121" s="755" t="s">
        <v>625</v>
      </c>
      <c r="D121" s="755" t="s">
        <v>630</v>
      </c>
      <c r="E121" s="755"/>
      <c r="F121" s="755" t="s">
        <v>371</v>
      </c>
      <c r="G121" s="755" t="s">
        <v>365</v>
      </c>
      <c r="H121" s="755">
        <v>3.05</v>
      </c>
      <c r="I121" s="755">
        <v>120</v>
      </c>
      <c r="J121" s="761"/>
      <c r="K121" s="761">
        <v>221.74311926605503</v>
      </c>
      <c r="L121" s="761">
        <v>11.087155963302752</v>
      </c>
      <c r="M121" s="755">
        <v>50</v>
      </c>
      <c r="N121" s="762">
        <v>7.7610091743119263</v>
      </c>
      <c r="O121" s="761">
        <v>0.18</v>
      </c>
      <c r="P121" s="722">
        <v>7.941009174311926</v>
      </c>
      <c r="Q121" s="723">
        <v>11.344298820445609</v>
      </c>
      <c r="R121" s="723">
        <v>12.216937191249116</v>
      </c>
      <c r="S121" s="723">
        <v>13.235015290519877</v>
      </c>
      <c r="T121" s="724">
        <v>14.438198498748955</v>
      </c>
    </row>
    <row r="122" spans="1:21" ht="27.95" customHeight="1" x14ac:dyDescent="0.25">
      <c r="A122" s="695"/>
      <c r="B122" s="753" t="s">
        <v>362</v>
      </c>
      <c r="C122" s="754" t="s">
        <v>631</v>
      </c>
      <c r="D122" s="754" t="s">
        <v>632</v>
      </c>
      <c r="E122" s="755"/>
      <c r="F122" s="754"/>
      <c r="G122" s="754" t="s">
        <v>365</v>
      </c>
      <c r="H122" s="754">
        <v>3.05</v>
      </c>
      <c r="I122" s="754">
        <v>120</v>
      </c>
      <c r="J122" s="756">
        <v>212.11</v>
      </c>
      <c r="K122" s="756"/>
      <c r="L122" s="756"/>
      <c r="M122" s="754"/>
      <c r="N122" s="757"/>
      <c r="O122" s="756"/>
      <c r="P122" s="758"/>
      <c r="Q122" s="723"/>
      <c r="R122" s="723"/>
      <c r="S122" s="723"/>
      <c r="T122" s="724"/>
      <c r="U122" s="709"/>
    </row>
    <row r="123" spans="1:21" ht="27.95" customHeight="1" x14ac:dyDescent="0.25">
      <c r="B123" s="760" t="s">
        <v>362</v>
      </c>
      <c r="C123" s="755" t="s">
        <v>635</v>
      </c>
      <c r="D123" s="755" t="s">
        <v>636</v>
      </c>
      <c r="E123" s="755"/>
      <c r="F123" s="755" t="s">
        <v>436</v>
      </c>
      <c r="G123" s="755" t="s">
        <v>365</v>
      </c>
      <c r="H123" s="755">
        <v>3.05</v>
      </c>
      <c r="I123" s="755">
        <v>120</v>
      </c>
      <c r="J123" s="761"/>
      <c r="K123" s="761">
        <v>194.59633027522935</v>
      </c>
      <c r="L123" s="761">
        <v>9.7298165137614667</v>
      </c>
      <c r="M123" s="755">
        <v>50</v>
      </c>
      <c r="N123" s="762">
        <v>6.8108715596330258</v>
      </c>
      <c r="O123" s="761">
        <v>0.18</v>
      </c>
      <c r="P123" s="722">
        <v>6.9908715596330255</v>
      </c>
      <c r="Q123" s="723">
        <v>9.986959370904323</v>
      </c>
      <c r="R123" s="723">
        <v>10.75518701482004</v>
      </c>
      <c r="S123" s="723">
        <v>11.651452599388376</v>
      </c>
      <c r="T123" s="724">
        <v>12.710675562969136</v>
      </c>
    </row>
    <row r="124" spans="1:21" ht="27.95" customHeight="1" x14ac:dyDescent="0.25">
      <c r="B124" s="760" t="s">
        <v>362</v>
      </c>
      <c r="C124" s="755" t="s">
        <v>637</v>
      </c>
      <c r="D124" s="755" t="s">
        <v>638</v>
      </c>
      <c r="E124" s="755"/>
      <c r="F124" s="755" t="s">
        <v>416</v>
      </c>
      <c r="G124" s="755" t="s">
        <v>365</v>
      </c>
      <c r="H124" s="755">
        <v>3.05</v>
      </c>
      <c r="I124" s="755">
        <v>120</v>
      </c>
      <c r="J124" s="761"/>
      <c r="K124" s="761">
        <v>194.59633027522935</v>
      </c>
      <c r="L124" s="761">
        <v>9.7298165137614667</v>
      </c>
      <c r="M124" s="755">
        <v>50</v>
      </c>
      <c r="N124" s="762">
        <v>6.8108715596330258</v>
      </c>
      <c r="O124" s="761">
        <v>0.18</v>
      </c>
      <c r="P124" s="722">
        <v>6.9908715596330255</v>
      </c>
      <c r="Q124" s="723">
        <v>9.986959370904323</v>
      </c>
      <c r="R124" s="723">
        <v>10.75518701482004</v>
      </c>
      <c r="S124" s="723">
        <v>11.651452599388376</v>
      </c>
      <c r="T124" s="724">
        <v>12.710675562969136</v>
      </c>
    </row>
    <row r="125" spans="1:21" ht="27.95" customHeight="1" thickBot="1" x14ac:dyDescent="0.3">
      <c r="B125" s="763" t="s">
        <v>362</v>
      </c>
      <c r="C125" s="764" t="s">
        <v>639</v>
      </c>
      <c r="D125" s="764" t="s">
        <v>640</v>
      </c>
      <c r="E125" s="764"/>
      <c r="F125" s="764" t="s">
        <v>448</v>
      </c>
      <c r="G125" s="764" t="s">
        <v>365</v>
      </c>
      <c r="H125" s="764">
        <v>3.05</v>
      </c>
      <c r="I125" s="764">
        <v>120</v>
      </c>
      <c r="J125" s="765"/>
      <c r="K125" s="765">
        <v>194.59633027522935</v>
      </c>
      <c r="L125" s="765">
        <v>9.7298165137614667</v>
      </c>
      <c r="M125" s="764">
        <v>50</v>
      </c>
      <c r="N125" s="766">
        <v>6.8108715596330258</v>
      </c>
      <c r="O125" s="765">
        <v>0.18</v>
      </c>
      <c r="P125" s="729">
        <v>6.9908715596330255</v>
      </c>
      <c r="Q125" s="730">
        <v>9.986959370904323</v>
      </c>
      <c r="R125" s="730">
        <v>10.75518701482004</v>
      </c>
      <c r="S125" s="730">
        <v>11.651452599388376</v>
      </c>
      <c r="T125" s="731">
        <v>12.710675562969136</v>
      </c>
    </row>
    <row r="126" spans="1:21" s="709" customFormat="1" ht="27.95" customHeight="1" x14ac:dyDescent="0.25">
      <c r="A126" s="694"/>
      <c r="B126" s="767" t="s">
        <v>362</v>
      </c>
      <c r="C126" s="768" t="s">
        <v>641</v>
      </c>
      <c r="D126" s="768" t="s">
        <v>642</v>
      </c>
      <c r="E126" s="768"/>
      <c r="F126" s="768" t="s">
        <v>425</v>
      </c>
      <c r="G126" s="768" t="s">
        <v>365</v>
      </c>
      <c r="H126" s="768">
        <v>3.05</v>
      </c>
      <c r="I126" s="768">
        <v>120</v>
      </c>
      <c r="J126" s="769"/>
      <c r="K126" s="769">
        <v>194.59633027522935</v>
      </c>
      <c r="L126" s="769">
        <v>9.7298165137614667</v>
      </c>
      <c r="M126" s="768">
        <v>50</v>
      </c>
      <c r="N126" s="770">
        <v>6.8108715596330258</v>
      </c>
      <c r="O126" s="769">
        <v>0.18</v>
      </c>
      <c r="P126" s="714">
        <v>6.9908715596330255</v>
      </c>
      <c r="Q126" s="732">
        <v>9.986959370904323</v>
      </c>
      <c r="R126" s="732">
        <v>10.75518701482004</v>
      </c>
      <c r="S126" s="732">
        <v>11.651452599388376</v>
      </c>
      <c r="T126" s="733">
        <v>12.710675562969136</v>
      </c>
      <c r="U126" s="698"/>
    </row>
    <row r="127" spans="1:21" ht="27.95" customHeight="1" x14ac:dyDescent="0.25">
      <c r="A127" s="695"/>
      <c r="B127" s="753" t="s">
        <v>362</v>
      </c>
      <c r="C127" s="754" t="s">
        <v>643</v>
      </c>
      <c r="D127" s="754" t="s">
        <v>644</v>
      </c>
      <c r="E127" s="755"/>
      <c r="F127" s="754"/>
      <c r="G127" s="754" t="s">
        <v>645</v>
      </c>
      <c r="H127" s="754">
        <v>3.2</v>
      </c>
      <c r="I127" s="754">
        <v>126</v>
      </c>
      <c r="J127" s="756">
        <v>234.14</v>
      </c>
      <c r="K127" s="756"/>
      <c r="L127" s="756"/>
      <c r="M127" s="754"/>
      <c r="N127" s="757"/>
      <c r="O127" s="756"/>
      <c r="P127" s="758"/>
      <c r="Q127" s="723"/>
      <c r="R127" s="723"/>
      <c r="S127" s="723"/>
      <c r="T127" s="724"/>
      <c r="U127" s="709"/>
    </row>
    <row r="128" spans="1:21" ht="27.95" customHeight="1" x14ac:dyDescent="0.25">
      <c r="B128" s="760" t="s">
        <v>362</v>
      </c>
      <c r="C128" s="755" t="s">
        <v>648</v>
      </c>
      <c r="D128" s="755" t="s">
        <v>649</v>
      </c>
      <c r="E128" s="755"/>
      <c r="F128" s="755" t="s">
        <v>650</v>
      </c>
      <c r="G128" s="755" t="s">
        <v>645</v>
      </c>
      <c r="H128" s="755">
        <v>3.2</v>
      </c>
      <c r="I128" s="755">
        <v>126</v>
      </c>
      <c r="J128" s="761"/>
      <c r="K128" s="761">
        <v>214.80733944954125</v>
      </c>
      <c r="L128" s="761">
        <v>10.740366972477062</v>
      </c>
      <c r="M128" s="755">
        <v>50</v>
      </c>
      <c r="N128" s="762">
        <v>7.5182568807339427</v>
      </c>
      <c r="O128" s="761">
        <v>0.18</v>
      </c>
      <c r="P128" s="722">
        <v>7.6982568807339424</v>
      </c>
      <c r="Q128" s="723">
        <v>10.997509829619919</v>
      </c>
      <c r="R128" s="723">
        <v>11.843472124206064</v>
      </c>
      <c r="S128" s="723">
        <v>12.830428134556572</v>
      </c>
      <c r="T128" s="724">
        <v>13.996830692243531</v>
      </c>
    </row>
    <row r="129" spans="2:20" ht="27.95" customHeight="1" x14ac:dyDescent="0.25">
      <c r="B129" s="760" t="s">
        <v>362</v>
      </c>
      <c r="C129" s="755" t="s">
        <v>651</v>
      </c>
      <c r="D129" s="755" t="s">
        <v>652</v>
      </c>
      <c r="E129" s="755"/>
      <c r="F129" s="755" t="s">
        <v>445</v>
      </c>
      <c r="G129" s="755" t="s">
        <v>645</v>
      </c>
      <c r="H129" s="755">
        <v>3.2</v>
      </c>
      <c r="I129" s="755">
        <v>126</v>
      </c>
      <c r="J129" s="761"/>
      <c r="K129" s="761">
        <v>214.80733944954125</v>
      </c>
      <c r="L129" s="761">
        <v>10.740366972477062</v>
      </c>
      <c r="M129" s="755">
        <v>50</v>
      </c>
      <c r="N129" s="762">
        <v>7.5182568807339427</v>
      </c>
      <c r="O129" s="761">
        <v>0.18</v>
      </c>
      <c r="P129" s="722">
        <v>7.6982568807339424</v>
      </c>
      <c r="Q129" s="723">
        <v>10.997509829619919</v>
      </c>
      <c r="R129" s="723">
        <v>11.843472124206064</v>
      </c>
      <c r="S129" s="723">
        <v>12.830428134556572</v>
      </c>
      <c r="T129" s="724">
        <v>13.996830692243531</v>
      </c>
    </row>
    <row r="130" spans="2:20" ht="27.95" customHeight="1" thickBot="1" x14ac:dyDescent="0.3">
      <c r="B130" s="763" t="s">
        <v>362</v>
      </c>
      <c r="C130" s="764" t="s">
        <v>653</v>
      </c>
      <c r="D130" s="764" t="s">
        <v>654</v>
      </c>
      <c r="E130" s="764"/>
      <c r="F130" s="764" t="s">
        <v>618</v>
      </c>
      <c r="G130" s="764" t="s">
        <v>645</v>
      </c>
      <c r="H130" s="764">
        <v>3.2</v>
      </c>
      <c r="I130" s="764">
        <v>126</v>
      </c>
      <c r="J130" s="765"/>
      <c r="K130" s="765">
        <v>214.80733944954125</v>
      </c>
      <c r="L130" s="765">
        <v>10.740366972477062</v>
      </c>
      <c r="M130" s="764">
        <v>50</v>
      </c>
      <c r="N130" s="766">
        <v>7.5182568807339427</v>
      </c>
      <c r="O130" s="765">
        <v>0.18</v>
      </c>
      <c r="P130" s="729">
        <v>7.6982568807339424</v>
      </c>
      <c r="Q130" s="730">
        <v>10.997509829619919</v>
      </c>
      <c r="R130" s="730">
        <v>11.843472124206064</v>
      </c>
      <c r="S130" s="730">
        <v>12.830428134556572</v>
      </c>
      <c r="T130" s="731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68" t="s">
        <v>17</v>
      </c>
      <c r="C4" s="974" t="s">
        <v>18</v>
      </c>
      <c r="D4" s="974"/>
      <c r="E4" s="974"/>
      <c r="F4" s="974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68"/>
      <c r="C5" s="974"/>
      <c r="D5" s="974"/>
      <c r="E5" s="974"/>
      <c r="F5" s="974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1" t="s">
        <v>97</v>
      </c>
      <c r="D17" s="972"/>
      <c r="E17" s="972"/>
      <c r="F17" s="972"/>
      <c r="G17" s="972"/>
      <c r="H17" s="972"/>
      <c r="I17" s="973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26.85</v>
      </c>
      <c r="D19" s="109" t="str">
        <f>'FILL QUOTE-CALCULATIONS'!BF16</f>
        <v/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 t="str">
        <f>'FILL QUOTE-CALCULATIONS'!AN15</f>
        <v>N/A</v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1" t="s">
        <v>98</v>
      </c>
      <c r="D27" s="972"/>
      <c r="E27" s="972"/>
      <c r="F27" s="972"/>
      <c r="G27" s="972"/>
      <c r="H27" s="972"/>
      <c r="I27" s="973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53.7</v>
      </c>
      <c r="D29" s="119" t="str">
        <f>E19</f>
        <v/>
      </c>
      <c r="E29" s="119" t="str">
        <f>E19</f>
        <v/>
      </c>
      <c r="F29" s="119" t="e">
        <f>D19*2</f>
        <v>#VALUE!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69" t="s">
        <v>91</v>
      </c>
      <c r="D38" s="970"/>
      <c r="F38" s="969" t="s">
        <v>92</v>
      </c>
      <c r="G38" s="970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68" t="s">
        <v>17</v>
      </c>
      <c r="C4" s="974" t="s">
        <v>106</v>
      </c>
      <c r="D4" s="974"/>
      <c r="E4" s="974"/>
      <c r="F4" s="974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68"/>
      <c r="C5" s="974"/>
      <c r="D5" s="974"/>
      <c r="E5" s="974"/>
      <c r="F5" s="974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1" t="s">
        <v>97</v>
      </c>
      <c r="D17" s="972"/>
      <c r="E17" s="972"/>
      <c r="F17" s="972"/>
      <c r="G17" s="972"/>
      <c r="H17" s="972"/>
      <c r="I17" s="973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 t="str">
        <f>'FILL QUOTE-CALCULATIONS'!AN15</f>
        <v>N/A</v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1" t="s">
        <v>98</v>
      </c>
      <c r="D27" s="972"/>
      <c r="E27" s="972"/>
      <c r="F27" s="972"/>
      <c r="G27" s="972"/>
      <c r="H27" s="972"/>
      <c r="I27" s="973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69" t="s">
        <v>91</v>
      </c>
      <c r="D38" s="970"/>
      <c r="F38" s="969" t="s">
        <v>92</v>
      </c>
      <c r="G38" s="970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75" t="s">
        <v>17</v>
      </c>
      <c r="C4" s="975"/>
      <c r="D4" s="976" t="s">
        <v>106</v>
      </c>
      <c r="E4" s="976"/>
      <c r="F4" s="976"/>
      <c r="G4" s="976"/>
      <c r="H4" s="976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75"/>
      <c r="C5" s="975"/>
      <c r="D5" s="976"/>
      <c r="E5" s="976"/>
      <c r="F5" s="976"/>
      <c r="G5" s="976"/>
      <c r="H5" s="976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77" t="s">
        <v>48</v>
      </c>
      <c r="E15" s="978"/>
      <c r="F15" s="978"/>
      <c r="G15" s="978"/>
      <c r="H15" s="978"/>
      <c r="I15" s="978"/>
      <c r="J15" s="978"/>
      <c r="K15" s="978"/>
      <c r="L15" s="978"/>
      <c r="M15" s="978"/>
      <c r="N15" s="978"/>
      <c r="O15" s="978"/>
      <c r="P15" s="978"/>
      <c r="Q15" s="979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0" t="s">
        <v>83</v>
      </c>
      <c r="C56" s="981"/>
      <c r="D56" s="981"/>
      <c r="E56" s="981"/>
      <c r="F56" s="981"/>
      <c r="G56" s="981"/>
      <c r="H56" s="981"/>
      <c r="I56" s="981"/>
      <c r="J56" s="981"/>
      <c r="K56" s="981"/>
      <c r="L56" s="981"/>
      <c r="M56" s="981"/>
      <c r="N56" s="981"/>
      <c r="O56" s="981"/>
      <c r="P56" s="981"/>
      <c r="Q56" s="981"/>
      <c r="R56" s="981"/>
      <c r="S56" s="981"/>
      <c r="T56" s="981"/>
      <c r="U56" s="981"/>
      <c r="V56" s="982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P1" zoomScaleNormal="100" workbookViewId="0">
      <pane ySplit="14" topLeftCell="A15" activePane="bottomLeft" state="frozen"/>
      <selection pane="bottomLeft" activeCell="AB3" sqref="AB3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756</v>
      </c>
      <c r="AD2" s="205"/>
      <c r="AF2" s="866" t="s">
        <v>104</v>
      </c>
      <c r="AG2" s="867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68" t="s">
        <v>5</v>
      </c>
      <c r="AG3" s="869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3" t="str">
        <f>IF(S4="INGLES","SALE TYPE:","TIPO DE VENTA:")</f>
        <v>SALE TYPE:</v>
      </c>
      <c r="L4" s="654" t="s">
        <v>723</v>
      </c>
      <c r="R4" s="208" t="str">
        <f>IF(S4="INGLES","LANGUAJE:","IDIOMA:")</f>
        <v>LANGUAJE:</v>
      </c>
      <c r="S4" s="209" t="s">
        <v>208</v>
      </c>
      <c r="T4" s="520"/>
      <c r="U4" s="520"/>
      <c r="V4" s="520"/>
      <c r="W4" s="520"/>
      <c r="X4" s="520"/>
      <c r="Y4" s="520"/>
      <c r="Z4" s="520"/>
      <c r="AA4" s="520"/>
      <c r="AB4" s="208" t="str">
        <f>IF(S4="INGLES","EXCHANGE RATE:","TIPO DE CAMBIO:")</f>
        <v>EXCHANGE RATE:</v>
      </c>
      <c r="AC4" s="210"/>
      <c r="AF4" s="868" t="s">
        <v>6</v>
      </c>
      <c r="AG4" s="869">
        <v>4</v>
      </c>
      <c r="AH4" s="870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68" t="s">
        <v>7</v>
      </c>
      <c r="AG5" s="869">
        <v>1.5</v>
      </c>
      <c r="AH5" s="870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753</v>
      </c>
      <c r="L6" s="214"/>
      <c r="O6" s="902" t="s">
        <v>755</v>
      </c>
      <c r="P6" s="214"/>
      <c r="Q6" s="214"/>
      <c r="R6" s="211"/>
      <c r="S6" s="213"/>
      <c r="T6" s="214"/>
      <c r="AC6" s="215"/>
      <c r="AF6" s="871" t="s">
        <v>157</v>
      </c>
      <c r="AG6" s="869">
        <v>3.5</v>
      </c>
      <c r="AH6" s="870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1" t="s">
        <v>158</v>
      </c>
      <c r="AG7" s="869">
        <v>6.5</v>
      </c>
      <c r="AH7" s="869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68" t="s">
        <v>159</v>
      </c>
      <c r="AG8" s="869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754</v>
      </c>
      <c r="L9" s="214"/>
      <c r="O9" s="902"/>
      <c r="P9" s="214"/>
      <c r="Q9" s="214"/>
      <c r="R9" s="211"/>
      <c r="S9" s="213" t="s">
        <v>749</v>
      </c>
      <c r="T9" s="214"/>
      <c r="AC9" s="221">
        <v>45980</v>
      </c>
      <c r="AF9" s="872" t="s">
        <v>160</v>
      </c>
      <c r="AG9" s="873">
        <v>0.05</v>
      </c>
      <c r="AH9" s="868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68" t="s">
        <v>188</v>
      </c>
      <c r="AG10" s="869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67" t="s">
        <v>732</v>
      </c>
      <c r="V11" s="667" t="s">
        <v>733</v>
      </c>
      <c r="W11" s="224"/>
      <c r="X11" s="667" t="s">
        <v>732</v>
      </c>
      <c r="Y11" s="667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09" t="str">
        <f>IF(S4="INGLES","DRAPERIES","CORTINAS")</f>
        <v>DRAPERIES</v>
      </c>
      <c r="C12" s="910"/>
      <c r="D12" s="910"/>
      <c r="E12" s="910"/>
      <c r="F12" s="910"/>
      <c r="G12" s="910"/>
      <c r="H12" s="910"/>
      <c r="I12" s="910"/>
      <c r="J12" s="910"/>
      <c r="K12" s="910"/>
      <c r="L12" s="910"/>
      <c r="M12" s="910"/>
      <c r="N12" s="910"/>
      <c r="O12" s="911"/>
      <c r="P12" s="909" t="str">
        <f>IF(S4="INGLES","HARDWARE","HERRAJE")</f>
        <v>HARDWARE</v>
      </c>
      <c r="Q12" s="910"/>
      <c r="R12" s="910"/>
      <c r="S12" s="911"/>
      <c r="T12" s="885" t="str">
        <f>B12</f>
        <v>DRAPERIES</v>
      </c>
      <c r="U12" s="525" t="str">
        <f>T12</f>
        <v>DRAPERIES</v>
      </c>
      <c r="V12" s="661" t="str">
        <f>T12</f>
        <v>DRAPERIES</v>
      </c>
      <c r="W12" s="886" t="str">
        <f>P12</f>
        <v>HARDWARE</v>
      </c>
      <c r="X12" s="187" t="str">
        <f>W12</f>
        <v>HARDWARE</v>
      </c>
      <c r="Y12" s="187" t="str">
        <f>W12</f>
        <v>HARDWARE</v>
      </c>
      <c r="Z12" s="525" t="s">
        <v>745</v>
      </c>
      <c r="AA12" s="525" t="str">
        <f>Z12</f>
        <v>DRAPES+HW</v>
      </c>
      <c r="AB12" s="914" t="str">
        <f>IF(S4="INGLES","TOTALS","TOTALES")</f>
        <v>TOTALS</v>
      </c>
      <c r="AC12" s="915"/>
      <c r="AD12" s="181"/>
      <c r="AE12" s="912" t="s">
        <v>256</v>
      </c>
      <c r="AF12" s="912"/>
      <c r="AG12" s="912"/>
      <c r="AH12" s="913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5" t="s">
        <v>258</v>
      </c>
      <c r="AS12" s="907"/>
      <c r="AT12" s="907"/>
      <c r="AU12" s="907"/>
      <c r="AV12" s="907"/>
      <c r="AW12" s="906"/>
      <c r="AX12" s="905" t="s">
        <v>189</v>
      </c>
      <c r="AY12" s="906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89"/>
      <c r="U13" s="655" t="s">
        <v>744</v>
      </c>
      <c r="V13" s="229" t="s">
        <v>744</v>
      </c>
      <c r="W13" s="887"/>
      <c r="X13" s="226" t="s">
        <v>744</v>
      </c>
      <c r="Y13" s="686" t="s">
        <v>744</v>
      </c>
      <c r="Z13" s="657" t="s">
        <v>727</v>
      </c>
      <c r="AA13" s="657" t="s">
        <v>727</v>
      </c>
      <c r="AB13" s="887"/>
      <c r="AC13" s="888"/>
      <c r="AD13" s="181"/>
      <c r="AE13" s="874"/>
      <c r="AF13" s="875">
        <f>AG9</f>
        <v>0.05</v>
      </c>
      <c r="AG13" s="876"/>
      <c r="AH13" s="876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0" t="str">
        <f>IF('FILL QUOTE-CALCULATIONS'!$S$4="INGLES","UNIT PRICE","PRECIO UNITARIO")</f>
        <v>UNIT PRICE</v>
      </c>
      <c r="U14" s="688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0" t="s">
        <v>723</v>
      </c>
      <c r="Y14" s="689" t="s">
        <v>731</v>
      </c>
      <c r="Z14" s="662" t="str">
        <f>IF('FILL QUOTE-CALCULATIONS'!$S$4="INGLES","UNIT PRICE.","PRECIO UNITARIO")</f>
        <v>UNIT PRICE.</v>
      </c>
      <c r="AA14" s="663" t="str">
        <f>IF('FILL QUOTE-CALCULATIONS'!$S$4="INGLES","EXTENDED PRICE","PRECIO EXTENDIDO")</f>
        <v>EXTENDED PRICE</v>
      </c>
      <c r="AB14" s="890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77" t="s">
        <v>228</v>
      </c>
      <c r="AF14" s="878" t="s">
        <v>229</v>
      </c>
      <c r="AG14" s="878" t="s">
        <v>230</v>
      </c>
      <c r="AH14" s="878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8</v>
      </c>
      <c r="D15" s="178" t="s">
        <v>142</v>
      </c>
      <c r="E15" s="179" t="s">
        <v>132</v>
      </c>
      <c r="F15" s="179" t="s">
        <v>116</v>
      </c>
      <c r="G15" s="668">
        <v>1.5</v>
      </c>
      <c r="H15" s="901" t="s">
        <v>187</v>
      </c>
      <c r="I15" s="901" t="s">
        <v>323</v>
      </c>
      <c r="J15" s="179" t="str">
        <f t="shared" ref="J15:J16" si="0">IF(OR(C15="",C15&lt;1),"",IF(H15="C.O.M.",CEILING(AQ15,0.5),""))</f>
        <v/>
      </c>
      <c r="K15" s="669" t="s">
        <v>750</v>
      </c>
      <c r="L15" s="179" t="s">
        <v>122</v>
      </c>
      <c r="M15" s="669" t="s">
        <v>751</v>
      </c>
      <c r="N15" s="670">
        <v>102</v>
      </c>
      <c r="O15" s="670">
        <v>56</v>
      </c>
      <c r="P15" s="197" t="s">
        <v>287</v>
      </c>
      <c r="Q15" s="178" t="s">
        <v>737</v>
      </c>
      <c r="R15" s="176" t="s">
        <v>289</v>
      </c>
      <c r="S15" s="179" t="s">
        <v>289</v>
      </c>
      <c r="T15" s="891">
        <f t="shared" ref="T15:T62" si="1">IF(E15="",0,IF(OR(C15&lt;1,C15=""),"",BF15))</f>
        <v>26.85</v>
      </c>
      <c r="U15" s="665">
        <v>0.4</v>
      </c>
      <c r="V15" s="666">
        <v>0.5</v>
      </c>
      <c r="W15" s="892">
        <f t="shared" ref="W15:W62" si="2">IF(OR(C15&lt;1,C15=""),"",BI15)</f>
        <v>67</v>
      </c>
      <c r="X15" s="691">
        <v>0.4</v>
      </c>
      <c r="Y15" s="687">
        <v>0.3</v>
      </c>
      <c r="Z15" s="664">
        <f>T15*IF($L$4="RESIDENCIAL",1-U15,1-V15)+W15*IF($L$4="RESIDENCIAL",1-X15,1-Y15)</f>
        <v>56.309999999999995</v>
      </c>
      <c r="AA15" s="656">
        <f>IF(E15="",0,IF(OR(C15&lt;1,C15=""),"",IF($S$3="PESOS",Z15*C15*$AC$4,Z15*C15)))</f>
        <v>450.47999999999996</v>
      </c>
      <c r="AB15" s="891">
        <f t="shared" ref="AB15:AB62" si="3">IF(E15="",0,IF(OR(C15&lt;1,C15=""),"",T15+W15))</f>
        <v>93.85</v>
      </c>
      <c r="AC15" s="892">
        <f>IF(E15="",0,IF(OR(C15&lt;1,C15=""),"",IF($S$3="PESOS",AB15*C15*$AC$4, AB15*C15)))</f>
        <v>750.8</v>
      </c>
      <c r="AD15" s="181"/>
      <c r="AE15" s="879">
        <f t="shared" ref="AE15:AE62" si="4">IF(C15="","",$AG$6+$AG$7+$AG$8)</f>
        <v>12.5</v>
      </c>
      <c r="AF15" s="879">
        <f t="shared" ref="AF15:AF62" si="5">IF(C15="","",N15*$AF$13)</f>
        <v>5.1000000000000005</v>
      </c>
      <c r="AG15" s="879">
        <f t="shared" ref="AG15:AG62" si="6">IF(C15="","",$AG$3*2+1)</f>
        <v>9</v>
      </c>
      <c r="AH15" s="880">
        <f t="shared" ref="AH15:AH62" si="7">IF(C15="","",$AG$4*2)</f>
        <v>8</v>
      </c>
      <c r="AI15" s="306">
        <f t="shared" ref="AI15:AI62" si="8">IF(C15="","",N15*G15+AE15+AF15)</f>
        <v>170.6</v>
      </c>
      <c r="AJ15" s="307">
        <f t="shared" ref="AJ15:AJ62" si="9">IF(C15="","",O15+AG15+AH15)</f>
        <v>73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RAILROAD</v>
      </c>
      <c r="AM15" s="308">
        <f t="shared" ref="AM15:AM62" si="12">IF(C15="","",AI15/AK15)</f>
        <v>1.4457627118644067</v>
      </c>
      <c r="AN15" s="309" t="str">
        <f t="shared" ref="AN15:AN62" si="13">IF(C15="","",IF(AL15="RAILROAD","N/A",IF(AK15&lt;60,CEILING(AM15,0.5),CEILING(AM15,0.25))))</f>
        <v>N/A</v>
      </c>
      <c r="AO15" s="309">
        <f t="shared" ref="AO15:AO62" si="14">IF(C15="","",IF(AL15="VERTICAL",AN15*AK15/54,CEILING(AI15/54,0.5)))</f>
        <v>3.5</v>
      </c>
      <c r="AP15" s="308">
        <f t="shared" ref="AP15:AP62" si="15">IF(C15="","",IF(AL15="VERTICAL",CEILING(AN15*AJ15/36/0.93,0.25),CEILING(AI15/36/0.93,0.25)))</f>
        <v>5.25</v>
      </c>
      <c r="AQ15" s="310">
        <f t="shared" ref="AQ15:AQ62" si="16">IF(C15="","",AP15*C15)</f>
        <v>42</v>
      </c>
      <c r="AR15" s="306">
        <f t="shared" ref="AR15:AR62" si="17">IF(C15="","",CEILING(AI15,1))</f>
        <v>171</v>
      </c>
      <c r="AS15" s="308">
        <f t="shared" ref="AS15:AS62" si="18">IF(C15="","",O15+(2*$AG$3)+2+1)</f>
        <v>67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6.5</v>
      </c>
      <c r="AW15" s="310">
        <f t="shared" ref="AW15:AW62" si="22">IF(C15="","",AV15*C15)</f>
        <v>52</v>
      </c>
      <c r="AX15" s="311">
        <f t="shared" ref="AX15:AX62" si="23">IF(C15="","",N15/12/(1-$AX$13))</f>
        <v>9.2391304347826075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31.8</v>
      </c>
      <c r="BA15" s="313">
        <f t="shared" ref="BA15:BA62" si="25">IF(C15="","",AP15*AZ15)</f>
        <v>166.95000000000002</v>
      </c>
      <c r="BB15" s="314">
        <f>IF(C15="","",IF(L15="N/A",0,VLOOKUP(L15,'COST - SELL'!$B$60:$I$63,8,0)))-26</f>
        <v>-26</v>
      </c>
      <c r="BC15" s="313">
        <f t="shared" ref="BC15:BC62" si="26">IF(C15="","",IF(BB15=0,0,BB15*AV15))</f>
        <v>-169</v>
      </c>
      <c r="BD15" s="315">
        <f>IF(C15="","",IF(H15="C.O.M.",VLOOKUP(F15,'COST - SELL'!$J$11:$N$19,5,0),VLOOKUP(F15,'COST - SELL'!$B$11:$H$19,7,0)))-8</f>
        <v>8.25</v>
      </c>
      <c r="BE15" s="315">
        <f t="shared" ref="BE15:BE62" si="27">IF(C15="","",BD15*AO15)</f>
        <v>28.875</v>
      </c>
      <c r="BF15" s="313">
        <f>IF(C15="","",CEILING(BA15+BC15+BE15,0.05))</f>
        <v>26.85</v>
      </c>
      <c r="BG15" s="316">
        <f>IF(C15="","",IF(Q15="N/A",0,VLOOKUP(Q15,'COST - SELL'!$B$80:$I$91,8,0)*'FILL QUOTE-CALCULATIONS'!AX15))/2</f>
        <v>57.744565217391298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67</v>
      </c>
      <c r="BJ15" s="316">
        <f t="shared" ref="BJ15:BJ62" si="29">IF(C15="","",BF15+BI15)</f>
        <v>93.85</v>
      </c>
      <c r="BL15" s="222">
        <f>BG15/AX15</f>
        <v>6.25</v>
      </c>
      <c r="BM15" s="222"/>
      <c r="BN15" s="222"/>
    </row>
    <row r="16" spans="2:70" x14ac:dyDescent="0.25">
      <c r="B16" s="231">
        <f>1+B15</f>
        <v>2</v>
      </c>
      <c r="C16" s="180"/>
      <c r="D16" s="178"/>
      <c r="E16" s="179"/>
      <c r="F16" s="179"/>
      <c r="G16" s="668"/>
      <c r="H16" s="901"/>
      <c r="I16" s="901"/>
      <c r="J16" s="179"/>
      <c r="K16" s="669"/>
      <c r="L16" s="179"/>
      <c r="M16" s="669"/>
      <c r="N16" s="670"/>
      <c r="O16" s="670"/>
      <c r="P16" s="197"/>
      <c r="Q16" s="178"/>
      <c r="R16" s="176"/>
      <c r="S16" s="179"/>
      <c r="T16" s="891">
        <f t="shared" si="1"/>
        <v>0</v>
      </c>
      <c r="U16" s="665">
        <v>0.4</v>
      </c>
      <c r="V16" s="666">
        <v>0.5</v>
      </c>
      <c r="W16" s="892" t="str">
        <f t="shared" si="2"/>
        <v/>
      </c>
      <c r="X16" s="691">
        <v>0.4</v>
      </c>
      <c r="Y16" s="687">
        <v>0.3</v>
      </c>
      <c r="Z16" s="664">
        <f>IF(E16="",0,T16*IF($L$4="RESIDENCIAL",1-U16,1-V16)+W16*IF($L$4="RESIDENCIAL",1-X16,1-Y16))</f>
        <v>0</v>
      </c>
      <c r="AA16" s="656">
        <f>IF(E16="",0,IF(OR(C16&lt;1,C16=""),"",IF($S$3="PESOS",Z16*C16*$AC$4, Z16*C16)))</f>
        <v>0</v>
      </c>
      <c r="AB16" s="891">
        <f t="shared" si="3"/>
        <v>0</v>
      </c>
      <c r="AC16" s="892">
        <f>IF(E16="",0,IF(OR(C16&lt;1,C16=""),"",IF($S$3="PESOS",AB16*C16*$AC$4, AB16*C16)))</f>
        <v>0</v>
      </c>
      <c r="AD16" s="181"/>
      <c r="AE16" s="879" t="str">
        <f t="shared" si="4"/>
        <v/>
      </c>
      <c r="AF16" s="879" t="str">
        <f t="shared" si="5"/>
        <v/>
      </c>
      <c r="AG16" s="879" t="str">
        <f t="shared" si="6"/>
        <v/>
      </c>
      <c r="AH16" s="880" t="str">
        <f t="shared" si="7"/>
        <v/>
      </c>
      <c r="AI16" s="317" t="str">
        <f t="shared" si="8"/>
        <v/>
      </c>
      <c r="AJ16" s="304" t="str">
        <f t="shared" si="9"/>
        <v/>
      </c>
      <c r="AK16" s="304" t="str">
        <f t="shared" si="10"/>
        <v/>
      </c>
      <c r="AL16" s="318" t="str">
        <f t="shared" si="11"/>
        <v/>
      </c>
      <c r="AM16" s="318" t="str">
        <f t="shared" si="12"/>
        <v/>
      </c>
      <c r="AN16" s="319" t="str">
        <f t="shared" si="13"/>
        <v/>
      </c>
      <c r="AO16" s="319" t="str">
        <f t="shared" si="14"/>
        <v/>
      </c>
      <c r="AP16" s="318" t="str">
        <f t="shared" si="15"/>
        <v/>
      </c>
      <c r="AQ16" s="320" t="str">
        <f t="shared" si="16"/>
        <v/>
      </c>
      <c r="AR16" s="306" t="str">
        <f t="shared" si="17"/>
        <v/>
      </c>
      <c r="AS16" s="308" t="str">
        <f t="shared" si="18"/>
        <v/>
      </c>
      <c r="AT16" s="308" t="str">
        <f t="shared" si="19"/>
        <v/>
      </c>
      <c r="AU16" s="308" t="str">
        <f t="shared" si="20"/>
        <v/>
      </c>
      <c r="AV16" s="308" t="str">
        <f t="shared" si="21"/>
        <v/>
      </c>
      <c r="AW16" s="310" t="str">
        <f t="shared" si="22"/>
        <v/>
      </c>
      <c r="AX16" s="321" t="str">
        <f t="shared" si="23"/>
        <v/>
      </c>
      <c r="AY16" s="308" t="str">
        <f t="shared" si="24"/>
        <v/>
      </c>
      <c r="AZ16" s="312" t="str">
        <f>IF(C16="","",IF(H16="STOCK",VLOOKUP(I16,'COST - SELL'!$B$26:$G$29,6,0),IF(H16="LINE-ATELIER",VLOOKUP(I16,'COST - SELL'!$J$26:$Q$29,8,0),IF(H16="LINE-VTLUX",VLOOKUP(I16,'COST - SELL'!$B$36:$I$51,8,0),0))))</f>
        <v/>
      </c>
      <c r="BA16" s="313" t="str">
        <f t="shared" si="25"/>
        <v/>
      </c>
      <c r="BB16" s="314" t="str">
        <f>IF(C16="","",IF(L16="N/A",0,VLOOKUP(L16,'COST - SELL'!$B$60:$I$63,8,0)))</f>
        <v/>
      </c>
      <c r="BC16" s="313" t="str">
        <f t="shared" si="26"/>
        <v/>
      </c>
      <c r="BD16" s="315" t="e">
        <f>IF(C16="","",IF(H16="C.O.M.",VLOOKUP(F16,'COST - SELL'!$J$11:$N$19,5,0),VLOOKUP(F16,'COST - SELL'!$B$11:$H$19,7,0)))-7</f>
        <v>#VALUE!</v>
      </c>
      <c r="BE16" s="315" t="str">
        <f t="shared" si="27"/>
        <v/>
      </c>
      <c r="BF16" s="313" t="str">
        <f t="shared" ref="BF16:BF62" si="30">IF(C16="","",CEILING(BA16+BC16+BE16,0.05))</f>
        <v/>
      </c>
      <c r="BG16" s="316" t="e">
        <f>IF(C16="","",IF(Q16="N/A",0,VLOOKUP(Q16,'COST - SELL'!$B$80:$I$91,8,0)*'FILL QUOTE-CALCULATIONS'!AX16))/2</f>
        <v>#VALUE!</v>
      </c>
      <c r="BH16" s="316" t="str">
        <f>IF(C16="","",IF(S16="N/A",0,IF(AY16="N/A",0,INDEX('COST - SELL'!$O$70:$S$73,MATCH('FILL QUOTE-CALCULATIONS'!S16,'COST - SELL'!$O$70:$O$73,0),MATCH('FILL QUOTE-CALCULATIONS'!AY16,'COST - SELL'!$O$70:$S$70,0)))))</f>
        <v/>
      </c>
      <c r="BI16" s="316" t="str">
        <f t="shared" si="28"/>
        <v/>
      </c>
      <c r="BJ16" s="316" t="str">
        <f t="shared" si="29"/>
        <v/>
      </c>
    </row>
    <row r="17" spans="2:62" x14ac:dyDescent="0.25">
      <c r="B17" s="231">
        <f>1+B16</f>
        <v>3</v>
      </c>
      <c r="C17" s="180"/>
      <c r="D17" s="178"/>
      <c r="E17" s="179"/>
      <c r="F17" s="179"/>
      <c r="G17" s="668"/>
      <c r="H17" s="901"/>
      <c r="I17" s="901"/>
      <c r="J17" s="179"/>
      <c r="K17" s="669"/>
      <c r="L17" s="179"/>
      <c r="M17" s="669"/>
      <c r="N17" s="670"/>
      <c r="O17" s="670"/>
      <c r="P17" s="197"/>
      <c r="Q17" s="178"/>
      <c r="R17" s="176"/>
      <c r="S17" s="179"/>
      <c r="T17" s="891">
        <f t="shared" ref="T17" si="31">IF(E17="",0,IF(OR(C17&lt;1,C17=""),"",BF17))</f>
        <v>0</v>
      </c>
      <c r="U17" s="665">
        <v>0.4</v>
      </c>
      <c r="V17" s="666">
        <v>0.5</v>
      </c>
      <c r="W17" s="892" t="str">
        <f t="shared" ref="W17" si="32">IF(OR(C17&lt;1,C17=""),"",BI17)</f>
        <v/>
      </c>
      <c r="X17" s="691">
        <v>0.4</v>
      </c>
      <c r="Y17" s="687">
        <v>0.3</v>
      </c>
      <c r="Z17" s="664">
        <f>IF(E17="",0,T17*IF($L$4="RESIDENCIAL",1-U17,1-V17)+W17*IF($L$4="RESIDENCIAL",1-X17,1-Y17))</f>
        <v>0</v>
      </c>
      <c r="AA17" s="656">
        <f>IF(E17="",0,IF(OR(C17&lt;1,C17=""),"",IF($S$3="PESOS",Z17*C17*$AC$4, Z17*C17)))</f>
        <v>0</v>
      </c>
      <c r="AB17" s="891">
        <f t="shared" ref="AB17" si="33">IF(E17="",0,IF(OR(C17&lt;1,C17=""),"",T17+W17))</f>
        <v>0</v>
      </c>
      <c r="AC17" s="892">
        <f>IF(E17="",0,IF(OR(C17&lt;1,C17=""),"",IF($S$3="PESOS",AB17*C17*$AC$4, AB17*C17)))</f>
        <v>0</v>
      </c>
      <c r="AD17" s="181"/>
      <c r="AE17" s="879" t="str">
        <f t="shared" ref="AE17" si="34">IF(C17="","",$AG$6+$AG$7+$AG$8)</f>
        <v/>
      </c>
      <c r="AF17" s="879" t="str">
        <f t="shared" ref="AF17" si="35">IF(C17="","",N17*$AF$13)</f>
        <v/>
      </c>
      <c r="AG17" s="879" t="str">
        <f t="shared" ref="AG17" si="36">IF(C17="","",$AG$3*2+1)</f>
        <v/>
      </c>
      <c r="AH17" s="880" t="str">
        <f t="shared" ref="AH17" si="37">IF(C17="","",$AG$4*2)</f>
        <v/>
      </c>
      <c r="AI17" s="317" t="str">
        <f t="shared" ref="AI17" si="38">IF(C17="","",N17*G17+AE17+AF17)</f>
        <v/>
      </c>
      <c r="AJ17" s="304" t="str">
        <f t="shared" ref="AJ17" si="39">IF(C17="","",O17+AG17+AH17)</f>
        <v/>
      </c>
      <c r="AK17" s="304" t="str">
        <f t="shared" ref="AK17" si="40">IF(C17="","",IF(OR(F17="SHEER",F17="STAT. SHEER"),118,54))</f>
        <v/>
      </c>
      <c r="AL17" s="318" t="str">
        <f t="shared" ref="AL17" si="41">IF(C17="","",IF(AK17&lt;65,"VERTICAL",IF(AJ17&gt;AK17,"VERTICAL","RAILROAD")))</f>
        <v/>
      </c>
      <c r="AM17" s="318" t="str">
        <f t="shared" ref="AM17" si="42">IF(C17="","",AI17/AK17)</f>
        <v/>
      </c>
      <c r="AN17" s="319" t="str">
        <f t="shared" ref="AN17" si="43">IF(C17="","",IF(AL17="RAILROAD","N/A",IF(AK17&lt;60,CEILING(AM17,0.5),CEILING(AM17,0.25))))</f>
        <v/>
      </c>
      <c r="AO17" s="319" t="str">
        <f t="shared" ref="AO17" si="44">IF(C17="","",IF(AL17="VERTICAL",AN17*AK17/54,CEILING(AI17/54,0.5)))</f>
        <v/>
      </c>
      <c r="AP17" s="318" t="str">
        <f t="shared" ref="AP17" si="45">IF(C17="","",IF(AL17="VERTICAL",CEILING(AN17*AJ17/36/0.93,0.25),CEILING(AI17/36/0.93,0.25)))</f>
        <v/>
      </c>
      <c r="AQ17" s="320" t="str">
        <f t="shared" ref="AQ17" si="46">IF(C17="","",AP17*C17)</f>
        <v/>
      </c>
      <c r="AR17" s="306" t="str">
        <f t="shared" ref="AR17" si="47">IF(C17="","",CEILING(AI17,1))</f>
        <v/>
      </c>
      <c r="AS17" s="308" t="str">
        <f t="shared" ref="AS17" si="48">IF(C17="","",O17+(2*$AG$3)+2+1)</f>
        <v/>
      </c>
      <c r="AT17" s="308" t="str">
        <f t="shared" ref="AT17" si="49">IF(C17="","",IF(OR(L17="3-PASS WW",L17="3-PASS IV-EC"),110,54))</f>
        <v/>
      </c>
      <c r="AU17" s="308" t="str">
        <f t="shared" ref="AU17" si="50">IF(C17="","",IF(AT17&gt;AS17,"RAILROAD","VERTICAL"))</f>
        <v/>
      </c>
      <c r="AV17" s="308" t="str">
        <f t="shared" ref="AV17" si="51">IF(C17="","",IF(AU17="RAILROAD",CEILING(AR17/36/0.94,0.1),CEILING(CEILING(AR17/AT17,0.25)*AS17/36/0.94,0.1)))</f>
        <v/>
      </c>
      <c r="AW17" s="310" t="str">
        <f t="shared" ref="AW17" si="52">IF(C17="","",AV17*C17)</f>
        <v/>
      </c>
      <c r="AX17" s="321" t="str">
        <f t="shared" ref="AX17" si="53">IF(C17="","",N17/12/(1-$AX$13))</f>
        <v/>
      </c>
      <c r="AY17" s="308" t="str">
        <f t="shared" ref="AY17" si="54">IF(C17="","",IF(S17="N/A","N/A",IF(O17&lt;100.01,36,IF(O17&gt;136.01,"N/A",IF(AND(O17&gt;100.011,O17&lt;112.01),48,IF(AND(O17&gt;112.011,O17&lt;124.01),60,72))))))</f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ref="BA17" si="55">IF(C17="","",AP17*AZ17)</f>
        <v/>
      </c>
      <c r="BB17" s="314" t="str">
        <f>IF(C17="","",IF(L17="N/A",0,VLOOKUP(L17,'COST - SELL'!$B$60:$I$63,8,0)))</f>
        <v/>
      </c>
      <c r="BC17" s="313" t="str">
        <f t="shared" ref="BC17" si="56">IF(C17="","",IF(BB17=0,0,BB17*AV17))</f>
        <v/>
      </c>
      <c r="BD17" s="315" t="e">
        <f>IF(C17="","",IF(H17="C.O.M.",VLOOKUP(F17,'COST - SELL'!$J$11:$N$19,5,0),VLOOKUP(F17,'COST - SELL'!$B$11:$H$19,7,0)))-7</f>
        <v>#VALUE!</v>
      </c>
      <c r="BE17" s="315" t="str">
        <f t="shared" ref="BE17" si="57">IF(C17="","",BD17*AO17)</f>
        <v/>
      </c>
      <c r="BF17" s="313" t="str">
        <f t="shared" ref="BF17" si="58">IF(C17="","",CEILING(BA17+BC17+BE17,0.05))</f>
        <v/>
      </c>
      <c r="BG17" s="316" t="e">
        <f>IF(C17="","",IF(Q17="N/A",0,VLOOKUP(Q17,'COST - SELL'!$B$80:$I$91,8,0)*'FILL QUOTE-CALCULATIONS'!AX17))/2</f>
        <v>#VALUE!</v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ref="BI17" si="59">IF(C17="","",CEILING(BG17+BH17,0.05))</f>
        <v/>
      </c>
      <c r="BJ17" s="316" t="str">
        <f t="shared" ref="BJ17" si="60">IF(C17="","",BF17+BI17)</f>
        <v/>
      </c>
    </row>
    <row r="18" spans="2:62" x14ac:dyDescent="0.25">
      <c r="B18" s="231">
        <f t="shared" ref="B18:B62" si="61">1+B17</f>
        <v>4</v>
      </c>
      <c r="C18" s="180"/>
      <c r="D18" s="178"/>
      <c r="E18" s="179"/>
      <c r="F18" s="179"/>
      <c r="G18" s="668"/>
      <c r="H18" s="901"/>
      <c r="I18" s="901"/>
      <c r="J18" s="179"/>
      <c r="K18" s="669"/>
      <c r="L18" s="179"/>
      <c r="M18" s="669"/>
      <c r="N18" s="670"/>
      <c r="O18" s="670"/>
      <c r="P18" s="197"/>
      <c r="Q18" s="178"/>
      <c r="R18" s="176"/>
      <c r="S18" s="179"/>
      <c r="T18" s="891">
        <f t="shared" si="1"/>
        <v>0</v>
      </c>
      <c r="U18" s="665">
        <v>0.4</v>
      </c>
      <c r="V18" s="666">
        <v>0.5</v>
      </c>
      <c r="W18" s="892" t="str">
        <f t="shared" si="2"/>
        <v/>
      </c>
      <c r="X18" s="691">
        <v>0.4</v>
      </c>
      <c r="Y18" s="687">
        <v>0.3</v>
      </c>
      <c r="Z18" s="664">
        <f t="shared" ref="Z18:Z62" si="62">IF(E18="",0,T18*IF($L$4="RESIDENCIAL",1-U18,1-V18)+W18*IF($L$4="RESIDENCIAL",1-X18,1-Y18))</f>
        <v>0</v>
      </c>
      <c r="AA18" s="656">
        <f t="shared" ref="AA18:AA62" si="63">IF(E18="",0,IF(OR(C18&lt;1,C18=""),"",IF($S$3="PESOS",Z18*C18*$AC$4, Z18*C18)))</f>
        <v>0</v>
      </c>
      <c r="AB18" s="891">
        <f t="shared" si="3"/>
        <v>0</v>
      </c>
      <c r="AC18" s="892">
        <f t="shared" ref="AC18:AC62" si="64">IF(E18="",0,IF(OR(C18&lt;1,C18=""),"",IF($S$3="PESOS",AB18*C18*$AC$4, AB18*C18)))</f>
        <v>0</v>
      </c>
      <c r="AD18" s="181"/>
      <c r="AE18" s="879" t="str">
        <f t="shared" si="4"/>
        <v/>
      </c>
      <c r="AF18" s="879" t="str">
        <f t="shared" si="5"/>
        <v/>
      </c>
      <c r="AG18" s="879" t="str">
        <f t="shared" si="6"/>
        <v/>
      </c>
      <c r="AH18" s="880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61"/>
        <v>5</v>
      </c>
      <c r="C19" s="180"/>
      <c r="D19" s="178"/>
      <c r="E19" s="179"/>
      <c r="F19" s="179"/>
      <c r="G19" s="668"/>
      <c r="H19" s="901"/>
      <c r="I19" s="901"/>
      <c r="J19" s="179"/>
      <c r="K19" s="669"/>
      <c r="L19" s="179"/>
      <c r="M19" s="669"/>
      <c r="N19" s="670"/>
      <c r="O19" s="670"/>
      <c r="P19" s="197"/>
      <c r="Q19" s="178"/>
      <c r="R19" s="176"/>
      <c r="S19" s="179"/>
      <c r="T19" s="891">
        <f t="shared" si="1"/>
        <v>0</v>
      </c>
      <c r="U19" s="665">
        <v>0.4</v>
      </c>
      <c r="V19" s="666">
        <v>0.5</v>
      </c>
      <c r="W19" s="892" t="str">
        <f t="shared" si="2"/>
        <v/>
      </c>
      <c r="X19" s="691">
        <v>0.4</v>
      </c>
      <c r="Y19" s="687">
        <v>0.3</v>
      </c>
      <c r="Z19" s="664">
        <f t="shared" si="62"/>
        <v>0</v>
      </c>
      <c r="AA19" s="656">
        <f t="shared" si="63"/>
        <v>0</v>
      </c>
      <c r="AB19" s="891">
        <f t="shared" si="3"/>
        <v>0</v>
      </c>
      <c r="AC19" s="892">
        <f t="shared" si="64"/>
        <v>0</v>
      </c>
      <c r="AD19" s="181"/>
      <c r="AE19" s="879" t="str">
        <f t="shared" si="4"/>
        <v/>
      </c>
      <c r="AF19" s="879" t="str">
        <f t="shared" si="5"/>
        <v/>
      </c>
      <c r="AG19" s="879" t="str">
        <f t="shared" si="6"/>
        <v/>
      </c>
      <c r="AH19" s="880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61"/>
        <v>6</v>
      </c>
      <c r="C20" s="180"/>
      <c r="D20" s="178"/>
      <c r="E20" s="179"/>
      <c r="F20" s="179"/>
      <c r="G20" s="668"/>
      <c r="H20" s="901"/>
      <c r="I20" s="901"/>
      <c r="J20" s="179"/>
      <c r="K20" s="669"/>
      <c r="L20" s="179"/>
      <c r="M20" s="669"/>
      <c r="N20" s="670"/>
      <c r="O20" s="670"/>
      <c r="P20" s="197"/>
      <c r="Q20" s="178"/>
      <c r="R20" s="176"/>
      <c r="S20" s="179"/>
      <c r="T20" s="891">
        <f t="shared" si="1"/>
        <v>0</v>
      </c>
      <c r="U20" s="665">
        <v>0.4</v>
      </c>
      <c r="V20" s="666">
        <v>0.5</v>
      </c>
      <c r="W20" s="892" t="str">
        <f t="shared" si="2"/>
        <v/>
      </c>
      <c r="X20" s="691">
        <v>0.4</v>
      </c>
      <c r="Y20" s="687">
        <v>0.3</v>
      </c>
      <c r="Z20" s="664">
        <f t="shared" si="62"/>
        <v>0</v>
      </c>
      <c r="AA20" s="656">
        <f t="shared" si="63"/>
        <v>0</v>
      </c>
      <c r="AB20" s="891">
        <f t="shared" si="3"/>
        <v>0</v>
      </c>
      <c r="AC20" s="892">
        <f t="shared" si="64"/>
        <v>0</v>
      </c>
      <c r="AD20" s="181"/>
      <c r="AE20" s="879" t="str">
        <f t="shared" si="4"/>
        <v/>
      </c>
      <c r="AF20" s="879" t="str">
        <f t="shared" si="5"/>
        <v/>
      </c>
      <c r="AG20" s="879" t="str">
        <f t="shared" si="6"/>
        <v/>
      </c>
      <c r="AH20" s="880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61"/>
        <v>7</v>
      </c>
      <c r="C21" s="180"/>
      <c r="D21" s="178"/>
      <c r="E21" s="179"/>
      <c r="F21" s="179"/>
      <c r="G21" s="668"/>
      <c r="H21" s="901"/>
      <c r="I21" s="901"/>
      <c r="J21" s="179"/>
      <c r="K21" s="669"/>
      <c r="L21" s="179"/>
      <c r="M21" s="669"/>
      <c r="N21" s="670"/>
      <c r="O21" s="670"/>
      <c r="P21" s="197"/>
      <c r="Q21" s="178"/>
      <c r="R21" s="176"/>
      <c r="S21" s="179"/>
      <c r="T21" s="891">
        <f t="shared" si="1"/>
        <v>0</v>
      </c>
      <c r="U21" s="665">
        <v>0.3</v>
      </c>
      <c r="V21" s="666">
        <v>0.5</v>
      </c>
      <c r="W21" s="892" t="str">
        <f t="shared" si="2"/>
        <v/>
      </c>
      <c r="X21" s="691">
        <v>0.3</v>
      </c>
      <c r="Y21" s="687">
        <v>0.3</v>
      </c>
      <c r="Z21" s="664">
        <f t="shared" si="62"/>
        <v>0</v>
      </c>
      <c r="AA21" s="656">
        <f t="shared" si="63"/>
        <v>0</v>
      </c>
      <c r="AB21" s="891">
        <f t="shared" si="3"/>
        <v>0</v>
      </c>
      <c r="AC21" s="892">
        <f t="shared" si="64"/>
        <v>0</v>
      </c>
      <c r="AD21" s="181"/>
      <c r="AE21" s="879" t="str">
        <f t="shared" si="4"/>
        <v/>
      </c>
      <c r="AF21" s="879" t="str">
        <f t="shared" si="5"/>
        <v/>
      </c>
      <c r="AG21" s="879" t="str">
        <f t="shared" si="6"/>
        <v/>
      </c>
      <c r="AH21" s="880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1"/>
        <v>8</v>
      </c>
      <c r="C22" s="180"/>
      <c r="D22" s="178"/>
      <c r="E22" s="179"/>
      <c r="F22" s="179"/>
      <c r="G22" s="668"/>
      <c r="H22" s="901"/>
      <c r="I22" s="901"/>
      <c r="J22" s="179"/>
      <c r="K22" s="669"/>
      <c r="L22" s="179"/>
      <c r="M22" s="669"/>
      <c r="N22" s="670"/>
      <c r="O22" s="670"/>
      <c r="P22" s="197"/>
      <c r="Q22" s="178"/>
      <c r="R22" s="176"/>
      <c r="S22" s="179"/>
      <c r="T22" s="891">
        <f t="shared" si="1"/>
        <v>0</v>
      </c>
      <c r="U22" s="665">
        <v>0.3</v>
      </c>
      <c r="V22" s="666">
        <v>0.5</v>
      </c>
      <c r="W22" s="892" t="str">
        <f t="shared" si="2"/>
        <v/>
      </c>
      <c r="X22" s="691">
        <v>0.3</v>
      </c>
      <c r="Y22" s="687">
        <v>0.3</v>
      </c>
      <c r="Z22" s="664">
        <f t="shared" si="62"/>
        <v>0</v>
      </c>
      <c r="AA22" s="656">
        <f t="shared" si="63"/>
        <v>0</v>
      </c>
      <c r="AB22" s="891">
        <f t="shared" si="3"/>
        <v>0</v>
      </c>
      <c r="AC22" s="892">
        <f t="shared" si="64"/>
        <v>0</v>
      </c>
      <c r="AD22" s="181"/>
      <c r="AE22" s="879" t="str">
        <f t="shared" si="4"/>
        <v/>
      </c>
      <c r="AF22" s="879" t="str">
        <f t="shared" si="5"/>
        <v/>
      </c>
      <c r="AG22" s="879" t="str">
        <f t="shared" si="6"/>
        <v/>
      </c>
      <c r="AH22" s="880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1"/>
        <v>9</v>
      </c>
      <c r="C23" s="180"/>
      <c r="D23" s="178"/>
      <c r="E23" s="179"/>
      <c r="F23" s="179"/>
      <c r="G23" s="668"/>
      <c r="H23" s="901"/>
      <c r="I23" s="901"/>
      <c r="J23" s="179"/>
      <c r="K23" s="669"/>
      <c r="L23" s="179"/>
      <c r="M23" s="669"/>
      <c r="N23" s="670"/>
      <c r="O23" s="670"/>
      <c r="P23" s="197"/>
      <c r="Q23" s="178"/>
      <c r="R23" s="176"/>
      <c r="S23" s="179"/>
      <c r="T23" s="891">
        <f t="shared" si="1"/>
        <v>0</v>
      </c>
      <c r="U23" s="665">
        <v>0.3</v>
      </c>
      <c r="V23" s="666">
        <v>0.5</v>
      </c>
      <c r="W23" s="892" t="str">
        <f t="shared" si="2"/>
        <v/>
      </c>
      <c r="X23" s="691">
        <v>0.3</v>
      </c>
      <c r="Y23" s="687">
        <v>0.3</v>
      </c>
      <c r="Z23" s="664">
        <f t="shared" si="62"/>
        <v>0</v>
      </c>
      <c r="AA23" s="656">
        <f t="shared" si="63"/>
        <v>0</v>
      </c>
      <c r="AB23" s="891">
        <f t="shared" si="3"/>
        <v>0</v>
      </c>
      <c r="AC23" s="892">
        <f t="shared" si="64"/>
        <v>0</v>
      </c>
      <c r="AD23" s="181"/>
      <c r="AE23" s="879" t="str">
        <f t="shared" si="4"/>
        <v/>
      </c>
      <c r="AF23" s="879" t="str">
        <f t="shared" si="5"/>
        <v/>
      </c>
      <c r="AG23" s="879" t="str">
        <f t="shared" si="6"/>
        <v/>
      </c>
      <c r="AH23" s="880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1"/>
        <v>10</v>
      </c>
      <c r="C24" s="180"/>
      <c r="D24" s="178"/>
      <c r="E24" s="179"/>
      <c r="F24" s="179"/>
      <c r="G24" s="668"/>
      <c r="H24" s="901"/>
      <c r="I24" s="901"/>
      <c r="J24" s="179"/>
      <c r="K24" s="669"/>
      <c r="L24" s="179"/>
      <c r="M24" s="669"/>
      <c r="N24" s="670"/>
      <c r="O24" s="670"/>
      <c r="P24" s="197"/>
      <c r="Q24" s="178"/>
      <c r="R24" s="176"/>
      <c r="S24" s="179"/>
      <c r="T24" s="891">
        <f t="shared" si="1"/>
        <v>0</v>
      </c>
      <c r="U24" s="665">
        <v>0.3</v>
      </c>
      <c r="V24" s="666">
        <v>0.5</v>
      </c>
      <c r="W24" s="892" t="str">
        <f t="shared" si="2"/>
        <v/>
      </c>
      <c r="X24" s="691">
        <v>0.3</v>
      </c>
      <c r="Y24" s="687">
        <v>0.3</v>
      </c>
      <c r="Z24" s="664">
        <f t="shared" si="62"/>
        <v>0</v>
      </c>
      <c r="AA24" s="656">
        <f t="shared" si="63"/>
        <v>0</v>
      </c>
      <c r="AB24" s="891">
        <f t="shared" si="3"/>
        <v>0</v>
      </c>
      <c r="AC24" s="892">
        <f t="shared" si="64"/>
        <v>0</v>
      </c>
      <c r="AD24" s="181"/>
      <c r="AE24" s="879" t="str">
        <f t="shared" si="4"/>
        <v/>
      </c>
      <c r="AF24" s="879" t="str">
        <f t="shared" si="5"/>
        <v/>
      </c>
      <c r="AG24" s="879" t="str">
        <f t="shared" si="6"/>
        <v/>
      </c>
      <c r="AH24" s="880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1"/>
        <v>11</v>
      </c>
      <c r="C25" s="180"/>
      <c r="D25" s="178"/>
      <c r="E25" s="179"/>
      <c r="F25" s="179"/>
      <c r="G25" s="668"/>
      <c r="H25" s="901"/>
      <c r="I25" s="901"/>
      <c r="J25" s="179"/>
      <c r="K25" s="669"/>
      <c r="L25" s="179"/>
      <c r="M25" s="669"/>
      <c r="N25" s="670"/>
      <c r="O25" s="670"/>
      <c r="P25" s="197"/>
      <c r="Q25" s="178"/>
      <c r="R25" s="176"/>
      <c r="S25" s="179"/>
      <c r="T25" s="891">
        <f t="shared" si="1"/>
        <v>0</v>
      </c>
      <c r="U25" s="665">
        <v>0.3</v>
      </c>
      <c r="V25" s="666">
        <v>0.5</v>
      </c>
      <c r="W25" s="892" t="str">
        <f t="shared" si="2"/>
        <v/>
      </c>
      <c r="X25" s="691">
        <v>0.3</v>
      </c>
      <c r="Y25" s="687">
        <v>0.3</v>
      </c>
      <c r="Z25" s="664">
        <f t="shared" si="62"/>
        <v>0</v>
      </c>
      <c r="AA25" s="656">
        <f t="shared" si="63"/>
        <v>0</v>
      </c>
      <c r="AB25" s="891">
        <f t="shared" si="3"/>
        <v>0</v>
      </c>
      <c r="AC25" s="892">
        <f t="shared" si="64"/>
        <v>0</v>
      </c>
      <c r="AD25" s="181"/>
      <c r="AE25" s="879" t="str">
        <f t="shared" si="4"/>
        <v/>
      </c>
      <c r="AF25" s="879" t="str">
        <f t="shared" si="5"/>
        <v/>
      </c>
      <c r="AG25" s="879" t="str">
        <f t="shared" si="6"/>
        <v/>
      </c>
      <c r="AH25" s="880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5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1"/>
        <v>12</v>
      </c>
      <c r="C26" s="180"/>
      <c r="D26" s="178"/>
      <c r="E26" s="179"/>
      <c r="F26" s="179"/>
      <c r="G26" s="668"/>
      <c r="H26" s="901"/>
      <c r="I26" s="901"/>
      <c r="J26" s="179"/>
      <c r="K26" s="669"/>
      <c r="L26" s="179"/>
      <c r="M26" s="669"/>
      <c r="N26" s="670"/>
      <c r="O26" s="670"/>
      <c r="P26" s="197"/>
      <c r="Q26" s="178"/>
      <c r="R26" s="176"/>
      <c r="S26" s="179"/>
      <c r="T26" s="891">
        <f t="shared" si="1"/>
        <v>0</v>
      </c>
      <c r="U26" s="665">
        <v>0.3</v>
      </c>
      <c r="V26" s="666">
        <v>0.5</v>
      </c>
      <c r="W26" s="892" t="str">
        <f t="shared" si="2"/>
        <v/>
      </c>
      <c r="X26" s="691">
        <v>0.3</v>
      </c>
      <c r="Y26" s="687">
        <v>0.3</v>
      </c>
      <c r="Z26" s="664">
        <f t="shared" si="62"/>
        <v>0</v>
      </c>
      <c r="AA26" s="656">
        <f t="shared" si="63"/>
        <v>0</v>
      </c>
      <c r="AB26" s="891">
        <f t="shared" si="3"/>
        <v>0</v>
      </c>
      <c r="AC26" s="892">
        <f t="shared" si="64"/>
        <v>0</v>
      </c>
      <c r="AD26" s="181"/>
      <c r="AE26" s="879" t="str">
        <f t="shared" si="4"/>
        <v/>
      </c>
      <c r="AF26" s="879" t="str">
        <f t="shared" si="5"/>
        <v/>
      </c>
      <c r="AG26" s="879" t="str">
        <f t="shared" si="6"/>
        <v/>
      </c>
      <c r="AH26" s="880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5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1"/>
        <v>13</v>
      </c>
      <c r="C27" s="180"/>
      <c r="D27" s="178"/>
      <c r="E27" s="179"/>
      <c r="F27" s="179"/>
      <c r="G27" s="668"/>
      <c r="H27" s="901"/>
      <c r="I27" s="901"/>
      <c r="J27" s="179"/>
      <c r="K27" s="669"/>
      <c r="L27" s="179"/>
      <c r="M27" s="669"/>
      <c r="N27" s="670"/>
      <c r="O27" s="670"/>
      <c r="P27" s="197"/>
      <c r="Q27" s="178"/>
      <c r="R27" s="176"/>
      <c r="S27" s="179"/>
      <c r="T27" s="891">
        <f t="shared" si="1"/>
        <v>0</v>
      </c>
      <c r="U27" s="665">
        <v>0.3</v>
      </c>
      <c r="V27" s="666">
        <v>0.5</v>
      </c>
      <c r="W27" s="892" t="str">
        <f t="shared" si="2"/>
        <v/>
      </c>
      <c r="X27" s="691">
        <v>0.3</v>
      </c>
      <c r="Y27" s="687">
        <v>0.3</v>
      </c>
      <c r="Z27" s="664">
        <f t="shared" si="62"/>
        <v>0</v>
      </c>
      <c r="AA27" s="656">
        <f t="shared" si="63"/>
        <v>0</v>
      </c>
      <c r="AB27" s="891">
        <f t="shared" si="3"/>
        <v>0</v>
      </c>
      <c r="AC27" s="892">
        <f t="shared" si="64"/>
        <v>0</v>
      </c>
      <c r="AD27" s="181"/>
      <c r="AE27" s="879" t="str">
        <f t="shared" si="4"/>
        <v/>
      </c>
      <c r="AF27" s="879" t="str">
        <f t="shared" si="5"/>
        <v/>
      </c>
      <c r="AG27" s="879" t="str">
        <f t="shared" si="6"/>
        <v/>
      </c>
      <c r="AH27" s="880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5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1"/>
        <v>14</v>
      </c>
      <c r="C28" s="180"/>
      <c r="D28" s="178"/>
      <c r="E28" s="179"/>
      <c r="F28" s="179"/>
      <c r="G28" s="668"/>
      <c r="H28" s="901"/>
      <c r="I28" s="901"/>
      <c r="J28" s="179"/>
      <c r="K28" s="669"/>
      <c r="L28" s="179"/>
      <c r="M28" s="669"/>
      <c r="N28" s="670"/>
      <c r="O28" s="670"/>
      <c r="P28" s="197"/>
      <c r="Q28" s="178"/>
      <c r="R28" s="176"/>
      <c r="S28" s="179"/>
      <c r="T28" s="891">
        <f t="shared" si="1"/>
        <v>0</v>
      </c>
      <c r="U28" s="665">
        <v>0.3</v>
      </c>
      <c r="V28" s="666">
        <v>0.5</v>
      </c>
      <c r="W28" s="892" t="str">
        <f t="shared" si="2"/>
        <v/>
      </c>
      <c r="X28" s="691">
        <v>0.3</v>
      </c>
      <c r="Y28" s="687">
        <v>0.3</v>
      </c>
      <c r="Z28" s="664">
        <f t="shared" si="62"/>
        <v>0</v>
      </c>
      <c r="AA28" s="656">
        <f t="shared" si="63"/>
        <v>0</v>
      </c>
      <c r="AB28" s="891">
        <f t="shared" si="3"/>
        <v>0</v>
      </c>
      <c r="AC28" s="892">
        <f t="shared" si="64"/>
        <v>0</v>
      </c>
      <c r="AD28" s="181"/>
      <c r="AE28" s="879" t="str">
        <f t="shared" si="4"/>
        <v/>
      </c>
      <c r="AF28" s="879" t="str">
        <f t="shared" si="5"/>
        <v/>
      </c>
      <c r="AG28" s="879" t="str">
        <f t="shared" si="6"/>
        <v/>
      </c>
      <c r="AH28" s="880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5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1"/>
        <v>15</v>
      </c>
      <c r="C29" s="180"/>
      <c r="D29" s="178"/>
      <c r="E29" s="179"/>
      <c r="F29" s="179"/>
      <c r="G29" s="668"/>
      <c r="H29" s="901"/>
      <c r="I29" s="901"/>
      <c r="J29" s="179"/>
      <c r="K29" s="669"/>
      <c r="L29" s="179"/>
      <c r="M29" s="669"/>
      <c r="N29" s="670"/>
      <c r="O29" s="670"/>
      <c r="P29" s="197"/>
      <c r="Q29" s="178"/>
      <c r="R29" s="176"/>
      <c r="S29" s="179"/>
      <c r="T29" s="891">
        <f t="shared" si="1"/>
        <v>0</v>
      </c>
      <c r="U29" s="665">
        <v>0.3</v>
      </c>
      <c r="V29" s="666">
        <v>0.5</v>
      </c>
      <c r="W29" s="892" t="str">
        <f t="shared" si="2"/>
        <v/>
      </c>
      <c r="X29" s="691">
        <v>0.3</v>
      </c>
      <c r="Y29" s="687">
        <v>0.3</v>
      </c>
      <c r="Z29" s="664">
        <f t="shared" si="62"/>
        <v>0</v>
      </c>
      <c r="AA29" s="656">
        <f t="shared" si="63"/>
        <v>0</v>
      </c>
      <c r="AB29" s="891">
        <f t="shared" si="3"/>
        <v>0</v>
      </c>
      <c r="AC29" s="892">
        <f t="shared" si="64"/>
        <v>0</v>
      </c>
      <c r="AD29" s="181"/>
      <c r="AE29" s="879" t="str">
        <f t="shared" si="4"/>
        <v/>
      </c>
      <c r="AF29" s="879" t="str">
        <f t="shared" si="5"/>
        <v/>
      </c>
      <c r="AG29" s="879" t="str">
        <f t="shared" si="6"/>
        <v/>
      </c>
      <c r="AH29" s="880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5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1"/>
        <v>16</v>
      </c>
      <c r="C30" s="180"/>
      <c r="D30" s="178"/>
      <c r="E30" s="179"/>
      <c r="F30" s="179"/>
      <c r="G30" s="668"/>
      <c r="H30" s="901"/>
      <c r="I30" s="901"/>
      <c r="J30" s="179"/>
      <c r="K30" s="669"/>
      <c r="L30" s="179"/>
      <c r="M30" s="669"/>
      <c r="N30" s="670"/>
      <c r="O30" s="670"/>
      <c r="P30" s="197"/>
      <c r="Q30" s="178"/>
      <c r="R30" s="176"/>
      <c r="S30" s="179"/>
      <c r="T30" s="891">
        <f t="shared" si="1"/>
        <v>0</v>
      </c>
      <c r="U30" s="665">
        <v>0.3</v>
      </c>
      <c r="V30" s="666">
        <v>0.5</v>
      </c>
      <c r="W30" s="892" t="str">
        <f t="shared" si="2"/>
        <v/>
      </c>
      <c r="X30" s="691">
        <v>0.3</v>
      </c>
      <c r="Y30" s="687">
        <v>0.3</v>
      </c>
      <c r="Z30" s="664">
        <f t="shared" si="62"/>
        <v>0</v>
      </c>
      <c r="AA30" s="656">
        <f t="shared" si="63"/>
        <v>0</v>
      </c>
      <c r="AB30" s="891">
        <f t="shared" si="3"/>
        <v>0</v>
      </c>
      <c r="AC30" s="892">
        <f t="shared" si="64"/>
        <v>0</v>
      </c>
      <c r="AD30" s="181"/>
      <c r="AE30" s="879" t="str">
        <f t="shared" si="4"/>
        <v/>
      </c>
      <c r="AF30" s="879" t="str">
        <f t="shared" si="5"/>
        <v/>
      </c>
      <c r="AG30" s="879" t="str">
        <f t="shared" si="6"/>
        <v/>
      </c>
      <c r="AH30" s="880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5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1"/>
        <v>17</v>
      </c>
      <c r="C31" s="180"/>
      <c r="D31" s="178"/>
      <c r="E31" s="179"/>
      <c r="F31" s="179"/>
      <c r="G31" s="668"/>
      <c r="H31" s="901"/>
      <c r="I31" s="901"/>
      <c r="J31" s="179"/>
      <c r="K31" s="669"/>
      <c r="L31" s="179"/>
      <c r="M31" s="669"/>
      <c r="N31" s="670"/>
      <c r="O31" s="670"/>
      <c r="P31" s="197"/>
      <c r="Q31" s="178"/>
      <c r="R31" s="176"/>
      <c r="S31" s="179"/>
      <c r="T31" s="891">
        <f t="shared" si="1"/>
        <v>0</v>
      </c>
      <c r="U31" s="665">
        <v>0.3</v>
      </c>
      <c r="V31" s="666">
        <v>0.5</v>
      </c>
      <c r="W31" s="892" t="str">
        <f t="shared" si="2"/>
        <v/>
      </c>
      <c r="X31" s="691">
        <v>0.3</v>
      </c>
      <c r="Y31" s="687">
        <v>0.3</v>
      </c>
      <c r="Z31" s="664">
        <f t="shared" si="62"/>
        <v>0</v>
      </c>
      <c r="AA31" s="656">
        <f t="shared" si="63"/>
        <v>0</v>
      </c>
      <c r="AB31" s="891">
        <f t="shared" si="3"/>
        <v>0</v>
      </c>
      <c r="AC31" s="892">
        <f t="shared" si="64"/>
        <v>0</v>
      </c>
      <c r="AD31" s="181"/>
      <c r="AE31" s="879" t="str">
        <f t="shared" si="4"/>
        <v/>
      </c>
      <c r="AF31" s="879" t="str">
        <f t="shared" si="5"/>
        <v/>
      </c>
      <c r="AG31" s="879" t="str">
        <f t="shared" si="6"/>
        <v/>
      </c>
      <c r="AH31" s="880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5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1"/>
        <v>18</v>
      </c>
      <c r="C32" s="180"/>
      <c r="D32" s="178"/>
      <c r="E32" s="179"/>
      <c r="F32" s="179"/>
      <c r="G32" s="668"/>
      <c r="H32" s="901"/>
      <c r="I32" s="901"/>
      <c r="J32" s="179"/>
      <c r="K32" s="669"/>
      <c r="L32" s="179"/>
      <c r="M32" s="669"/>
      <c r="N32" s="670"/>
      <c r="O32" s="670"/>
      <c r="P32" s="197"/>
      <c r="Q32" s="178"/>
      <c r="R32" s="176"/>
      <c r="S32" s="179"/>
      <c r="T32" s="891">
        <f t="shared" si="1"/>
        <v>0</v>
      </c>
      <c r="U32" s="665">
        <v>0.3</v>
      </c>
      <c r="V32" s="666">
        <v>0.5</v>
      </c>
      <c r="W32" s="892" t="str">
        <f t="shared" si="2"/>
        <v/>
      </c>
      <c r="X32" s="691">
        <v>0.3</v>
      </c>
      <c r="Y32" s="687">
        <v>0.3</v>
      </c>
      <c r="Z32" s="664">
        <f t="shared" si="62"/>
        <v>0</v>
      </c>
      <c r="AA32" s="656">
        <f t="shared" si="63"/>
        <v>0</v>
      </c>
      <c r="AB32" s="891">
        <f t="shared" si="3"/>
        <v>0</v>
      </c>
      <c r="AC32" s="892">
        <f t="shared" si="64"/>
        <v>0</v>
      </c>
      <c r="AD32" s="181"/>
      <c r="AE32" s="879" t="str">
        <f t="shared" si="4"/>
        <v/>
      </c>
      <c r="AF32" s="879" t="str">
        <f t="shared" si="5"/>
        <v/>
      </c>
      <c r="AG32" s="879" t="str">
        <f t="shared" si="6"/>
        <v/>
      </c>
      <c r="AH32" s="880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5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1"/>
        <v>19</v>
      </c>
      <c r="C33" s="180"/>
      <c r="D33" s="178"/>
      <c r="E33" s="179"/>
      <c r="F33" s="179"/>
      <c r="G33" s="668"/>
      <c r="H33" s="901"/>
      <c r="I33" s="901"/>
      <c r="J33" s="179"/>
      <c r="K33" s="669"/>
      <c r="L33" s="179"/>
      <c r="M33" s="669"/>
      <c r="N33" s="670"/>
      <c r="O33" s="670"/>
      <c r="P33" s="197"/>
      <c r="Q33" s="178"/>
      <c r="R33" s="176"/>
      <c r="S33" s="179"/>
      <c r="T33" s="891">
        <f t="shared" si="1"/>
        <v>0</v>
      </c>
      <c r="U33" s="665">
        <v>0.3</v>
      </c>
      <c r="V33" s="666">
        <v>0.5</v>
      </c>
      <c r="W33" s="892" t="str">
        <f t="shared" si="2"/>
        <v/>
      </c>
      <c r="X33" s="691">
        <v>0.3</v>
      </c>
      <c r="Y33" s="687">
        <v>0.3</v>
      </c>
      <c r="Z33" s="664">
        <f t="shared" si="62"/>
        <v>0</v>
      </c>
      <c r="AA33" s="656">
        <f t="shared" si="63"/>
        <v>0</v>
      </c>
      <c r="AB33" s="891">
        <f t="shared" si="3"/>
        <v>0</v>
      </c>
      <c r="AC33" s="892">
        <f t="shared" si="64"/>
        <v>0</v>
      </c>
      <c r="AD33" s="181"/>
      <c r="AE33" s="879" t="str">
        <f t="shared" si="4"/>
        <v/>
      </c>
      <c r="AF33" s="879" t="str">
        <f t="shared" si="5"/>
        <v/>
      </c>
      <c r="AG33" s="879" t="str">
        <f t="shared" si="6"/>
        <v/>
      </c>
      <c r="AH33" s="880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5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1"/>
        <v>20</v>
      </c>
      <c r="C34" s="180"/>
      <c r="D34" s="178"/>
      <c r="E34" s="179"/>
      <c r="F34" s="179"/>
      <c r="G34" s="668"/>
      <c r="H34" s="901"/>
      <c r="I34" s="901"/>
      <c r="J34" s="179"/>
      <c r="K34" s="669"/>
      <c r="L34" s="179"/>
      <c r="M34" s="669"/>
      <c r="N34" s="670"/>
      <c r="O34" s="670"/>
      <c r="P34" s="197"/>
      <c r="Q34" s="178"/>
      <c r="R34" s="176"/>
      <c r="S34" s="179"/>
      <c r="T34" s="891">
        <f t="shared" si="1"/>
        <v>0</v>
      </c>
      <c r="U34" s="665">
        <v>0.3</v>
      </c>
      <c r="V34" s="666">
        <v>0.5</v>
      </c>
      <c r="W34" s="892" t="str">
        <f t="shared" si="2"/>
        <v/>
      </c>
      <c r="X34" s="691">
        <v>0.3</v>
      </c>
      <c r="Y34" s="687">
        <v>0.3</v>
      </c>
      <c r="Z34" s="664">
        <f t="shared" si="62"/>
        <v>0</v>
      </c>
      <c r="AA34" s="656">
        <f t="shared" si="63"/>
        <v>0</v>
      </c>
      <c r="AB34" s="891">
        <f t="shared" si="3"/>
        <v>0</v>
      </c>
      <c r="AC34" s="892">
        <f t="shared" si="64"/>
        <v>0</v>
      </c>
      <c r="AD34" s="181"/>
      <c r="AE34" s="879" t="str">
        <f t="shared" si="4"/>
        <v/>
      </c>
      <c r="AF34" s="879" t="str">
        <f t="shared" si="5"/>
        <v/>
      </c>
      <c r="AG34" s="879" t="str">
        <f t="shared" si="6"/>
        <v/>
      </c>
      <c r="AH34" s="880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5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1"/>
        <v>21</v>
      </c>
      <c r="C35" s="180"/>
      <c r="D35" s="178"/>
      <c r="E35" s="179"/>
      <c r="F35" s="179"/>
      <c r="G35" s="668"/>
      <c r="H35" s="901"/>
      <c r="I35" s="901"/>
      <c r="J35" s="179"/>
      <c r="K35" s="669"/>
      <c r="L35" s="179"/>
      <c r="M35" s="669"/>
      <c r="N35" s="670"/>
      <c r="O35" s="670"/>
      <c r="P35" s="197"/>
      <c r="Q35" s="178"/>
      <c r="R35" s="176"/>
      <c r="S35" s="179"/>
      <c r="T35" s="891">
        <f t="shared" si="1"/>
        <v>0</v>
      </c>
      <c r="U35" s="665">
        <v>0.3</v>
      </c>
      <c r="V35" s="666">
        <v>0.5</v>
      </c>
      <c r="W35" s="892" t="str">
        <f t="shared" si="2"/>
        <v/>
      </c>
      <c r="X35" s="691">
        <v>0.3</v>
      </c>
      <c r="Y35" s="687">
        <v>0.3</v>
      </c>
      <c r="Z35" s="664">
        <f t="shared" si="62"/>
        <v>0</v>
      </c>
      <c r="AA35" s="656">
        <f t="shared" si="63"/>
        <v>0</v>
      </c>
      <c r="AB35" s="891">
        <f t="shared" si="3"/>
        <v>0</v>
      </c>
      <c r="AC35" s="892">
        <f t="shared" si="64"/>
        <v>0</v>
      </c>
      <c r="AD35" s="181"/>
      <c r="AE35" s="879" t="str">
        <f t="shared" si="4"/>
        <v/>
      </c>
      <c r="AF35" s="879" t="str">
        <f t="shared" si="5"/>
        <v/>
      </c>
      <c r="AG35" s="879" t="str">
        <f t="shared" si="6"/>
        <v/>
      </c>
      <c r="AH35" s="880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5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1"/>
        <v>22</v>
      </c>
      <c r="C36" s="180"/>
      <c r="D36" s="178"/>
      <c r="E36" s="179"/>
      <c r="F36" s="179"/>
      <c r="G36" s="668"/>
      <c r="H36" s="901"/>
      <c r="I36" s="901"/>
      <c r="J36" s="179"/>
      <c r="K36" s="669"/>
      <c r="L36" s="179"/>
      <c r="M36" s="669"/>
      <c r="N36" s="670"/>
      <c r="O36" s="670"/>
      <c r="P36" s="197"/>
      <c r="Q36" s="178"/>
      <c r="R36" s="176"/>
      <c r="S36" s="179"/>
      <c r="T36" s="891">
        <f t="shared" si="1"/>
        <v>0</v>
      </c>
      <c r="U36" s="665">
        <v>0.3</v>
      </c>
      <c r="V36" s="666">
        <v>0.5</v>
      </c>
      <c r="W36" s="892" t="str">
        <f t="shared" si="2"/>
        <v/>
      </c>
      <c r="X36" s="691">
        <v>0.3</v>
      </c>
      <c r="Y36" s="687">
        <v>0.3</v>
      </c>
      <c r="Z36" s="664">
        <f t="shared" si="62"/>
        <v>0</v>
      </c>
      <c r="AA36" s="656">
        <f t="shared" si="63"/>
        <v>0</v>
      </c>
      <c r="AB36" s="891">
        <f t="shared" si="3"/>
        <v>0</v>
      </c>
      <c r="AC36" s="892">
        <f t="shared" si="64"/>
        <v>0</v>
      </c>
      <c r="AD36" s="181"/>
      <c r="AE36" s="879" t="str">
        <f t="shared" si="4"/>
        <v/>
      </c>
      <c r="AF36" s="879" t="str">
        <f t="shared" si="5"/>
        <v/>
      </c>
      <c r="AG36" s="879" t="str">
        <f t="shared" si="6"/>
        <v/>
      </c>
      <c r="AH36" s="880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5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1"/>
        <v>23</v>
      </c>
      <c r="C37" s="180"/>
      <c r="D37" s="178"/>
      <c r="E37" s="179"/>
      <c r="F37" s="179"/>
      <c r="G37" s="668"/>
      <c r="H37" s="901"/>
      <c r="I37" s="901"/>
      <c r="J37" s="179"/>
      <c r="K37" s="669"/>
      <c r="L37" s="179"/>
      <c r="M37" s="669"/>
      <c r="N37" s="670"/>
      <c r="O37" s="670"/>
      <c r="P37" s="197"/>
      <c r="Q37" s="178"/>
      <c r="R37" s="176"/>
      <c r="S37" s="179"/>
      <c r="T37" s="891">
        <f t="shared" si="1"/>
        <v>0</v>
      </c>
      <c r="U37" s="665">
        <v>0.3</v>
      </c>
      <c r="V37" s="666">
        <v>0.5</v>
      </c>
      <c r="W37" s="892" t="str">
        <f t="shared" si="2"/>
        <v/>
      </c>
      <c r="X37" s="691">
        <v>0.3</v>
      </c>
      <c r="Y37" s="687">
        <v>0.3</v>
      </c>
      <c r="Z37" s="664">
        <f t="shared" si="62"/>
        <v>0</v>
      </c>
      <c r="AA37" s="656">
        <f t="shared" si="63"/>
        <v>0</v>
      </c>
      <c r="AB37" s="891">
        <f t="shared" si="3"/>
        <v>0</v>
      </c>
      <c r="AC37" s="892">
        <f t="shared" si="64"/>
        <v>0</v>
      </c>
      <c r="AD37" s="181"/>
      <c r="AE37" s="879" t="str">
        <f t="shared" si="4"/>
        <v/>
      </c>
      <c r="AF37" s="879" t="str">
        <f t="shared" si="5"/>
        <v/>
      </c>
      <c r="AG37" s="879" t="str">
        <f t="shared" si="6"/>
        <v/>
      </c>
      <c r="AH37" s="880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5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1"/>
        <v>24</v>
      </c>
      <c r="C38" s="180"/>
      <c r="D38" s="178"/>
      <c r="E38" s="179"/>
      <c r="F38" s="179"/>
      <c r="G38" s="668"/>
      <c r="H38" s="901"/>
      <c r="I38" s="901"/>
      <c r="J38" s="179"/>
      <c r="K38" s="669"/>
      <c r="L38" s="179"/>
      <c r="M38" s="669"/>
      <c r="N38" s="670"/>
      <c r="O38" s="670"/>
      <c r="P38" s="197"/>
      <c r="Q38" s="178"/>
      <c r="R38" s="176"/>
      <c r="S38" s="179"/>
      <c r="T38" s="891">
        <f t="shared" si="1"/>
        <v>0</v>
      </c>
      <c r="U38" s="665">
        <v>0.3</v>
      </c>
      <c r="V38" s="666">
        <v>0.5</v>
      </c>
      <c r="W38" s="892" t="str">
        <f t="shared" si="2"/>
        <v/>
      </c>
      <c r="X38" s="691">
        <v>0.3</v>
      </c>
      <c r="Y38" s="687">
        <v>0.3</v>
      </c>
      <c r="Z38" s="664">
        <f t="shared" si="62"/>
        <v>0</v>
      </c>
      <c r="AA38" s="656">
        <f t="shared" si="63"/>
        <v>0</v>
      </c>
      <c r="AB38" s="891">
        <f t="shared" si="3"/>
        <v>0</v>
      </c>
      <c r="AC38" s="892">
        <f t="shared" si="64"/>
        <v>0</v>
      </c>
      <c r="AD38" s="181"/>
      <c r="AE38" s="879" t="str">
        <f t="shared" si="4"/>
        <v/>
      </c>
      <c r="AF38" s="879" t="str">
        <f t="shared" si="5"/>
        <v/>
      </c>
      <c r="AG38" s="879" t="str">
        <f t="shared" si="6"/>
        <v/>
      </c>
      <c r="AH38" s="880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5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1"/>
        <v>25</v>
      </c>
      <c r="C39" s="180"/>
      <c r="D39" s="178"/>
      <c r="E39" s="179"/>
      <c r="F39" s="179"/>
      <c r="G39" s="668"/>
      <c r="H39" s="901"/>
      <c r="I39" s="901"/>
      <c r="J39" s="179"/>
      <c r="K39" s="669"/>
      <c r="L39" s="179"/>
      <c r="M39" s="669"/>
      <c r="N39" s="670"/>
      <c r="O39" s="670"/>
      <c r="P39" s="197"/>
      <c r="Q39" s="178"/>
      <c r="R39" s="176"/>
      <c r="S39" s="179"/>
      <c r="T39" s="891">
        <f t="shared" si="1"/>
        <v>0</v>
      </c>
      <c r="U39" s="665">
        <v>0.3</v>
      </c>
      <c r="V39" s="666">
        <v>0.5</v>
      </c>
      <c r="W39" s="892" t="str">
        <f t="shared" si="2"/>
        <v/>
      </c>
      <c r="X39" s="691">
        <v>0.3</v>
      </c>
      <c r="Y39" s="687">
        <v>0.3</v>
      </c>
      <c r="Z39" s="664">
        <f t="shared" si="62"/>
        <v>0</v>
      </c>
      <c r="AA39" s="656">
        <f t="shared" si="63"/>
        <v>0</v>
      </c>
      <c r="AB39" s="891">
        <f t="shared" si="3"/>
        <v>0</v>
      </c>
      <c r="AC39" s="892">
        <f t="shared" si="64"/>
        <v>0</v>
      </c>
      <c r="AD39" s="181"/>
      <c r="AE39" s="879" t="str">
        <f t="shared" si="4"/>
        <v/>
      </c>
      <c r="AF39" s="879" t="str">
        <f t="shared" si="5"/>
        <v/>
      </c>
      <c r="AG39" s="879" t="str">
        <f t="shared" si="6"/>
        <v/>
      </c>
      <c r="AH39" s="880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5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1"/>
        <v>26</v>
      </c>
      <c r="C40" s="180"/>
      <c r="D40" s="178"/>
      <c r="E40" s="179"/>
      <c r="F40" s="179"/>
      <c r="G40" s="668"/>
      <c r="H40" s="901"/>
      <c r="I40" s="901"/>
      <c r="J40" s="179"/>
      <c r="K40" s="669"/>
      <c r="L40" s="179"/>
      <c r="M40" s="669"/>
      <c r="N40" s="670"/>
      <c r="O40" s="670"/>
      <c r="P40" s="197"/>
      <c r="Q40" s="178"/>
      <c r="R40" s="176"/>
      <c r="S40" s="179"/>
      <c r="T40" s="891">
        <f t="shared" si="1"/>
        <v>0</v>
      </c>
      <c r="U40" s="665">
        <v>0.3</v>
      </c>
      <c r="V40" s="666">
        <v>0.5</v>
      </c>
      <c r="W40" s="892" t="str">
        <f t="shared" si="2"/>
        <v/>
      </c>
      <c r="X40" s="691">
        <v>0.3</v>
      </c>
      <c r="Y40" s="687">
        <v>0.3</v>
      </c>
      <c r="Z40" s="664">
        <f t="shared" si="62"/>
        <v>0</v>
      </c>
      <c r="AA40" s="656">
        <f t="shared" si="63"/>
        <v>0</v>
      </c>
      <c r="AB40" s="891">
        <f t="shared" si="3"/>
        <v>0</v>
      </c>
      <c r="AC40" s="892">
        <f t="shared" si="64"/>
        <v>0</v>
      </c>
      <c r="AD40" s="181"/>
      <c r="AE40" s="879" t="str">
        <f t="shared" si="4"/>
        <v/>
      </c>
      <c r="AF40" s="879" t="str">
        <f t="shared" si="5"/>
        <v/>
      </c>
      <c r="AG40" s="879" t="str">
        <f t="shared" si="6"/>
        <v/>
      </c>
      <c r="AH40" s="880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5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1"/>
        <v>27</v>
      </c>
      <c r="C41" s="180"/>
      <c r="D41" s="178"/>
      <c r="E41" s="179"/>
      <c r="F41" s="179"/>
      <c r="G41" s="668"/>
      <c r="H41" s="901"/>
      <c r="I41" s="901"/>
      <c r="J41" s="179"/>
      <c r="K41" s="669"/>
      <c r="L41" s="179"/>
      <c r="M41" s="669"/>
      <c r="N41" s="670"/>
      <c r="O41" s="670"/>
      <c r="P41" s="197"/>
      <c r="Q41" s="178"/>
      <c r="R41" s="176"/>
      <c r="S41" s="179"/>
      <c r="T41" s="891">
        <f t="shared" si="1"/>
        <v>0</v>
      </c>
      <c r="U41" s="665">
        <v>0.3</v>
      </c>
      <c r="V41" s="666">
        <v>0.5</v>
      </c>
      <c r="W41" s="892" t="str">
        <f t="shared" si="2"/>
        <v/>
      </c>
      <c r="X41" s="691">
        <v>0.3</v>
      </c>
      <c r="Y41" s="687">
        <v>0.3</v>
      </c>
      <c r="Z41" s="664">
        <f t="shared" si="62"/>
        <v>0</v>
      </c>
      <c r="AA41" s="656">
        <f t="shared" si="63"/>
        <v>0</v>
      </c>
      <c r="AB41" s="891">
        <f t="shared" si="3"/>
        <v>0</v>
      </c>
      <c r="AC41" s="892">
        <f t="shared" si="64"/>
        <v>0</v>
      </c>
      <c r="AD41" s="181"/>
      <c r="AE41" s="879" t="str">
        <f t="shared" si="4"/>
        <v/>
      </c>
      <c r="AF41" s="879" t="str">
        <f t="shared" si="5"/>
        <v/>
      </c>
      <c r="AG41" s="879" t="str">
        <f t="shared" si="6"/>
        <v/>
      </c>
      <c r="AH41" s="880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5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1"/>
        <v>28</v>
      </c>
      <c r="C42" s="180"/>
      <c r="D42" s="178"/>
      <c r="E42" s="179"/>
      <c r="F42" s="179"/>
      <c r="G42" s="668"/>
      <c r="H42" s="901"/>
      <c r="I42" s="901"/>
      <c r="J42" s="179"/>
      <c r="K42" s="669"/>
      <c r="L42" s="179"/>
      <c r="M42" s="669"/>
      <c r="N42" s="670"/>
      <c r="O42" s="670"/>
      <c r="P42" s="197"/>
      <c r="Q42" s="178"/>
      <c r="R42" s="176"/>
      <c r="S42" s="179"/>
      <c r="T42" s="891">
        <f t="shared" si="1"/>
        <v>0</v>
      </c>
      <c r="U42" s="665">
        <v>0.3</v>
      </c>
      <c r="V42" s="666">
        <v>0.5</v>
      </c>
      <c r="W42" s="892" t="str">
        <f t="shared" si="2"/>
        <v/>
      </c>
      <c r="X42" s="691">
        <v>0.3</v>
      </c>
      <c r="Y42" s="687">
        <v>0.3</v>
      </c>
      <c r="Z42" s="664">
        <f t="shared" si="62"/>
        <v>0</v>
      </c>
      <c r="AA42" s="656">
        <f t="shared" si="63"/>
        <v>0</v>
      </c>
      <c r="AB42" s="891">
        <f t="shared" si="3"/>
        <v>0</v>
      </c>
      <c r="AC42" s="892">
        <f t="shared" si="64"/>
        <v>0</v>
      </c>
      <c r="AD42" s="181"/>
      <c r="AE42" s="879" t="str">
        <f t="shared" si="4"/>
        <v/>
      </c>
      <c r="AF42" s="879" t="str">
        <f t="shared" si="5"/>
        <v/>
      </c>
      <c r="AG42" s="879" t="str">
        <f t="shared" si="6"/>
        <v/>
      </c>
      <c r="AH42" s="880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5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1"/>
        <v>29</v>
      </c>
      <c r="C43" s="180"/>
      <c r="D43" s="178"/>
      <c r="E43" s="179"/>
      <c r="F43" s="179"/>
      <c r="G43" s="668"/>
      <c r="H43" s="901"/>
      <c r="I43" s="901"/>
      <c r="J43" s="179"/>
      <c r="K43" s="669"/>
      <c r="L43" s="179"/>
      <c r="M43" s="669"/>
      <c r="N43" s="670"/>
      <c r="O43" s="670"/>
      <c r="P43" s="197"/>
      <c r="Q43" s="178"/>
      <c r="R43" s="176"/>
      <c r="S43" s="179"/>
      <c r="T43" s="891">
        <f t="shared" si="1"/>
        <v>0</v>
      </c>
      <c r="U43" s="665">
        <v>0.3</v>
      </c>
      <c r="V43" s="666">
        <v>0.5</v>
      </c>
      <c r="W43" s="892" t="str">
        <f t="shared" si="2"/>
        <v/>
      </c>
      <c r="X43" s="691">
        <v>0.3</v>
      </c>
      <c r="Y43" s="687">
        <v>0.3</v>
      </c>
      <c r="Z43" s="664">
        <f t="shared" si="62"/>
        <v>0</v>
      </c>
      <c r="AA43" s="656">
        <f t="shared" si="63"/>
        <v>0</v>
      </c>
      <c r="AB43" s="891">
        <f t="shared" si="3"/>
        <v>0</v>
      </c>
      <c r="AC43" s="892">
        <f t="shared" si="64"/>
        <v>0</v>
      </c>
      <c r="AD43" s="181"/>
      <c r="AE43" s="879" t="str">
        <f t="shared" si="4"/>
        <v/>
      </c>
      <c r="AF43" s="879" t="str">
        <f t="shared" si="5"/>
        <v/>
      </c>
      <c r="AG43" s="879" t="str">
        <f t="shared" si="6"/>
        <v/>
      </c>
      <c r="AH43" s="880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5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1"/>
        <v>30</v>
      </c>
      <c r="C44" s="180"/>
      <c r="D44" s="178"/>
      <c r="E44" s="179"/>
      <c r="F44" s="179"/>
      <c r="G44" s="668"/>
      <c r="H44" s="901"/>
      <c r="I44" s="901"/>
      <c r="J44" s="179"/>
      <c r="K44" s="669"/>
      <c r="L44" s="179"/>
      <c r="M44" s="669"/>
      <c r="N44" s="670"/>
      <c r="O44" s="670"/>
      <c r="P44" s="197"/>
      <c r="Q44" s="178"/>
      <c r="R44" s="176"/>
      <c r="S44" s="179"/>
      <c r="T44" s="891">
        <f t="shared" si="1"/>
        <v>0</v>
      </c>
      <c r="U44" s="665">
        <v>0.3</v>
      </c>
      <c r="V44" s="666">
        <v>0.5</v>
      </c>
      <c r="W44" s="892" t="str">
        <f t="shared" si="2"/>
        <v/>
      </c>
      <c r="X44" s="691">
        <v>0.3</v>
      </c>
      <c r="Y44" s="687">
        <v>0.3</v>
      </c>
      <c r="Z44" s="664">
        <f t="shared" si="62"/>
        <v>0</v>
      </c>
      <c r="AA44" s="656">
        <f t="shared" si="63"/>
        <v>0</v>
      </c>
      <c r="AB44" s="891">
        <f t="shared" si="3"/>
        <v>0</v>
      </c>
      <c r="AC44" s="892">
        <f t="shared" si="64"/>
        <v>0</v>
      </c>
      <c r="AD44" s="181"/>
      <c r="AE44" s="879" t="str">
        <f t="shared" si="4"/>
        <v/>
      </c>
      <c r="AF44" s="879" t="str">
        <f t="shared" si="5"/>
        <v/>
      </c>
      <c r="AG44" s="879" t="str">
        <f t="shared" si="6"/>
        <v/>
      </c>
      <c r="AH44" s="880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5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1"/>
        <v>31</v>
      </c>
      <c r="C45" s="180"/>
      <c r="D45" s="178"/>
      <c r="E45" s="179"/>
      <c r="F45" s="179"/>
      <c r="G45" s="668"/>
      <c r="H45" s="901"/>
      <c r="I45" s="901"/>
      <c r="J45" s="179"/>
      <c r="K45" s="669"/>
      <c r="L45" s="179"/>
      <c r="M45" s="669"/>
      <c r="N45" s="670"/>
      <c r="O45" s="670"/>
      <c r="P45" s="197"/>
      <c r="Q45" s="178"/>
      <c r="R45" s="176"/>
      <c r="S45" s="179"/>
      <c r="T45" s="891">
        <f t="shared" si="1"/>
        <v>0</v>
      </c>
      <c r="U45" s="665">
        <v>0.3</v>
      </c>
      <c r="V45" s="666">
        <v>0.5</v>
      </c>
      <c r="W45" s="892" t="str">
        <f t="shared" si="2"/>
        <v/>
      </c>
      <c r="X45" s="691">
        <v>0.3</v>
      </c>
      <c r="Y45" s="687">
        <v>0.3</v>
      </c>
      <c r="Z45" s="664">
        <f t="shared" si="62"/>
        <v>0</v>
      </c>
      <c r="AA45" s="656">
        <f t="shared" si="63"/>
        <v>0</v>
      </c>
      <c r="AB45" s="891">
        <f t="shared" si="3"/>
        <v>0</v>
      </c>
      <c r="AC45" s="892">
        <f t="shared" si="64"/>
        <v>0</v>
      </c>
      <c r="AD45" s="181"/>
      <c r="AE45" s="879" t="str">
        <f t="shared" si="4"/>
        <v/>
      </c>
      <c r="AF45" s="879" t="str">
        <f t="shared" si="5"/>
        <v/>
      </c>
      <c r="AG45" s="879" t="str">
        <f t="shared" si="6"/>
        <v/>
      </c>
      <c r="AH45" s="880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5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1"/>
        <v>32</v>
      </c>
      <c r="C46" s="180"/>
      <c r="D46" s="178"/>
      <c r="E46" s="179"/>
      <c r="F46" s="179"/>
      <c r="G46" s="668"/>
      <c r="H46" s="901"/>
      <c r="I46" s="901"/>
      <c r="J46" s="179"/>
      <c r="K46" s="669"/>
      <c r="L46" s="179"/>
      <c r="M46" s="669"/>
      <c r="N46" s="670"/>
      <c r="O46" s="670"/>
      <c r="P46" s="197"/>
      <c r="Q46" s="178"/>
      <c r="R46" s="176"/>
      <c r="S46" s="179"/>
      <c r="T46" s="891">
        <f t="shared" si="1"/>
        <v>0</v>
      </c>
      <c r="U46" s="665">
        <v>0.3</v>
      </c>
      <c r="V46" s="666">
        <v>0.5</v>
      </c>
      <c r="W46" s="892" t="str">
        <f t="shared" si="2"/>
        <v/>
      </c>
      <c r="X46" s="691">
        <v>0.3</v>
      </c>
      <c r="Y46" s="687">
        <v>0.3</v>
      </c>
      <c r="Z46" s="664">
        <f t="shared" si="62"/>
        <v>0</v>
      </c>
      <c r="AA46" s="656">
        <f t="shared" si="63"/>
        <v>0</v>
      </c>
      <c r="AB46" s="891">
        <f t="shared" si="3"/>
        <v>0</v>
      </c>
      <c r="AC46" s="892">
        <f t="shared" si="64"/>
        <v>0</v>
      </c>
      <c r="AD46" s="181"/>
      <c r="AE46" s="879" t="str">
        <f t="shared" si="4"/>
        <v/>
      </c>
      <c r="AF46" s="879" t="str">
        <f t="shared" si="5"/>
        <v/>
      </c>
      <c r="AG46" s="879" t="str">
        <f t="shared" si="6"/>
        <v/>
      </c>
      <c r="AH46" s="880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5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1"/>
        <v>33</v>
      </c>
      <c r="C47" s="180"/>
      <c r="D47" s="178"/>
      <c r="E47" s="179"/>
      <c r="F47" s="179"/>
      <c r="G47" s="668"/>
      <c r="H47" s="901"/>
      <c r="I47" s="901"/>
      <c r="J47" s="179"/>
      <c r="K47" s="669"/>
      <c r="L47" s="179"/>
      <c r="M47" s="669"/>
      <c r="N47" s="670"/>
      <c r="O47" s="670"/>
      <c r="P47" s="197"/>
      <c r="Q47" s="178"/>
      <c r="R47" s="176"/>
      <c r="S47" s="179"/>
      <c r="T47" s="891">
        <f t="shared" si="1"/>
        <v>0</v>
      </c>
      <c r="U47" s="665">
        <v>0.3</v>
      </c>
      <c r="V47" s="666">
        <v>0.5</v>
      </c>
      <c r="W47" s="892" t="str">
        <f t="shared" si="2"/>
        <v/>
      </c>
      <c r="X47" s="691">
        <v>0.3</v>
      </c>
      <c r="Y47" s="687">
        <v>0.3</v>
      </c>
      <c r="Z47" s="664">
        <f t="shared" si="62"/>
        <v>0</v>
      </c>
      <c r="AA47" s="656">
        <f t="shared" si="63"/>
        <v>0</v>
      </c>
      <c r="AB47" s="891">
        <f t="shared" si="3"/>
        <v>0</v>
      </c>
      <c r="AC47" s="892">
        <f t="shared" si="64"/>
        <v>0</v>
      </c>
      <c r="AD47" s="181"/>
      <c r="AE47" s="879" t="str">
        <f t="shared" si="4"/>
        <v/>
      </c>
      <c r="AF47" s="879" t="str">
        <f t="shared" si="5"/>
        <v/>
      </c>
      <c r="AG47" s="879" t="str">
        <f t="shared" si="6"/>
        <v/>
      </c>
      <c r="AH47" s="880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5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1"/>
        <v>34</v>
      </c>
      <c r="C48" s="180"/>
      <c r="D48" s="178"/>
      <c r="E48" s="179"/>
      <c r="F48" s="179"/>
      <c r="G48" s="668"/>
      <c r="H48" s="901"/>
      <c r="I48" s="901"/>
      <c r="J48" s="179"/>
      <c r="K48" s="669"/>
      <c r="L48" s="179"/>
      <c r="M48" s="669"/>
      <c r="N48" s="670"/>
      <c r="O48" s="670"/>
      <c r="P48" s="197"/>
      <c r="Q48" s="178"/>
      <c r="R48" s="176"/>
      <c r="S48" s="179"/>
      <c r="T48" s="891">
        <f t="shared" si="1"/>
        <v>0</v>
      </c>
      <c r="U48" s="665">
        <v>0.3</v>
      </c>
      <c r="V48" s="666">
        <v>0.5</v>
      </c>
      <c r="W48" s="892" t="str">
        <f t="shared" si="2"/>
        <v/>
      </c>
      <c r="X48" s="691">
        <v>0.3</v>
      </c>
      <c r="Y48" s="687">
        <v>0.3</v>
      </c>
      <c r="Z48" s="664">
        <f t="shared" si="62"/>
        <v>0</v>
      </c>
      <c r="AA48" s="656">
        <f t="shared" si="63"/>
        <v>0</v>
      </c>
      <c r="AB48" s="891">
        <f t="shared" si="3"/>
        <v>0</v>
      </c>
      <c r="AC48" s="892">
        <f t="shared" si="64"/>
        <v>0</v>
      </c>
      <c r="AD48" s="181"/>
      <c r="AE48" s="879" t="str">
        <f t="shared" si="4"/>
        <v/>
      </c>
      <c r="AF48" s="879" t="str">
        <f t="shared" si="5"/>
        <v/>
      </c>
      <c r="AG48" s="879" t="str">
        <f t="shared" si="6"/>
        <v/>
      </c>
      <c r="AH48" s="880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5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1"/>
        <v>35</v>
      </c>
      <c r="C49" s="180"/>
      <c r="D49" s="178"/>
      <c r="E49" s="179"/>
      <c r="F49" s="179"/>
      <c r="G49" s="668"/>
      <c r="H49" s="901"/>
      <c r="I49" s="901"/>
      <c r="J49" s="179"/>
      <c r="K49" s="669"/>
      <c r="L49" s="179"/>
      <c r="M49" s="669"/>
      <c r="N49" s="670"/>
      <c r="O49" s="670"/>
      <c r="P49" s="197"/>
      <c r="Q49" s="178"/>
      <c r="R49" s="176"/>
      <c r="S49" s="179"/>
      <c r="T49" s="891">
        <f t="shared" si="1"/>
        <v>0</v>
      </c>
      <c r="U49" s="665">
        <v>0.3</v>
      </c>
      <c r="V49" s="666">
        <v>0.5</v>
      </c>
      <c r="W49" s="892" t="str">
        <f t="shared" si="2"/>
        <v/>
      </c>
      <c r="X49" s="691">
        <v>0.3</v>
      </c>
      <c r="Y49" s="687">
        <v>0.3</v>
      </c>
      <c r="Z49" s="664">
        <f t="shared" si="62"/>
        <v>0</v>
      </c>
      <c r="AA49" s="656">
        <f t="shared" si="63"/>
        <v>0</v>
      </c>
      <c r="AB49" s="891">
        <f t="shared" si="3"/>
        <v>0</v>
      </c>
      <c r="AC49" s="892">
        <f t="shared" si="64"/>
        <v>0</v>
      </c>
      <c r="AD49" s="181"/>
      <c r="AE49" s="879" t="str">
        <f t="shared" si="4"/>
        <v/>
      </c>
      <c r="AF49" s="879" t="str">
        <f t="shared" si="5"/>
        <v/>
      </c>
      <c r="AG49" s="879" t="str">
        <f t="shared" si="6"/>
        <v/>
      </c>
      <c r="AH49" s="880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5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1"/>
        <v>36</v>
      </c>
      <c r="C50" s="180"/>
      <c r="D50" s="178"/>
      <c r="E50" s="179"/>
      <c r="F50" s="179"/>
      <c r="G50" s="668"/>
      <c r="H50" s="901"/>
      <c r="I50" s="901"/>
      <c r="J50" s="179"/>
      <c r="K50" s="669"/>
      <c r="L50" s="179"/>
      <c r="M50" s="669"/>
      <c r="N50" s="670"/>
      <c r="O50" s="670"/>
      <c r="P50" s="197"/>
      <c r="Q50" s="178"/>
      <c r="R50" s="176"/>
      <c r="S50" s="179"/>
      <c r="T50" s="891">
        <f t="shared" si="1"/>
        <v>0</v>
      </c>
      <c r="U50" s="665">
        <v>0.3</v>
      </c>
      <c r="V50" s="666">
        <v>0.5</v>
      </c>
      <c r="W50" s="892" t="str">
        <f t="shared" si="2"/>
        <v/>
      </c>
      <c r="X50" s="691">
        <v>0.3</v>
      </c>
      <c r="Y50" s="687">
        <v>0.3</v>
      </c>
      <c r="Z50" s="664">
        <f t="shared" si="62"/>
        <v>0</v>
      </c>
      <c r="AA50" s="656">
        <f t="shared" si="63"/>
        <v>0</v>
      </c>
      <c r="AB50" s="891">
        <f t="shared" si="3"/>
        <v>0</v>
      </c>
      <c r="AC50" s="892">
        <f t="shared" si="64"/>
        <v>0</v>
      </c>
      <c r="AD50" s="181"/>
      <c r="AE50" s="879" t="str">
        <f t="shared" si="4"/>
        <v/>
      </c>
      <c r="AF50" s="879" t="str">
        <f t="shared" si="5"/>
        <v/>
      </c>
      <c r="AG50" s="879" t="str">
        <f t="shared" si="6"/>
        <v/>
      </c>
      <c r="AH50" s="880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5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1"/>
        <v>37</v>
      </c>
      <c r="C51" s="180"/>
      <c r="D51" s="178"/>
      <c r="E51" s="179"/>
      <c r="F51" s="179"/>
      <c r="G51" s="668"/>
      <c r="H51" s="179"/>
      <c r="I51" s="179"/>
      <c r="J51" s="179"/>
      <c r="K51" s="669"/>
      <c r="L51" s="179"/>
      <c r="M51" s="669"/>
      <c r="N51" s="670"/>
      <c r="O51" s="670"/>
      <c r="P51" s="197"/>
      <c r="Q51" s="178"/>
      <c r="R51" s="176"/>
      <c r="S51" s="179"/>
      <c r="T51" s="891">
        <f t="shared" si="1"/>
        <v>0</v>
      </c>
      <c r="U51" s="665">
        <v>0.3</v>
      </c>
      <c r="V51" s="666">
        <v>0.5</v>
      </c>
      <c r="W51" s="892" t="str">
        <f t="shared" si="2"/>
        <v/>
      </c>
      <c r="X51" s="691">
        <v>0.3</v>
      </c>
      <c r="Y51" s="687">
        <v>0.3</v>
      </c>
      <c r="Z51" s="664">
        <f t="shared" si="62"/>
        <v>0</v>
      </c>
      <c r="AA51" s="656">
        <f t="shared" si="63"/>
        <v>0</v>
      </c>
      <c r="AB51" s="891">
        <f t="shared" si="3"/>
        <v>0</v>
      </c>
      <c r="AC51" s="892">
        <f t="shared" si="64"/>
        <v>0</v>
      </c>
      <c r="AD51" s="181"/>
      <c r="AE51" s="879" t="str">
        <f t="shared" si="4"/>
        <v/>
      </c>
      <c r="AF51" s="879" t="str">
        <f t="shared" si="5"/>
        <v/>
      </c>
      <c r="AG51" s="879" t="str">
        <f t="shared" si="6"/>
        <v/>
      </c>
      <c r="AH51" s="880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5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1"/>
        <v>38</v>
      </c>
      <c r="C52" s="180"/>
      <c r="D52" s="178"/>
      <c r="E52" s="179"/>
      <c r="F52" s="179"/>
      <c r="G52" s="668"/>
      <c r="H52" s="179"/>
      <c r="I52" s="179"/>
      <c r="J52" s="179"/>
      <c r="K52" s="669"/>
      <c r="L52" s="179"/>
      <c r="M52" s="669"/>
      <c r="N52" s="670"/>
      <c r="O52" s="670"/>
      <c r="P52" s="197"/>
      <c r="Q52" s="178"/>
      <c r="R52" s="176"/>
      <c r="S52" s="179"/>
      <c r="T52" s="891">
        <f t="shared" si="1"/>
        <v>0</v>
      </c>
      <c r="U52" s="665">
        <v>0.3</v>
      </c>
      <c r="V52" s="666">
        <v>0.5</v>
      </c>
      <c r="W52" s="892" t="str">
        <f t="shared" si="2"/>
        <v/>
      </c>
      <c r="X52" s="691">
        <v>0.3</v>
      </c>
      <c r="Y52" s="687">
        <v>0.3</v>
      </c>
      <c r="Z52" s="664">
        <f t="shared" si="62"/>
        <v>0</v>
      </c>
      <c r="AA52" s="656">
        <f t="shared" si="63"/>
        <v>0</v>
      </c>
      <c r="AB52" s="891">
        <f t="shared" si="3"/>
        <v>0</v>
      </c>
      <c r="AC52" s="892">
        <f t="shared" si="64"/>
        <v>0</v>
      </c>
      <c r="AD52" s="181"/>
      <c r="AE52" s="879" t="str">
        <f t="shared" si="4"/>
        <v/>
      </c>
      <c r="AF52" s="879" t="str">
        <f t="shared" si="5"/>
        <v/>
      </c>
      <c r="AG52" s="879" t="str">
        <f t="shared" si="6"/>
        <v/>
      </c>
      <c r="AH52" s="880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5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1"/>
        <v>39</v>
      </c>
      <c r="C53" s="180"/>
      <c r="D53" s="178"/>
      <c r="E53" s="179"/>
      <c r="F53" s="179"/>
      <c r="G53" s="668"/>
      <c r="H53" s="179"/>
      <c r="I53" s="179"/>
      <c r="J53" s="179"/>
      <c r="K53" s="669"/>
      <c r="L53" s="179"/>
      <c r="M53" s="669"/>
      <c r="N53" s="670"/>
      <c r="O53" s="670"/>
      <c r="P53" s="197"/>
      <c r="Q53" s="178"/>
      <c r="R53" s="176"/>
      <c r="S53" s="179"/>
      <c r="T53" s="891">
        <f t="shared" si="1"/>
        <v>0</v>
      </c>
      <c r="U53" s="665">
        <v>0.3</v>
      </c>
      <c r="V53" s="666">
        <v>0.5</v>
      </c>
      <c r="W53" s="892" t="str">
        <f t="shared" si="2"/>
        <v/>
      </c>
      <c r="X53" s="691">
        <v>0.3</v>
      </c>
      <c r="Y53" s="687">
        <v>0.3</v>
      </c>
      <c r="Z53" s="664">
        <f t="shared" si="62"/>
        <v>0</v>
      </c>
      <c r="AA53" s="656">
        <f t="shared" si="63"/>
        <v>0</v>
      </c>
      <c r="AB53" s="891">
        <f t="shared" si="3"/>
        <v>0</v>
      </c>
      <c r="AC53" s="892">
        <f t="shared" si="64"/>
        <v>0</v>
      </c>
      <c r="AD53" s="181"/>
      <c r="AE53" s="879" t="str">
        <f t="shared" si="4"/>
        <v/>
      </c>
      <c r="AF53" s="879" t="str">
        <f t="shared" si="5"/>
        <v/>
      </c>
      <c r="AG53" s="879" t="str">
        <f t="shared" si="6"/>
        <v/>
      </c>
      <c r="AH53" s="880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5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1"/>
        <v>40</v>
      </c>
      <c r="C54" s="180"/>
      <c r="D54" s="178"/>
      <c r="E54" s="179"/>
      <c r="F54" s="179"/>
      <c r="G54" s="668"/>
      <c r="H54" s="179"/>
      <c r="I54" s="179"/>
      <c r="J54" s="179"/>
      <c r="K54" s="669"/>
      <c r="L54" s="179"/>
      <c r="M54" s="669"/>
      <c r="N54" s="670"/>
      <c r="O54" s="670"/>
      <c r="P54" s="197"/>
      <c r="Q54" s="178"/>
      <c r="R54" s="176"/>
      <c r="S54" s="179"/>
      <c r="T54" s="891">
        <f t="shared" si="1"/>
        <v>0</v>
      </c>
      <c r="U54" s="665">
        <v>0.3</v>
      </c>
      <c r="V54" s="666">
        <v>0.5</v>
      </c>
      <c r="W54" s="892" t="str">
        <f t="shared" si="2"/>
        <v/>
      </c>
      <c r="X54" s="691">
        <v>0.3</v>
      </c>
      <c r="Y54" s="687">
        <v>0.3</v>
      </c>
      <c r="Z54" s="664">
        <f t="shared" si="62"/>
        <v>0</v>
      </c>
      <c r="AA54" s="656">
        <f t="shared" si="63"/>
        <v>0</v>
      </c>
      <c r="AB54" s="891">
        <f t="shared" si="3"/>
        <v>0</v>
      </c>
      <c r="AC54" s="892">
        <f t="shared" si="64"/>
        <v>0</v>
      </c>
      <c r="AD54" s="181"/>
      <c r="AE54" s="879" t="str">
        <f t="shared" si="4"/>
        <v/>
      </c>
      <c r="AF54" s="879" t="str">
        <f t="shared" si="5"/>
        <v/>
      </c>
      <c r="AG54" s="879" t="str">
        <f t="shared" si="6"/>
        <v/>
      </c>
      <c r="AH54" s="880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5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1"/>
        <v>41</v>
      </c>
      <c r="C55" s="180"/>
      <c r="D55" s="178"/>
      <c r="E55" s="179"/>
      <c r="F55" s="179"/>
      <c r="G55" s="668"/>
      <c r="H55" s="179"/>
      <c r="I55" s="179"/>
      <c r="J55" s="179"/>
      <c r="K55" s="669"/>
      <c r="L55" s="179"/>
      <c r="M55" s="669"/>
      <c r="N55" s="670"/>
      <c r="O55" s="670"/>
      <c r="P55" s="197"/>
      <c r="Q55" s="178"/>
      <c r="R55" s="176"/>
      <c r="S55" s="179"/>
      <c r="T55" s="891">
        <f t="shared" si="1"/>
        <v>0</v>
      </c>
      <c r="U55" s="665">
        <v>0.3</v>
      </c>
      <c r="V55" s="666">
        <v>0.5</v>
      </c>
      <c r="W55" s="892" t="str">
        <f t="shared" si="2"/>
        <v/>
      </c>
      <c r="X55" s="691">
        <v>0.3</v>
      </c>
      <c r="Y55" s="687">
        <v>0.3</v>
      </c>
      <c r="Z55" s="664">
        <f t="shared" si="62"/>
        <v>0</v>
      </c>
      <c r="AA55" s="656">
        <f t="shared" si="63"/>
        <v>0</v>
      </c>
      <c r="AB55" s="891">
        <f t="shared" si="3"/>
        <v>0</v>
      </c>
      <c r="AC55" s="892">
        <f t="shared" si="64"/>
        <v>0</v>
      </c>
      <c r="AD55" s="181"/>
      <c r="AE55" s="879" t="str">
        <f t="shared" si="4"/>
        <v/>
      </c>
      <c r="AF55" s="879" t="str">
        <f t="shared" si="5"/>
        <v/>
      </c>
      <c r="AG55" s="879" t="str">
        <f t="shared" si="6"/>
        <v/>
      </c>
      <c r="AH55" s="880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5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1"/>
        <v>42</v>
      </c>
      <c r="C56" s="180"/>
      <c r="D56" s="178"/>
      <c r="E56" s="179"/>
      <c r="F56" s="179"/>
      <c r="G56" s="668"/>
      <c r="H56" s="179"/>
      <c r="I56" s="179"/>
      <c r="J56" s="179"/>
      <c r="K56" s="669"/>
      <c r="L56" s="179"/>
      <c r="M56" s="669"/>
      <c r="N56" s="670"/>
      <c r="O56" s="670"/>
      <c r="P56" s="197"/>
      <c r="Q56" s="178"/>
      <c r="R56" s="176"/>
      <c r="S56" s="179"/>
      <c r="T56" s="891">
        <f t="shared" si="1"/>
        <v>0</v>
      </c>
      <c r="U56" s="665">
        <v>0.3</v>
      </c>
      <c r="V56" s="666">
        <v>0.5</v>
      </c>
      <c r="W56" s="892" t="str">
        <f t="shared" si="2"/>
        <v/>
      </c>
      <c r="X56" s="691">
        <v>0.3</v>
      </c>
      <c r="Y56" s="687">
        <v>0.3</v>
      </c>
      <c r="Z56" s="664">
        <f t="shared" si="62"/>
        <v>0</v>
      </c>
      <c r="AA56" s="656">
        <f t="shared" si="63"/>
        <v>0</v>
      </c>
      <c r="AB56" s="891">
        <f t="shared" si="3"/>
        <v>0</v>
      </c>
      <c r="AC56" s="892">
        <f t="shared" si="64"/>
        <v>0</v>
      </c>
      <c r="AD56" s="181"/>
      <c r="AE56" s="879" t="str">
        <f t="shared" si="4"/>
        <v/>
      </c>
      <c r="AF56" s="879" t="str">
        <f t="shared" si="5"/>
        <v/>
      </c>
      <c r="AG56" s="879" t="str">
        <f t="shared" si="6"/>
        <v/>
      </c>
      <c r="AH56" s="880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5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1"/>
        <v>43</v>
      </c>
      <c r="C57" s="180"/>
      <c r="D57" s="178"/>
      <c r="E57" s="179"/>
      <c r="F57" s="179"/>
      <c r="G57" s="668"/>
      <c r="H57" s="179"/>
      <c r="I57" s="179"/>
      <c r="J57" s="179"/>
      <c r="K57" s="669"/>
      <c r="L57" s="179"/>
      <c r="M57" s="669"/>
      <c r="N57" s="670"/>
      <c r="O57" s="670"/>
      <c r="P57" s="197"/>
      <c r="Q57" s="178"/>
      <c r="R57" s="176"/>
      <c r="S57" s="179"/>
      <c r="T57" s="891">
        <f t="shared" si="1"/>
        <v>0</v>
      </c>
      <c r="U57" s="665">
        <v>0.3</v>
      </c>
      <c r="V57" s="666">
        <v>0.5</v>
      </c>
      <c r="W57" s="892" t="str">
        <f t="shared" si="2"/>
        <v/>
      </c>
      <c r="X57" s="691">
        <v>0.3</v>
      </c>
      <c r="Y57" s="687">
        <v>0.3</v>
      </c>
      <c r="Z57" s="664">
        <f t="shared" si="62"/>
        <v>0</v>
      </c>
      <c r="AA57" s="656">
        <f t="shared" si="63"/>
        <v>0</v>
      </c>
      <c r="AB57" s="891">
        <f t="shared" si="3"/>
        <v>0</v>
      </c>
      <c r="AC57" s="892">
        <f t="shared" si="64"/>
        <v>0</v>
      </c>
      <c r="AD57" s="181"/>
      <c r="AE57" s="879" t="str">
        <f t="shared" si="4"/>
        <v/>
      </c>
      <c r="AF57" s="879" t="str">
        <f t="shared" si="5"/>
        <v/>
      </c>
      <c r="AG57" s="879" t="str">
        <f t="shared" si="6"/>
        <v/>
      </c>
      <c r="AH57" s="880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5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1"/>
        <v>44</v>
      </c>
      <c r="C58" s="180"/>
      <c r="D58" s="178"/>
      <c r="E58" s="179"/>
      <c r="F58" s="179"/>
      <c r="G58" s="668"/>
      <c r="H58" s="179"/>
      <c r="I58" s="179"/>
      <c r="J58" s="179"/>
      <c r="K58" s="669"/>
      <c r="L58" s="179"/>
      <c r="M58" s="669"/>
      <c r="N58" s="670"/>
      <c r="O58" s="670"/>
      <c r="P58" s="197"/>
      <c r="Q58" s="178"/>
      <c r="R58" s="176"/>
      <c r="S58" s="179"/>
      <c r="T58" s="891">
        <f t="shared" si="1"/>
        <v>0</v>
      </c>
      <c r="U58" s="665">
        <v>0.3</v>
      </c>
      <c r="V58" s="666">
        <v>0.5</v>
      </c>
      <c r="W58" s="892" t="str">
        <f t="shared" si="2"/>
        <v/>
      </c>
      <c r="X58" s="691">
        <v>0.3</v>
      </c>
      <c r="Y58" s="687">
        <v>0.3</v>
      </c>
      <c r="Z58" s="664">
        <f t="shared" si="62"/>
        <v>0</v>
      </c>
      <c r="AA58" s="656">
        <f t="shared" si="63"/>
        <v>0</v>
      </c>
      <c r="AB58" s="891">
        <f t="shared" si="3"/>
        <v>0</v>
      </c>
      <c r="AC58" s="892">
        <f t="shared" si="64"/>
        <v>0</v>
      </c>
      <c r="AD58" s="181"/>
      <c r="AE58" s="879" t="str">
        <f t="shared" si="4"/>
        <v/>
      </c>
      <c r="AF58" s="879" t="str">
        <f t="shared" si="5"/>
        <v/>
      </c>
      <c r="AG58" s="879" t="str">
        <f t="shared" si="6"/>
        <v/>
      </c>
      <c r="AH58" s="880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5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1"/>
        <v>45</v>
      </c>
      <c r="C59" s="180"/>
      <c r="D59" s="178"/>
      <c r="E59" s="179"/>
      <c r="F59" s="179"/>
      <c r="G59" s="668"/>
      <c r="H59" s="179"/>
      <c r="I59" s="179"/>
      <c r="J59" s="179"/>
      <c r="K59" s="669"/>
      <c r="L59" s="179"/>
      <c r="M59" s="669"/>
      <c r="N59" s="670"/>
      <c r="O59" s="670"/>
      <c r="P59" s="197"/>
      <c r="Q59" s="178"/>
      <c r="R59" s="176"/>
      <c r="S59" s="179"/>
      <c r="T59" s="891">
        <f t="shared" si="1"/>
        <v>0</v>
      </c>
      <c r="U59" s="665">
        <v>0.3</v>
      </c>
      <c r="V59" s="666">
        <v>0.5</v>
      </c>
      <c r="W59" s="892" t="str">
        <f t="shared" si="2"/>
        <v/>
      </c>
      <c r="X59" s="691">
        <v>0.3</v>
      </c>
      <c r="Y59" s="687">
        <v>0.3</v>
      </c>
      <c r="Z59" s="664">
        <f t="shared" si="62"/>
        <v>0</v>
      </c>
      <c r="AA59" s="656">
        <f t="shared" si="63"/>
        <v>0</v>
      </c>
      <c r="AB59" s="891">
        <f t="shared" si="3"/>
        <v>0</v>
      </c>
      <c r="AC59" s="892">
        <f t="shared" si="64"/>
        <v>0</v>
      </c>
      <c r="AD59" s="181"/>
      <c r="AE59" s="879" t="str">
        <f t="shared" si="4"/>
        <v/>
      </c>
      <c r="AF59" s="879" t="str">
        <f t="shared" si="5"/>
        <v/>
      </c>
      <c r="AG59" s="879" t="str">
        <f t="shared" si="6"/>
        <v/>
      </c>
      <c r="AH59" s="880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5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1"/>
        <v>46</v>
      </c>
      <c r="C60" s="180"/>
      <c r="D60" s="178"/>
      <c r="E60" s="179"/>
      <c r="F60" s="179"/>
      <c r="G60" s="668"/>
      <c r="H60" s="179"/>
      <c r="I60" s="179"/>
      <c r="J60" s="179"/>
      <c r="K60" s="669"/>
      <c r="L60" s="179"/>
      <c r="M60" s="669"/>
      <c r="N60" s="670"/>
      <c r="O60" s="670"/>
      <c r="P60" s="197"/>
      <c r="Q60" s="178"/>
      <c r="R60" s="176"/>
      <c r="S60" s="179"/>
      <c r="T60" s="891">
        <f t="shared" si="1"/>
        <v>0</v>
      </c>
      <c r="U60" s="665">
        <v>0.3</v>
      </c>
      <c r="V60" s="666">
        <v>0.5</v>
      </c>
      <c r="W60" s="892" t="str">
        <f t="shared" si="2"/>
        <v/>
      </c>
      <c r="X60" s="691">
        <v>0.3</v>
      </c>
      <c r="Y60" s="687">
        <v>0.3</v>
      </c>
      <c r="Z60" s="664">
        <f t="shared" si="62"/>
        <v>0</v>
      </c>
      <c r="AA60" s="656">
        <f t="shared" si="63"/>
        <v>0</v>
      </c>
      <c r="AB60" s="891">
        <f t="shared" si="3"/>
        <v>0</v>
      </c>
      <c r="AC60" s="892">
        <f t="shared" si="64"/>
        <v>0</v>
      </c>
      <c r="AD60" s="181"/>
      <c r="AE60" s="879" t="str">
        <f t="shared" si="4"/>
        <v/>
      </c>
      <c r="AF60" s="879" t="str">
        <f t="shared" si="5"/>
        <v/>
      </c>
      <c r="AG60" s="879" t="str">
        <f t="shared" si="6"/>
        <v/>
      </c>
      <c r="AH60" s="880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5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1"/>
        <v>47</v>
      </c>
      <c r="C61" s="180"/>
      <c r="D61" s="178"/>
      <c r="E61" s="179"/>
      <c r="F61" s="179"/>
      <c r="G61" s="668"/>
      <c r="H61" s="179"/>
      <c r="I61" s="179"/>
      <c r="J61" s="179"/>
      <c r="K61" s="669"/>
      <c r="L61" s="179"/>
      <c r="M61" s="669"/>
      <c r="N61" s="670"/>
      <c r="O61" s="670"/>
      <c r="P61" s="197"/>
      <c r="Q61" s="178"/>
      <c r="R61" s="176"/>
      <c r="S61" s="179"/>
      <c r="T61" s="891">
        <f t="shared" si="1"/>
        <v>0</v>
      </c>
      <c r="U61" s="665">
        <v>0.3</v>
      </c>
      <c r="V61" s="666">
        <v>0.5</v>
      </c>
      <c r="W61" s="892" t="str">
        <f t="shared" si="2"/>
        <v/>
      </c>
      <c r="X61" s="691">
        <v>0.3</v>
      </c>
      <c r="Y61" s="687">
        <v>0.3</v>
      </c>
      <c r="Z61" s="664">
        <f t="shared" si="62"/>
        <v>0</v>
      </c>
      <c r="AA61" s="656">
        <f t="shared" si="63"/>
        <v>0</v>
      </c>
      <c r="AB61" s="891">
        <f t="shared" si="3"/>
        <v>0</v>
      </c>
      <c r="AC61" s="892">
        <f t="shared" si="64"/>
        <v>0</v>
      </c>
      <c r="AD61" s="181"/>
      <c r="AE61" s="879" t="str">
        <f t="shared" si="4"/>
        <v/>
      </c>
      <c r="AF61" s="879" t="str">
        <f t="shared" si="5"/>
        <v/>
      </c>
      <c r="AG61" s="879" t="str">
        <f t="shared" si="6"/>
        <v/>
      </c>
      <c r="AH61" s="880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5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1"/>
        <v>48</v>
      </c>
      <c r="C62" s="180"/>
      <c r="D62" s="178"/>
      <c r="E62" s="179"/>
      <c r="F62" s="179"/>
      <c r="G62" s="668"/>
      <c r="H62" s="179"/>
      <c r="I62" s="179"/>
      <c r="J62" s="179"/>
      <c r="K62" s="669"/>
      <c r="L62" s="179"/>
      <c r="M62" s="669"/>
      <c r="N62" s="670"/>
      <c r="O62" s="670"/>
      <c r="P62" s="197"/>
      <c r="Q62" s="178"/>
      <c r="R62" s="176"/>
      <c r="S62" s="179"/>
      <c r="T62" s="891">
        <f t="shared" si="1"/>
        <v>0</v>
      </c>
      <c r="U62" s="665">
        <v>0.3</v>
      </c>
      <c r="V62" s="666">
        <v>0.5</v>
      </c>
      <c r="W62" s="892" t="str">
        <f t="shared" si="2"/>
        <v/>
      </c>
      <c r="X62" s="691">
        <v>0.3</v>
      </c>
      <c r="Y62" s="687">
        <v>0.3</v>
      </c>
      <c r="Z62" s="664">
        <f t="shared" si="62"/>
        <v>0</v>
      </c>
      <c r="AA62" s="656">
        <f t="shared" si="63"/>
        <v>0</v>
      </c>
      <c r="AB62" s="891">
        <f t="shared" si="3"/>
        <v>0</v>
      </c>
      <c r="AC62" s="892">
        <f t="shared" si="64"/>
        <v>0</v>
      </c>
      <c r="AD62" s="181"/>
      <c r="AE62" s="879" t="str">
        <f t="shared" si="4"/>
        <v/>
      </c>
      <c r="AF62" s="879" t="str">
        <f t="shared" si="5"/>
        <v/>
      </c>
      <c r="AG62" s="879" t="str">
        <f t="shared" si="6"/>
        <v/>
      </c>
      <c r="AH62" s="880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5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07" t="str">
        <f>IF('FILL QUOTE-CALCULATIONS'!S4="INGLES","QTY.","CANT.")</f>
        <v>QTY.</v>
      </c>
      <c r="D63" s="908" t="str">
        <f>IF('FILL QUOTE-CALCULATIONS'!S4="INGLES","DESCRIPTION OF ADDITIONAL SERVICES","DESCRIPCION DE SERVICIOS ADICIONALES")</f>
        <v>DESCRIPTION OF ADDITIONAL SERVICES</v>
      </c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407"/>
      <c r="U63" s="407"/>
      <c r="V63" s="407"/>
      <c r="W63" s="407"/>
      <c r="X63" s="407"/>
      <c r="Y63" s="407"/>
      <c r="Z63" s="407"/>
      <c r="AA63" s="407"/>
      <c r="AB63" s="233"/>
      <c r="AC63" s="234"/>
      <c r="AD63" s="181"/>
    </row>
    <row r="64" spans="2:62" ht="19.5" thickBot="1" x14ac:dyDescent="0.3">
      <c r="B64" s="235">
        <v>1</v>
      </c>
      <c r="C64" s="193">
        <v>2</v>
      </c>
      <c r="D64" s="236" t="s">
        <v>752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400</v>
      </c>
      <c r="AC64" s="893">
        <f t="shared" ref="AC64:AC67" si="66">IF(C64="","",IF($S$3="PESOS",C64*AB64*$AC$4,C64*AB64))</f>
        <v>800</v>
      </c>
      <c r="AD64" s="181"/>
    </row>
    <row r="65" spans="2:35" ht="18.75" x14ac:dyDescent="0.25">
      <c r="B65" s="231">
        <f t="shared" ref="B65:B67" si="67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3" t="str">
        <f t="shared" si="66"/>
        <v/>
      </c>
      <c r="AD65" s="181"/>
      <c r="AF65" s="222"/>
    </row>
    <row r="66" spans="2:35" ht="18.75" x14ac:dyDescent="0.25">
      <c r="B66" s="231">
        <f t="shared" si="67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3" t="str">
        <f t="shared" si="66"/>
        <v/>
      </c>
      <c r="AD66" s="181"/>
      <c r="AF66" s="222"/>
    </row>
    <row r="67" spans="2:35" ht="19.5" thickBot="1" x14ac:dyDescent="0.3">
      <c r="B67" s="242">
        <f t="shared" si="67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4" t="str">
        <f t="shared" si="66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895">
        <f>SUM(AC15:AC62)</f>
        <v>750.8</v>
      </c>
      <c r="AD69" s="181"/>
      <c r="AE69" s="881" t="str">
        <f>S3</f>
        <v>DOLLARS</v>
      </c>
      <c r="AF69" s="882" t="str">
        <f>IF(S4="INGLES","CURRENCY TYPE","TIPO DE MONEDA")</f>
        <v>CURRENCY TYPE</v>
      </c>
      <c r="AG69" s="883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896">
        <f>AC71/AC69</f>
        <v>0.4</v>
      </c>
      <c r="AD70" s="181"/>
      <c r="AE70" s="884">
        <f>AC4</f>
        <v>0</v>
      </c>
      <c r="AF70" s="882" t="s">
        <v>222</v>
      </c>
      <c r="AG70" s="883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897">
        <f>SUM(AC15:AC62)-SUM(AA15:AA62)</f>
        <v>300.32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898">
        <f>SUM(AC64:AC67)</f>
        <v>800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899">
        <f>(AC69-AC71)+AC72</f>
        <v>1250.48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0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0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19" t="s">
        <v>713</v>
      </c>
      <c r="D3" s="920"/>
      <c r="E3" s="920"/>
      <c r="F3" s="921"/>
      <c r="H3" s="649">
        <f>'COST - SELL'!C2</f>
        <v>44767</v>
      </c>
      <c r="I3" s="622" t="s">
        <v>715</v>
      </c>
      <c r="J3" s="630">
        <v>0.4</v>
      </c>
      <c r="K3" s="648">
        <v>0.41499999999999998</v>
      </c>
      <c r="L3" s="630">
        <v>0.5</v>
      </c>
      <c r="M3" s="630">
        <v>0.55500000000000005</v>
      </c>
      <c r="N3" s="630">
        <v>0.6</v>
      </c>
      <c r="O3" s="630">
        <v>0.61499999999999999</v>
      </c>
      <c r="P3" s="630">
        <v>0.625</v>
      </c>
      <c r="Q3" s="630">
        <v>0.63600000000000001</v>
      </c>
      <c r="R3" s="630">
        <v>0.66669999999999996</v>
      </c>
      <c r="S3" s="630">
        <v>0.7</v>
      </c>
    </row>
    <row r="4" spans="2:19" ht="16.5" hidden="1" thickBot="1" x14ac:dyDescent="0.3">
      <c r="I4" s="625">
        <v>100</v>
      </c>
      <c r="J4" s="626">
        <f>$I4/(1-J3)</f>
        <v>166.66666666666669</v>
      </c>
      <c r="K4" s="626">
        <f t="shared" ref="K4:S4" si="0">$I4/(1-K3)</f>
        <v>170.94017094017096</v>
      </c>
      <c r="L4" s="626">
        <f t="shared" si="0"/>
        <v>200</v>
      </c>
      <c r="M4" s="626">
        <f t="shared" si="0"/>
        <v>224.71910112359552</v>
      </c>
      <c r="N4" s="626">
        <f t="shared" si="0"/>
        <v>250</v>
      </c>
      <c r="O4" s="626">
        <f t="shared" si="0"/>
        <v>259.74025974025972</v>
      </c>
      <c r="P4" s="626">
        <f>$I4/(1-P3)</f>
        <v>266.66666666666669</v>
      </c>
      <c r="Q4" s="626">
        <f>$I4/(1-Q3)</f>
        <v>274.72527472527474</v>
      </c>
      <c r="R4" s="626">
        <f t="shared" si="0"/>
        <v>300.03000300029998</v>
      </c>
      <c r="S4" s="626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3" t="s">
        <v>714</v>
      </c>
      <c r="J5" s="624">
        <f>J4/$I$4</f>
        <v>1.666666666666667</v>
      </c>
      <c r="K5" s="647">
        <f t="shared" ref="K5:S5" si="1">K4/$I$4</f>
        <v>1.7094017094017095</v>
      </c>
      <c r="L5" s="624">
        <f t="shared" si="1"/>
        <v>2</v>
      </c>
      <c r="M5" s="624">
        <f t="shared" si="1"/>
        <v>2.2471910112359552</v>
      </c>
      <c r="N5" s="624">
        <f t="shared" si="1"/>
        <v>2.5</v>
      </c>
      <c r="O5" s="624">
        <f t="shared" si="1"/>
        <v>2.5974025974025974</v>
      </c>
      <c r="P5" s="624">
        <f t="shared" si="1"/>
        <v>2.666666666666667</v>
      </c>
      <c r="Q5" s="624">
        <f>Q4/$I$4</f>
        <v>2.7472527472527473</v>
      </c>
      <c r="R5" s="624">
        <f>R4/$I$4</f>
        <v>3.0003000300029998</v>
      </c>
      <c r="S5" s="624">
        <f t="shared" si="1"/>
        <v>3.3333333333333326</v>
      </c>
    </row>
    <row r="6" spans="2:19" ht="19.5" hidden="1" thickBot="1" x14ac:dyDescent="0.3">
      <c r="C6" s="265"/>
      <c r="D6" s="632" t="s">
        <v>172</v>
      </c>
      <c r="E6" s="633" t="s">
        <v>172</v>
      </c>
      <c r="F6" s="634" t="s">
        <v>172</v>
      </c>
    </row>
    <row r="7" spans="2:19" s="580" customFormat="1" ht="20.100000000000001" hidden="1" customHeight="1" x14ac:dyDescent="0.25">
      <c r="C7" s="579" t="s">
        <v>198</v>
      </c>
      <c r="D7" s="684">
        <v>0.45</v>
      </c>
      <c r="E7" s="639">
        <v>0.4</v>
      </c>
      <c r="F7" s="640">
        <v>0.3</v>
      </c>
      <c r="J7" s="630">
        <v>0.71399999999999997</v>
      </c>
      <c r="K7" s="630">
        <v>0.73299999999999998</v>
      </c>
      <c r="L7" s="630">
        <v>0.75</v>
      </c>
      <c r="M7" s="627">
        <v>0.77700000000000002</v>
      </c>
      <c r="N7" s="627">
        <v>0.8</v>
      </c>
      <c r="O7" s="627">
        <v>0.83499999999999996</v>
      </c>
      <c r="P7" s="636">
        <v>0.85699999999999998</v>
      </c>
      <c r="Q7" s="636">
        <v>0.86670000000000003</v>
      </c>
      <c r="R7" s="636">
        <v>0.88249999999999995</v>
      </c>
      <c r="S7" s="627">
        <v>0.9</v>
      </c>
    </row>
    <row r="8" spans="2:19" s="580" customFormat="1" ht="20.100000000000001" hidden="1" customHeight="1" thickBot="1" x14ac:dyDescent="0.3">
      <c r="C8" s="581" t="s">
        <v>199</v>
      </c>
      <c r="D8" s="642">
        <v>0.7</v>
      </c>
      <c r="E8" s="582">
        <v>0.4</v>
      </c>
      <c r="F8" s="583">
        <v>0.3</v>
      </c>
      <c r="J8" s="626">
        <f t="shared" ref="J8:S8" si="2">$I4/(1-J7)</f>
        <v>349.6503496503496</v>
      </c>
      <c r="K8" s="628">
        <f t="shared" si="2"/>
        <v>374.53183520599248</v>
      </c>
      <c r="L8" s="628">
        <f t="shared" si="2"/>
        <v>400</v>
      </c>
      <c r="M8" s="628">
        <f t="shared" si="2"/>
        <v>448.43049327354265</v>
      </c>
      <c r="N8" s="628">
        <f t="shared" si="2"/>
        <v>500.00000000000011</v>
      </c>
      <c r="O8" s="628">
        <f t="shared" si="2"/>
        <v>606.06060606060589</v>
      </c>
      <c r="P8" s="628">
        <f t="shared" si="2"/>
        <v>699.30069930069919</v>
      </c>
      <c r="Q8" s="628">
        <f t="shared" si="2"/>
        <v>750.18754688672186</v>
      </c>
      <c r="R8" s="628">
        <f t="shared" si="2"/>
        <v>851.06382978723366</v>
      </c>
      <c r="S8" s="628">
        <f t="shared" si="2"/>
        <v>1000.0000000000002</v>
      </c>
    </row>
    <row r="9" spans="2:19" s="580" customFormat="1" ht="20.100000000000001" hidden="1" customHeight="1" thickBot="1" x14ac:dyDescent="0.3">
      <c r="C9" s="581" t="s">
        <v>703</v>
      </c>
      <c r="D9" s="642">
        <v>0.6</v>
      </c>
      <c r="E9" s="582">
        <v>0.4</v>
      </c>
      <c r="F9" s="583">
        <v>0.3</v>
      </c>
      <c r="J9" s="624">
        <f t="shared" ref="J9:S9" si="3">J8/$I$4</f>
        <v>3.4965034965034958</v>
      </c>
      <c r="K9" s="629">
        <f t="shared" si="3"/>
        <v>3.7453183520599249</v>
      </c>
      <c r="L9" s="629">
        <f t="shared" si="3"/>
        <v>4</v>
      </c>
      <c r="M9" s="629">
        <f t="shared" si="3"/>
        <v>4.4843049327354265</v>
      </c>
      <c r="N9" s="629">
        <f t="shared" si="3"/>
        <v>5.0000000000000009</v>
      </c>
      <c r="O9" s="629">
        <f t="shared" si="3"/>
        <v>6.0606060606060588</v>
      </c>
      <c r="P9" s="629">
        <f t="shared" si="3"/>
        <v>6.9930069930069916</v>
      </c>
      <c r="Q9" s="629">
        <f t="shared" si="3"/>
        <v>7.5018754688672189</v>
      </c>
      <c r="R9" s="629">
        <f t="shared" si="3"/>
        <v>8.5106382978723367</v>
      </c>
      <c r="S9" s="629">
        <f t="shared" si="3"/>
        <v>10.000000000000002</v>
      </c>
    </row>
    <row r="10" spans="2:19" s="580" customFormat="1" ht="20.100000000000001" hidden="1" customHeight="1" x14ac:dyDescent="0.25">
      <c r="C10" s="581" t="s">
        <v>704</v>
      </c>
      <c r="D10" s="641">
        <v>0.61499999999999999</v>
      </c>
      <c r="E10" s="639">
        <f>E7</f>
        <v>0.4</v>
      </c>
      <c r="F10" s="640">
        <f>F7</f>
        <v>0.3</v>
      </c>
    </row>
    <row r="11" spans="2:19" s="580" customFormat="1" ht="20.100000000000001" hidden="1" customHeight="1" x14ac:dyDescent="0.25">
      <c r="C11" s="581" t="s">
        <v>156</v>
      </c>
      <c r="D11" s="642">
        <v>0.5</v>
      </c>
      <c r="E11" s="582">
        <v>0.4</v>
      </c>
      <c r="F11" s="583">
        <v>0.3</v>
      </c>
    </row>
    <row r="12" spans="2:19" s="580" customFormat="1" ht="20.100000000000001" hidden="1" customHeight="1" thickBot="1" x14ac:dyDescent="0.3">
      <c r="C12" s="603" t="s">
        <v>197</v>
      </c>
      <c r="D12" s="643">
        <v>0.5</v>
      </c>
      <c r="E12" s="635">
        <v>0.4</v>
      </c>
      <c r="F12" s="584">
        <v>0.3</v>
      </c>
    </row>
    <row r="13" spans="2:19" s="580" customFormat="1" ht="20.100000000000001" hidden="1" customHeight="1" x14ac:dyDescent="0.25">
      <c r="B13" s="916" t="s">
        <v>706</v>
      </c>
      <c r="C13" s="590" t="s">
        <v>736</v>
      </c>
      <c r="D13" s="644">
        <v>0.45</v>
      </c>
      <c r="E13" s="610">
        <v>0.4</v>
      </c>
      <c r="F13" s="611">
        <v>0.3</v>
      </c>
      <c r="H13" s="650" t="s">
        <v>719</v>
      </c>
      <c r="K13" s="637"/>
    </row>
    <row r="14" spans="2:19" s="580" customFormat="1" ht="20.100000000000001" hidden="1" customHeight="1" x14ac:dyDescent="0.25">
      <c r="B14" s="917"/>
      <c r="C14" s="420" t="s">
        <v>737</v>
      </c>
      <c r="D14" s="677">
        <v>0.4</v>
      </c>
      <c r="E14" s="678">
        <v>0.4</v>
      </c>
      <c r="F14" s="679">
        <v>0.3</v>
      </c>
      <c r="H14" s="650"/>
      <c r="K14" s="637"/>
    </row>
    <row r="15" spans="2:19" ht="20.100000000000001" hidden="1" customHeight="1" x14ac:dyDescent="0.25">
      <c r="B15" s="917"/>
      <c r="C15" s="423" t="s">
        <v>740</v>
      </c>
      <c r="D15" s="680">
        <v>0.5</v>
      </c>
      <c r="E15" s="612">
        <v>0.4</v>
      </c>
      <c r="F15" s="613">
        <v>0.3</v>
      </c>
      <c r="G15" s="580"/>
      <c r="H15" s="651">
        <v>0.5</v>
      </c>
      <c r="I15" s="580" t="s">
        <v>720</v>
      </c>
      <c r="J15" s="580"/>
      <c r="K15" s="580"/>
      <c r="L15" s="580"/>
      <c r="M15" s="580"/>
    </row>
    <row r="16" spans="2:19" ht="20.100000000000001" hidden="1" customHeight="1" x14ac:dyDescent="0.25">
      <c r="B16" s="917"/>
      <c r="C16" s="423" t="s">
        <v>741</v>
      </c>
      <c r="D16" s="680">
        <v>0.5</v>
      </c>
      <c r="E16" s="612">
        <v>0.4</v>
      </c>
      <c r="F16" s="613">
        <v>0.3</v>
      </c>
      <c r="G16" s="580"/>
      <c r="H16" s="651"/>
      <c r="I16" s="580"/>
      <c r="J16" s="580"/>
      <c r="K16" s="580"/>
      <c r="L16" s="580"/>
      <c r="M16" s="580"/>
    </row>
    <row r="17" spans="2:13" ht="20.100000000000001" hidden="1" customHeight="1" x14ac:dyDescent="0.25">
      <c r="B17" s="917"/>
      <c r="C17" s="423" t="s">
        <v>280</v>
      </c>
      <c r="D17" s="652">
        <v>0.61499999999999999</v>
      </c>
      <c r="E17" s="612">
        <v>0.4</v>
      </c>
      <c r="F17" s="613">
        <v>0.3</v>
      </c>
      <c r="G17" s="580"/>
      <c r="H17" s="650"/>
      <c r="I17" s="580"/>
      <c r="J17" s="580"/>
      <c r="K17" s="580"/>
      <c r="L17" s="580"/>
      <c r="M17" s="580"/>
    </row>
    <row r="18" spans="2:13" ht="20.100000000000001" hidden="1" customHeight="1" x14ac:dyDescent="0.25">
      <c r="B18" s="917"/>
      <c r="C18" s="423" t="s">
        <v>342</v>
      </c>
      <c r="D18" s="681">
        <f>83.5%-0.035-0.05</f>
        <v>0.74999999999999989</v>
      </c>
      <c r="E18" s="612">
        <v>0.4</v>
      </c>
      <c r="F18" s="613">
        <v>0.3</v>
      </c>
      <c r="G18" s="580"/>
      <c r="H18" s="651">
        <v>0.3</v>
      </c>
      <c r="I18" s="580" t="s">
        <v>721</v>
      </c>
      <c r="J18" s="580"/>
      <c r="K18" s="637"/>
      <c r="L18" s="580"/>
      <c r="M18" s="580"/>
    </row>
    <row r="19" spans="2:13" ht="20.100000000000001" hidden="1" customHeight="1" x14ac:dyDescent="0.25">
      <c r="B19" s="917"/>
      <c r="C19" s="601" t="s">
        <v>340</v>
      </c>
      <c r="D19" s="652">
        <v>0.5</v>
      </c>
      <c r="E19" s="612">
        <v>0.4</v>
      </c>
      <c r="F19" s="613">
        <v>0.3</v>
      </c>
      <c r="G19" s="580"/>
      <c r="H19" s="580"/>
      <c r="I19" s="580"/>
      <c r="J19" s="580"/>
      <c r="K19" s="580"/>
      <c r="L19" s="580"/>
      <c r="M19" s="580"/>
    </row>
    <row r="20" spans="2:13" ht="20.100000000000001" hidden="1" customHeight="1" x14ac:dyDescent="0.25">
      <c r="B20" s="917"/>
      <c r="C20" s="423" t="s">
        <v>277</v>
      </c>
      <c r="D20" s="652">
        <v>0.5</v>
      </c>
      <c r="E20" s="612">
        <v>0.4</v>
      </c>
      <c r="F20" s="613">
        <v>0.3</v>
      </c>
      <c r="G20" s="580"/>
      <c r="H20" s="651">
        <v>0.1</v>
      </c>
      <c r="I20" s="580" t="s">
        <v>722</v>
      </c>
      <c r="J20" s="580"/>
      <c r="K20" s="580"/>
      <c r="L20" s="580"/>
      <c r="M20" s="580"/>
    </row>
    <row r="21" spans="2:13" ht="20.100000000000001" hidden="1" customHeight="1" x14ac:dyDescent="0.25">
      <c r="B21" s="917"/>
      <c r="C21" s="423" t="s">
        <v>284</v>
      </c>
      <c r="D21" s="646">
        <f>41.5%+0.15</f>
        <v>0.56499999999999995</v>
      </c>
      <c r="E21" s="612">
        <v>0.4</v>
      </c>
      <c r="F21" s="613">
        <v>0.3</v>
      </c>
      <c r="H21" s="580"/>
      <c r="I21" s="580"/>
      <c r="J21" s="580"/>
    </row>
    <row r="22" spans="2:13" ht="20.100000000000001" hidden="1" customHeight="1" x14ac:dyDescent="0.25">
      <c r="B22" s="917"/>
      <c r="C22" s="423" t="s">
        <v>282</v>
      </c>
      <c r="D22" s="646">
        <f t="shared" ref="D22:D23" si="4">41.5%+0.15</f>
        <v>0.56499999999999995</v>
      </c>
      <c r="E22" s="612">
        <v>0.4</v>
      </c>
      <c r="F22" s="613">
        <v>0.3</v>
      </c>
      <c r="J22" s="580"/>
    </row>
    <row r="23" spans="2:13" ht="20.100000000000001" hidden="1" customHeight="1" x14ac:dyDescent="0.25">
      <c r="B23" s="917"/>
      <c r="C23" s="423" t="s">
        <v>155</v>
      </c>
      <c r="D23" s="646">
        <f t="shared" si="4"/>
        <v>0.56499999999999995</v>
      </c>
      <c r="E23" s="612">
        <v>0.4</v>
      </c>
      <c r="F23" s="613">
        <v>0.3</v>
      </c>
      <c r="H23" s="580"/>
      <c r="I23" s="580"/>
      <c r="J23" s="580"/>
    </row>
    <row r="24" spans="2:13" ht="20.100000000000001" hidden="1" customHeight="1" thickBot="1" x14ac:dyDescent="0.3">
      <c r="B24" s="918"/>
      <c r="C24" s="424" t="s">
        <v>276</v>
      </c>
      <c r="D24" s="645">
        <v>0.4</v>
      </c>
      <c r="E24" s="612">
        <v>0.4</v>
      </c>
      <c r="F24" s="613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1" t="s">
        <v>169</v>
      </c>
      <c r="C2" s="432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1" t="s">
        <v>172</v>
      </c>
      <c r="G7" s="942"/>
      <c r="H7" s="943"/>
      <c r="J7" s="944" t="s">
        <v>329</v>
      </c>
      <c r="L7" s="941" t="s">
        <v>172</v>
      </c>
      <c r="M7" s="942"/>
      <c r="N7" s="943"/>
    </row>
    <row r="8" spans="2:16" ht="15" hidden="1" customHeight="1" x14ac:dyDescent="0.25">
      <c r="B8" s="953" t="s">
        <v>328</v>
      </c>
      <c r="C8" s="954"/>
      <c r="F8" s="433">
        <f>'MARK UP''s'!D7</f>
        <v>0.45</v>
      </c>
      <c r="G8" s="433">
        <f>'MARK UP''s'!E7</f>
        <v>0.4</v>
      </c>
      <c r="H8" s="433">
        <f>'MARK UP''s'!F7</f>
        <v>0.3</v>
      </c>
      <c r="J8" s="945"/>
      <c r="L8" s="433">
        <f>'MARK UP''s'!D7</f>
        <v>0.45</v>
      </c>
      <c r="M8" s="433">
        <f>'MARK UP''s'!E7</f>
        <v>0.4</v>
      </c>
      <c r="N8" s="433">
        <f>'MARK UP''s'!F7</f>
        <v>0.3</v>
      </c>
    </row>
    <row r="9" spans="2:16" ht="15" hidden="1" customHeight="1" x14ac:dyDescent="0.25">
      <c r="B9" s="955"/>
      <c r="C9" s="956"/>
      <c r="D9" s="434">
        <v>0.4</v>
      </c>
      <c r="F9" s="435" t="s">
        <v>77</v>
      </c>
      <c r="G9" s="435" t="s">
        <v>174</v>
      </c>
      <c r="H9" s="435" t="s">
        <v>175</v>
      </c>
      <c r="J9" s="946"/>
      <c r="K9" s="434">
        <v>0.5</v>
      </c>
      <c r="L9" s="435" t="s">
        <v>77</v>
      </c>
      <c r="M9" s="435" t="s">
        <v>174</v>
      </c>
      <c r="N9" s="435" t="s">
        <v>175</v>
      </c>
    </row>
    <row r="10" spans="2:16" ht="45" hidden="1" x14ac:dyDescent="0.25">
      <c r="B10" s="436" t="s">
        <v>176</v>
      </c>
      <c r="C10" s="437" t="s">
        <v>170</v>
      </c>
      <c r="D10" s="438" t="s">
        <v>171</v>
      </c>
      <c r="E10" s="438" t="s">
        <v>173</v>
      </c>
      <c r="F10" s="439" t="s">
        <v>171</v>
      </c>
      <c r="G10" s="440" t="s">
        <v>171</v>
      </c>
      <c r="H10" s="441" t="s">
        <v>171</v>
      </c>
      <c r="J10" s="436" t="s">
        <v>176</v>
      </c>
      <c r="K10" s="438" t="s">
        <v>173</v>
      </c>
      <c r="L10" s="439" t="s">
        <v>171</v>
      </c>
      <c r="M10" s="440" t="s">
        <v>171</v>
      </c>
      <c r="N10" s="441" t="s">
        <v>171</v>
      </c>
    </row>
    <row r="11" spans="2:16" hidden="1" x14ac:dyDescent="0.25">
      <c r="B11" s="442" t="s">
        <v>135</v>
      </c>
      <c r="C11" s="683">
        <v>4.95</v>
      </c>
      <c r="D11" s="444">
        <f>CEILING(C11/(1-$D$9),0.1)</f>
        <v>8.3000000000000007</v>
      </c>
      <c r="E11" s="445">
        <f>C11+0.05</f>
        <v>5</v>
      </c>
      <c r="F11" s="446">
        <f>CEILING(E11/(1-$F$8),0.1)</f>
        <v>9.1</v>
      </c>
      <c r="G11" s="447">
        <f>CEILING(F11/(1-$G$8),0.05)</f>
        <v>15.200000000000001</v>
      </c>
      <c r="H11" s="448">
        <f>CEILING(G11/(1-$H$8),0.05)</f>
        <v>21.75</v>
      </c>
      <c r="J11" s="442" t="s">
        <v>135</v>
      </c>
      <c r="K11" s="445">
        <f>E11/(1-$K$9)</f>
        <v>10</v>
      </c>
      <c r="L11" s="446">
        <f>CEILING(K11/(1-$L$8),0.1)</f>
        <v>18.2</v>
      </c>
      <c r="M11" s="447">
        <f t="shared" ref="M11:M19" si="0">CEILING(L11/(1-$M$8),0.05)</f>
        <v>30.35</v>
      </c>
      <c r="N11" s="448">
        <f t="shared" ref="N11:N19" si="1">CEILING(M11/(1-$N$8),0.05)</f>
        <v>43.400000000000006</v>
      </c>
    </row>
    <row r="12" spans="2:16" hidden="1" x14ac:dyDescent="0.25">
      <c r="B12" s="442" t="s">
        <v>136</v>
      </c>
      <c r="C12" s="683">
        <v>4.25</v>
      </c>
      <c r="D12" s="444">
        <f t="shared" ref="D12:D19" si="2">CEILING(C12/(1-$D$9),0.1)</f>
        <v>7.1000000000000005</v>
      </c>
      <c r="E12" s="445">
        <f>C12+0.05</f>
        <v>4.3</v>
      </c>
      <c r="F12" s="446">
        <f>CEILING(E12/(1-$F$8),0.1)</f>
        <v>7.9</v>
      </c>
      <c r="G12" s="447">
        <f>CEILING(F12/(1-$G$8),0.05)</f>
        <v>13.200000000000001</v>
      </c>
      <c r="H12" s="448">
        <f t="shared" ref="H12:H17" si="3">CEILING(G12/(1-$H$8),0.05)</f>
        <v>18.900000000000002</v>
      </c>
      <c r="J12" s="442" t="s">
        <v>136</v>
      </c>
      <c r="K12" s="445">
        <f>E12/(1-$K$9)</f>
        <v>8.6</v>
      </c>
      <c r="L12" s="446">
        <f t="shared" ref="L12:L19" si="4">CEILING(K12/(1-$L$8),0.1)</f>
        <v>15.700000000000001</v>
      </c>
      <c r="M12" s="447">
        <f t="shared" si="0"/>
        <v>26.200000000000003</v>
      </c>
      <c r="N12" s="448">
        <f>CEILING(M12/(1-$N$8),0.05)</f>
        <v>37.450000000000003</v>
      </c>
    </row>
    <row r="13" spans="2:16" hidden="1" x14ac:dyDescent="0.25">
      <c r="B13" s="442" t="s">
        <v>116</v>
      </c>
      <c r="C13" s="683">
        <v>3.6</v>
      </c>
      <c r="D13" s="444">
        <f t="shared" si="2"/>
        <v>6</v>
      </c>
      <c r="E13" s="445">
        <f>C13+0.1</f>
        <v>3.7</v>
      </c>
      <c r="F13" s="446">
        <f>CEILING(E13/(1-$F$8),0.1)</f>
        <v>6.8000000000000007</v>
      </c>
      <c r="G13" s="447">
        <f>CEILING(F13/(1-$G$8),0.05)</f>
        <v>11.350000000000001</v>
      </c>
      <c r="H13" s="448">
        <f t="shared" si="3"/>
        <v>16.25</v>
      </c>
      <c r="J13" s="442" t="s">
        <v>116</v>
      </c>
      <c r="K13" s="445">
        <f>E13/(1-$K$9)</f>
        <v>7.4</v>
      </c>
      <c r="L13" s="446">
        <f t="shared" si="4"/>
        <v>13.5</v>
      </c>
      <c r="M13" s="447">
        <f t="shared" si="0"/>
        <v>22.5</v>
      </c>
      <c r="N13" s="448">
        <f t="shared" si="1"/>
        <v>32.15</v>
      </c>
      <c r="P13" s="284"/>
    </row>
    <row r="14" spans="2:16" hidden="1" x14ac:dyDescent="0.25">
      <c r="B14" s="442" t="s">
        <v>161</v>
      </c>
      <c r="C14" s="443">
        <f>C12</f>
        <v>4.25</v>
      </c>
      <c r="D14" s="444">
        <f t="shared" si="2"/>
        <v>7.1000000000000005</v>
      </c>
      <c r="E14" s="445">
        <f>C14+0.05</f>
        <v>4.3</v>
      </c>
      <c r="F14" s="446">
        <f>CEILING(E14/(1-$F$8),0.1)</f>
        <v>7.9</v>
      </c>
      <c r="G14" s="447">
        <f t="shared" ref="G14:G18" si="5">CEILING(F14/(1-$G$8),0.05)</f>
        <v>13.200000000000001</v>
      </c>
      <c r="H14" s="448">
        <f t="shared" si="3"/>
        <v>18.900000000000002</v>
      </c>
      <c r="J14" s="442" t="s">
        <v>161</v>
      </c>
      <c r="K14" s="445">
        <f t="shared" ref="K14:K19" si="6">E14/(1-$K$9)</f>
        <v>8.6</v>
      </c>
      <c r="L14" s="446">
        <f t="shared" si="4"/>
        <v>15.700000000000001</v>
      </c>
      <c r="M14" s="447">
        <f>CEILING(L14/(1-$M$8),0.05)</f>
        <v>26.200000000000003</v>
      </c>
      <c r="N14" s="448">
        <f t="shared" si="1"/>
        <v>37.450000000000003</v>
      </c>
      <c r="P14" s="284"/>
    </row>
    <row r="15" spans="2:16" hidden="1" x14ac:dyDescent="0.25">
      <c r="B15" s="442" t="s">
        <v>137</v>
      </c>
      <c r="C15" s="443">
        <f>C11</f>
        <v>4.95</v>
      </c>
      <c r="D15" s="444">
        <f t="shared" si="2"/>
        <v>8.3000000000000007</v>
      </c>
      <c r="E15" s="445">
        <f>C15+0.05</f>
        <v>5</v>
      </c>
      <c r="F15" s="446">
        <f t="shared" ref="F15:F19" si="7">CEILING(E15/(1-$F$8),0.1)</f>
        <v>9.1</v>
      </c>
      <c r="G15" s="447">
        <f t="shared" si="5"/>
        <v>15.200000000000001</v>
      </c>
      <c r="H15" s="448">
        <f t="shared" si="3"/>
        <v>21.75</v>
      </c>
      <c r="J15" s="442" t="s">
        <v>137</v>
      </c>
      <c r="K15" s="445">
        <f t="shared" si="6"/>
        <v>10</v>
      </c>
      <c r="L15" s="446">
        <f t="shared" si="4"/>
        <v>18.2</v>
      </c>
      <c r="M15" s="447">
        <f t="shared" si="0"/>
        <v>30.35</v>
      </c>
      <c r="N15" s="448">
        <f t="shared" si="1"/>
        <v>43.400000000000006</v>
      </c>
      <c r="P15" s="284"/>
    </row>
    <row r="16" spans="2:16" hidden="1" x14ac:dyDescent="0.25">
      <c r="B16" s="442" t="s">
        <v>138</v>
      </c>
      <c r="C16" s="443">
        <f>C11</f>
        <v>4.95</v>
      </c>
      <c r="D16" s="444">
        <f t="shared" si="2"/>
        <v>8.3000000000000007</v>
      </c>
      <c r="E16" s="445">
        <f>C16+0.05</f>
        <v>5</v>
      </c>
      <c r="F16" s="446">
        <f t="shared" si="7"/>
        <v>9.1</v>
      </c>
      <c r="G16" s="447">
        <f t="shared" si="5"/>
        <v>15.200000000000001</v>
      </c>
      <c r="H16" s="448">
        <f t="shared" si="3"/>
        <v>21.75</v>
      </c>
      <c r="J16" s="442" t="s">
        <v>138</v>
      </c>
      <c r="K16" s="445">
        <f t="shared" si="6"/>
        <v>10</v>
      </c>
      <c r="L16" s="446">
        <f t="shared" si="4"/>
        <v>18.2</v>
      </c>
      <c r="M16" s="447">
        <f t="shared" si="0"/>
        <v>30.35</v>
      </c>
      <c r="N16" s="448">
        <f t="shared" si="1"/>
        <v>43.400000000000006</v>
      </c>
      <c r="P16" s="825"/>
    </row>
    <row r="17" spans="2:17" hidden="1" x14ac:dyDescent="0.25">
      <c r="B17" s="442" t="s">
        <v>139</v>
      </c>
      <c r="C17" s="443">
        <f>C12</f>
        <v>4.25</v>
      </c>
      <c r="D17" s="444">
        <f t="shared" si="2"/>
        <v>7.1000000000000005</v>
      </c>
      <c r="E17" s="445">
        <f>C17+0.05</f>
        <v>4.3</v>
      </c>
      <c r="F17" s="446">
        <f t="shared" si="7"/>
        <v>7.9</v>
      </c>
      <c r="G17" s="447">
        <f t="shared" si="5"/>
        <v>13.200000000000001</v>
      </c>
      <c r="H17" s="448">
        <f t="shared" si="3"/>
        <v>18.900000000000002</v>
      </c>
      <c r="J17" s="442" t="s">
        <v>139</v>
      </c>
      <c r="K17" s="445">
        <f t="shared" si="6"/>
        <v>8.6</v>
      </c>
      <c r="L17" s="446">
        <f>CEILING(K17/(1-$L$8),0.1)</f>
        <v>15.700000000000001</v>
      </c>
      <c r="M17" s="447">
        <f t="shared" si="0"/>
        <v>26.200000000000003</v>
      </c>
      <c r="N17" s="448">
        <f t="shared" si="1"/>
        <v>37.450000000000003</v>
      </c>
      <c r="P17" s="284"/>
    </row>
    <row r="18" spans="2:17" hidden="1" x14ac:dyDescent="0.25">
      <c r="B18" s="442" t="s">
        <v>140</v>
      </c>
      <c r="C18" s="443">
        <f>C13</f>
        <v>3.6</v>
      </c>
      <c r="D18" s="444">
        <f t="shared" si="2"/>
        <v>6</v>
      </c>
      <c r="E18" s="445">
        <f>C18+0.1</f>
        <v>3.7</v>
      </c>
      <c r="F18" s="446">
        <f t="shared" si="7"/>
        <v>6.8000000000000007</v>
      </c>
      <c r="G18" s="447">
        <f t="shared" si="5"/>
        <v>11.350000000000001</v>
      </c>
      <c r="H18" s="448">
        <f>CEILING(G18/(1-$H$8),0.05)</f>
        <v>16.25</v>
      </c>
      <c r="J18" s="442" t="s">
        <v>140</v>
      </c>
      <c r="K18" s="445">
        <f t="shared" si="6"/>
        <v>7.4</v>
      </c>
      <c r="L18" s="446">
        <f t="shared" si="4"/>
        <v>13.5</v>
      </c>
      <c r="M18" s="447">
        <f>CEILING(L18/(1-$M$8),0.05)</f>
        <v>22.5</v>
      </c>
      <c r="N18" s="448">
        <f>CEILING(M18/(1-$N$8),0.05)</f>
        <v>32.15</v>
      </c>
      <c r="P18" s="284"/>
    </row>
    <row r="19" spans="2:17" hidden="1" x14ac:dyDescent="0.25">
      <c r="B19" s="442" t="s">
        <v>162</v>
      </c>
      <c r="C19" s="443">
        <f>C12</f>
        <v>4.25</v>
      </c>
      <c r="D19" s="444">
        <f t="shared" si="2"/>
        <v>7.1000000000000005</v>
      </c>
      <c r="E19" s="445">
        <f>C19+0.05</f>
        <v>4.3</v>
      </c>
      <c r="F19" s="446">
        <f t="shared" si="7"/>
        <v>7.9</v>
      </c>
      <c r="G19" s="447">
        <f>CEILING(F19/(1-$G$8),0.05)</f>
        <v>13.200000000000001</v>
      </c>
      <c r="H19" s="448">
        <f>CEILING(G19/(1-$H$8),0.05)</f>
        <v>18.900000000000002</v>
      </c>
      <c r="J19" s="442" t="s">
        <v>162</v>
      </c>
      <c r="K19" s="445">
        <f t="shared" si="6"/>
        <v>8.6</v>
      </c>
      <c r="L19" s="446">
        <f t="shared" si="4"/>
        <v>15.700000000000001</v>
      </c>
      <c r="M19" s="447">
        <f t="shared" si="0"/>
        <v>26.200000000000003</v>
      </c>
      <c r="N19" s="448">
        <f t="shared" si="1"/>
        <v>37.450000000000003</v>
      </c>
    </row>
    <row r="20" spans="2:17" hidden="1" x14ac:dyDescent="0.25">
      <c r="L20" s="449"/>
    </row>
    <row r="21" spans="2:17" hidden="1" x14ac:dyDescent="0.25">
      <c r="M21" s="284"/>
      <c r="N21" s="284"/>
    </row>
    <row r="22" spans="2:17" hidden="1" x14ac:dyDescent="0.25">
      <c r="E22" s="941" t="s">
        <v>172</v>
      </c>
      <c r="F22" s="942"/>
      <c r="G22" s="943"/>
      <c r="O22" s="941" t="s">
        <v>172</v>
      </c>
      <c r="P22" s="942"/>
      <c r="Q22" s="943"/>
    </row>
    <row r="23" spans="2:17" hidden="1" x14ac:dyDescent="0.25">
      <c r="B23" s="947" t="s">
        <v>181</v>
      </c>
      <c r="C23" s="948"/>
      <c r="D23" s="949"/>
      <c r="E23" s="433">
        <f>'MARK UP''s'!D8</f>
        <v>0.7</v>
      </c>
      <c r="F23" s="433">
        <f>'MARK UP''s'!E8</f>
        <v>0.4</v>
      </c>
      <c r="G23" s="433">
        <f>'MARK UP''s'!F8</f>
        <v>0.3</v>
      </c>
      <c r="J23" s="947" t="s">
        <v>185</v>
      </c>
      <c r="K23" s="948"/>
      <c r="L23" s="948"/>
      <c r="M23" s="948"/>
      <c r="N23" s="949"/>
      <c r="O23" s="433">
        <f>'MARK UP''s'!D9</f>
        <v>0.6</v>
      </c>
      <c r="P23" s="433">
        <f>'MARK UP''s'!E9</f>
        <v>0.4</v>
      </c>
      <c r="Q23" s="433">
        <f>'MARK UP''s'!F9</f>
        <v>0.3</v>
      </c>
    </row>
    <row r="24" spans="2:17" hidden="1" x14ac:dyDescent="0.25">
      <c r="B24" s="950"/>
      <c r="C24" s="951"/>
      <c r="D24" s="952"/>
      <c r="E24" s="435" t="s">
        <v>77</v>
      </c>
      <c r="F24" s="435" t="s">
        <v>174</v>
      </c>
      <c r="G24" s="435" t="s">
        <v>175</v>
      </c>
      <c r="J24" s="950"/>
      <c r="K24" s="951"/>
      <c r="L24" s="951"/>
      <c r="M24" s="951"/>
      <c r="N24" s="952"/>
      <c r="O24" s="435" t="s">
        <v>77</v>
      </c>
      <c r="P24" s="435" t="s">
        <v>174</v>
      </c>
      <c r="Q24" s="435" t="s">
        <v>175</v>
      </c>
    </row>
    <row r="25" spans="2:17" ht="30" hidden="1" x14ac:dyDescent="0.25">
      <c r="B25" s="450" t="s">
        <v>180</v>
      </c>
      <c r="C25" s="450" t="s">
        <v>145</v>
      </c>
      <c r="D25" s="438" t="s">
        <v>182</v>
      </c>
      <c r="E25" s="451" t="s">
        <v>148</v>
      </c>
      <c r="F25" s="452" t="s">
        <v>148</v>
      </c>
      <c r="G25" s="453" t="s">
        <v>148</v>
      </c>
      <c r="J25" s="450" t="s">
        <v>177</v>
      </c>
      <c r="K25" s="438" t="s">
        <v>145</v>
      </c>
      <c r="L25" s="438" t="s">
        <v>166</v>
      </c>
      <c r="M25" s="438" t="s">
        <v>167</v>
      </c>
      <c r="N25" s="438" t="s">
        <v>168</v>
      </c>
      <c r="O25" s="451" t="s">
        <v>148</v>
      </c>
      <c r="P25" s="452" t="s">
        <v>148</v>
      </c>
      <c r="Q25" s="453" t="s">
        <v>148</v>
      </c>
    </row>
    <row r="26" spans="2:17" hidden="1" x14ac:dyDescent="0.25">
      <c r="B26" s="427" t="s">
        <v>321</v>
      </c>
      <c r="C26" s="427">
        <v>54</v>
      </c>
      <c r="D26" s="443">
        <f>2.5+1</f>
        <v>3.5</v>
      </c>
      <c r="E26" s="446">
        <f>CEILING(D26/(1-$E$23),0.05)</f>
        <v>11.700000000000001</v>
      </c>
      <c r="F26" s="447">
        <f>CEILING(E26/(1-$F$23),0.05)</f>
        <v>19.5</v>
      </c>
      <c r="G26" s="448">
        <f>CEILING(F26/(1-$G$23),0.05)</f>
        <v>27.900000000000002</v>
      </c>
      <c r="J26" s="427" t="s">
        <v>321</v>
      </c>
      <c r="K26" s="427">
        <v>54</v>
      </c>
      <c r="L26" s="443">
        <f>6.45+0.55+0.5</f>
        <v>7.5</v>
      </c>
      <c r="M26" s="521">
        <f>0.5+0.25</f>
        <v>0.75</v>
      </c>
      <c r="N26" s="444">
        <f>L26+M26</f>
        <v>8.25</v>
      </c>
      <c r="O26" s="446">
        <f>CEILING(N26/(1-$O$23),0.05)</f>
        <v>20.650000000000002</v>
      </c>
      <c r="P26" s="447">
        <f>CEILING(O26/(1-$P$23),0.05)</f>
        <v>34.450000000000003</v>
      </c>
      <c r="Q26" s="448">
        <f>CEILING(P26/(1-$Q$23),0.05)</f>
        <v>49.25</v>
      </c>
    </row>
    <row r="27" spans="2:17" hidden="1" x14ac:dyDescent="0.25">
      <c r="B27" s="427" t="s">
        <v>322</v>
      </c>
      <c r="C27" s="427">
        <v>54</v>
      </c>
      <c r="D27" s="443">
        <v>2.5</v>
      </c>
      <c r="E27" s="446">
        <f>CEILING(D27/(1-$E$23),0.05)</f>
        <v>8.35</v>
      </c>
      <c r="F27" s="447">
        <f>CEILING(E27/(1-$F$23),0.05)</f>
        <v>13.950000000000001</v>
      </c>
      <c r="G27" s="448">
        <f>CEILING(F27/(1-$G$23),0.05)</f>
        <v>19.950000000000003</v>
      </c>
      <c r="J27" s="427" t="s">
        <v>322</v>
      </c>
      <c r="K27" s="427">
        <v>54</v>
      </c>
      <c r="L27" s="443">
        <f>4.95+1</f>
        <v>5.95</v>
      </c>
      <c r="M27" s="521">
        <f>0.5</f>
        <v>0.5</v>
      </c>
      <c r="N27" s="444">
        <f>L27+M27</f>
        <v>6.45</v>
      </c>
      <c r="O27" s="446">
        <f>CEILING(N27/(1-$O$23),0.05)</f>
        <v>16.150000000000002</v>
      </c>
      <c r="P27" s="447">
        <f>CEILING(O27/(1-$P$23),0.05)</f>
        <v>26.950000000000003</v>
      </c>
      <c r="Q27" s="448">
        <f>CEILING(P27/(1-$Q$23),0.05)</f>
        <v>38.5</v>
      </c>
    </row>
    <row r="28" spans="2:17" hidden="1" x14ac:dyDescent="0.25">
      <c r="B28" s="427" t="s">
        <v>184</v>
      </c>
      <c r="C28" s="427">
        <v>118</v>
      </c>
      <c r="D28" s="443">
        <f>1.9+0.6</f>
        <v>2.5</v>
      </c>
      <c r="E28" s="446">
        <f>CEILING(D28/(1-$E$23),0.05)</f>
        <v>8.35</v>
      </c>
      <c r="F28" s="447">
        <f>CEILING(E28/(1-$F$23),0.05)</f>
        <v>13.950000000000001</v>
      </c>
      <c r="G28" s="448">
        <f>CEILING(F28/(1-$G$23),0.05)</f>
        <v>19.950000000000003</v>
      </c>
      <c r="J28" s="427" t="s">
        <v>184</v>
      </c>
      <c r="K28" s="427">
        <v>118</v>
      </c>
      <c r="L28" s="443">
        <f>2.65+1.38</f>
        <v>4.0299999999999994</v>
      </c>
      <c r="M28" s="521">
        <f>0.5+0.25</f>
        <v>0.75</v>
      </c>
      <c r="N28" s="444">
        <f>L28+M28</f>
        <v>4.7799999999999994</v>
      </c>
      <c r="O28" s="446">
        <f>CEILING(N28/(1-$O$23),0.05)</f>
        <v>11.950000000000001</v>
      </c>
      <c r="P28" s="447">
        <f>CEILING(O28/(1-$P$23),0.05)</f>
        <v>19.950000000000003</v>
      </c>
      <c r="Q28" s="448">
        <f>CEILING(P28/(1-$Q$23),0.05)</f>
        <v>28.5</v>
      </c>
    </row>
    <row r="29" spans="2:17" hidden="1" x14ac:dyDescent="0.25">
      <c r="B29" s="427" t="s">
        <v>323</v>
      </c>
      <c r="C29" s="427">
        <v>118</v>
      </c>
      <c r="D29" s="443">
        <f>2.5+1.5</f>
        <v>4</v>
      </c>
      <c r="E29" s="446">
        <f>CEILING(D29/(1-$E$23),0.05)</f>
        <v>13.350000000000001</v>
      </c>
      <c r="F29" s="447">
        <f>CEILING(E29/(1-$F$23),0.05)</f>
        <v>22.25</v>
      </c>
      <c r="G29" s="448">
        <f>CEILING(F29/(1-$G$23),0.05)</f>
        <v>31.8</v>
      </c>
      <c r="J29" s="427" t="s">
        <v>323</v>
      </c>
      <c r="K29" s="427">
        <v>118</v>
      </c>
      <c r="L29" s="443">
        <f>7.9+0.05</f>
        <v>7.95</v>
      </c>
      <c r="M29" s="521">
        <f>0.5+0.5</f>
        <v>1</v>
      </c>
      <c r="N29" s="444">
        <f>L29+M29</f>
        <v>8.9499999999999993</v>
      </c>
      <c r="O29" s="446">
        <f>CEILING(N29/(1-$O$23),0.05)</f>
        <v>22.400000000000002</v>
      </c>
      <c r="P29" s="447">
        <f>CEILING(O29/(1-$P$23),0.05)</f>
        <v>37.35</v>
      </c>
      <c r="Q29" s="448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1" t="s">
        <v>172</v>
      </c>
      <c r="H32" s="942"/>
      <c r="I32" s="943"/>
    </row>
    <row r="33" spans="1:12" hidden="1" x14ac:dyDescent="0.25">
      <c r="B33" s="957" t="s">
        <v>662</v>
      </c>
      <c r="C33" s="958"/>
      <c r="D33" s="958"/>
      <c r="E33" s="958"/>
      <c r="F33" s="959"/>
      <c r="G33" s="433">
        <f>'MARK UP''s'!D10</f>
        <v>0.61499999999999999</v>
      </c>
      <c r="H33" s="433">
        <f>'MARK UP''s'!E10</f>
        <v>0.4</v>
      </c>
      <c r="I33" s="433">
        <f>'MARK UP''s'!F10</f>
        <v>0.3</v>
      </c>
    </row>
    <row r="34" spans="1:12" ht="15.75" hidden="1" thickBot="1" x14ac:dyDescent="0.3">
      <c r="B34" s="960"/>
      <c r="C34" s="961"/>
      <c r="D34" s="961"/>
      <c r="E34" s="961"/>
      <c r="F34" s="962"/>
      <c r="G34" s="435" t="s">
        <v>77</v>
      </c>
      <c r="H34" s="435" t="s">
        <v>174</v>
      </c>
      <c r="I34" s="435" t="s">
        <v>175</v>
      </c>
    </row>
    <row r="35" spans="1:12" ht="30.75" hidden="1" thickBot="1" x14ac:dyDescent="0.3">
      <c r="B35" s="534" t="s">
        <v>177</v>
      </c>
      <c r="C35" s="534" t="s">
        <v>661</v>
      </c>
      <c r="D35" s="535" t="s">
        <v>166</v>
      </c>
      <c r="E35" s="535" t="s">
        <v>167</v>
      </c>
      <c r="F35" s="535" t="s">
        <v>168</v>
      </c>
      <c r="G35" s="534" t="s">
        <v>148</v>
      </c>
      <c r="H35" s="534" t="s">
        <v>148</v>
      </c>
      <c r="I35" s="536" t="s">
        <v>148</v>
      </c>
      <c r="J35" s="537" t="s">
        <v>308</v>
      </c>
      <c r="K35" s="537" t="s">
        <v>324</v>
      </c>
      <c r="L35" s="572" t="s">
        <v>705</v>
      </c>
    </row>
    <row r="36" spans="1:12" hidden="1" x14ac:dyDescent="0.25">
      <c r="A36" s="359">
        <v>1</v>
      </c>
      <c r="B36" s="826" t="s">
        <v>678</v>
      </c>
      <c r="C36" s="823">
        <v>120</v>
      </c>
      <c r="D36" s="827">
        <v>4.971376146788991</v>
      </c>
      <c r="E36" s="443">
        <v>1</v>
      </c>
      <c r="F36" s="828">
        <f t="shared" ref="F36:F47" si="8">D36+E36</f>
        <v>5.971376146788991</v>
      </c>
      <c r="G36" s="446">
        <f t="shared" ref="G36:G51" si="9">CEILING(F36/(1-$G$33),0.05)</f>
        <v>15.55</v>
      </c>
      <c r="H36" s="447">
        <f t="shared" ref="H36:H51" si="10">CEILING(G36/(1-$H$33),0.05)</f>
        <v>25.950000000000003</v>
      </c>
      <c r="I36" s="526">
        <f t="shared" ref="I36:I51" si="11">CEILING(H36/(1-$I$33),0.05)</f>
        <v>37.1</v>
      </c>
      <c r="J36" s="532" t="s">
        <v>669</v>
      </c>
      <c r="K36" s="528" t="s">
        <v>116</v>
      </c>
      <c r="L36" s="575">
        <f>I39</f>
        <v>43.400000000000006</v>
      </c>
    </row>
    <row r="37" spans="1:12" hidden="1" x14ac:dyDescent="0.25">
      <c r="A37" s="359">
        <f>1+A36</f>
        <v>2</v>
      </c>
      <c r="B37" s="826" t="s">
        <v>679</v>
      </c>
      <c r="C37" s="823">
        <v>120</v>
      </c>
      <c r="D37" s="827">
        <v>5.0654587155963293</v>
      </c>
      <c r="E37" s="444">
        <f>E36</f>
        <v>1</v>
      </c>
      <c r="F37" s="828">
        <f t="shared" si="8"/>
        <v>6.0654587155963293</v>
      </c>
      <c r="G37" s="446">
        <f t="shared" si="9"/>
        <v>15.8</v>
      </c>
      <c r="H37" s="447">
        <f t="shared" si="10"/>
        <v>26.35</v>
      </c>
      <c r="I37" s="526">
        <f t="shared" si="11"/>
        <v>37.65</v>
      </c>
      <c r="J37" s="574" t="str">
        <f>J36</f>
        <v>GROUP 1</v>
      </c>
      <c r="K37" s="529"/>
      <c r="L37" s="573">
        <f>L36</f>
        <v>43.400000000000006</v>
      </c>
    </row>
    <row r="38" spans="1:12" hidden="1" x14ac:dyDescent="0.25">
      <c r="A38" s="359">
        <f t="shared" ref="A38:A47" si="12">1+A37</f>
        <v>3</v>
      </c>
      <c r="B38" s="826" t="s">
        <v>680</v>
      </c>
      <c r="C38" s="823">
        <v>126</v>
      </c>
      <c r="D38" s="827">
        <v>5.8868348623853199</v>
      </c>
      <c r="E38" s="444">
        <f t="shared" ref="E38:E51" si="13">E37</f>
        <v>1</v>
      </c>
      <c r="F38" s="828">
        <f t="shared" si="8"/>
        <v>6.8868348623853199</v>
      </c>
      <c r="G38" s="446">
        <f t="shared" si="9"/>
        <v>17.900000000000002</v>
      </c>
      <c r="H38" s="447">
        <f t="shared" si="10"/>
        <v>29.85</v>
      </c>
      <c r="I38" s="526">
        <f t="shared" si="11"/>
        <v>42.650000000000006</v>
      </c>
      <c r="J38" s="574" t="str">
        <f>J37</f>
        <v>GROUP 1</v>
      </c>
      <c r="K38" s="529"/>
      <c r="L38" s="573">
        <f>L37</f>
        <v>43.400000000000006</v>
      </c>
    </row>
    <row r="39" spans="1:12" ht="15.75" hidden="1" thickBot="1" x14ac:dyDescent="0.3">
      <c r="A39" s="359">
        <f t="shared" si="12"/>
        <v>4</v>
      </c>
      <c r="B39" s="826" t="s">
        <v>681</v>
      </c>
      <c r="C39" s="823">
        <v>120</v>
      </c>
      <c r="D39" s="827">
        <v>5.9908715596330255</v>
      </c>
      <c r="E39" s="444">
        <f t="shared" si="13"/>
        <v>1</v>
      </c>
      <c r="F39" s="828">
        <f t="shared" si="8"/>
        <v>6.9908715596330255</v>
      </c>
      <c r="G39" s="446">
        <f t="shared" si="9"/>
        <v>18.2</v>
      </c>
      <c r="H39" s="447">
        <f t="shared" si="10"/>
        <v>30.35</v>
      </c>
      <c r="I39" s="526">
        <f t="shared" si="11"/>
        <v>43.400000000000006</v>
      </c>
      <c r="J39" s="576" t="str">
        <f>J38</f>
        <v>GROUP 1</v>
      </c>
      <c r="K39" s="530"/>
      <c r="L39" s="577">
        <f>L38</f>
        <v>43.400000000000006</v>
      </c>
    </row>
    <row r="40" spans="1:12" hidden="1" x14ac:dyDescent="0.25">
      <c r="A40" s="359">
        <f t="shared" si="12"/>
        <v>5</v>
      </c>
      <c r="B40" s="826" t="s">
        <v>682</v>
      </c>
      <c r="C40" s="823">
        <v>126</v>
      </c>
      <c r="D40" s="827">
        <v>6.6982568807339424</v>
      </c>
      <c r="E40" s="444">
        <f t="shared" si="13"/>
        <v>1</v>
      </c>
      <c r="F40" s="829">
        <f t="shared" si="8"/>
        <v>7.6982568807339424</v>
      </c>
      <c r="G40" s="446">
        <f t="shared" si="9"/>
        <v>20</v>
      </c>
      <c r="H40" s="447">
        <f t="shared" si="10"/>
        <v>33.35</v>
      </c>
      <c r="I40" s="526">
        <f t="shared" si="11"/>
        <v>47.650000000000006</v>
      </c>
      <c r="J40" s="532" t="s">
        <v>670</v>
      </c>
      <c r="K40" s="528" t="s">
        <v>116</v>
      </c>
      <c r="L40" s="575">
        <f>I43</f>
        <v>54.45</v>
      </c>
    </row>
    <row r="41" spans="1:12" hidden="1" x14ac:dyDescent="0.25">
      <c r="A41" s="359">
        <f t="shared" si="12"/>
        <v>6</v>
      </c>
      <c r="B41" s="826" t="s">
        <v>683</v>
      </c>
      <c r="C41" s="823">
        <v>120</v>
      </c>
      <c r="D41" s="827">
        <v>6.941009174311926</v>
      </c>
      <c r="E41" s="444">
        <f t="shared" si="13"/>
        <v>1</v>
      </c>
      <c r="F41" s="829">
        <f t="shared" si="8"/>
        <v>7.941009174311926</v>
      </c>
      <c r="G41" s="446">
        <f t="shared" si="9"/>
        <v>20.650000000000002</v>
      </c>
      <c r="H41" s="447">
        <f t="shared" si="10"/>
        <v>34.450000000000003</v>
      </c>
      <c r="I41" s="526">
        <f t="shared" si="11"/>
        <v>49.25</v>
      </c>
      <c r="J41" s="574" t="str">
        <f>J40</f>
        <v>GROUP 2</v>
      </c>
      <c r="K41" s="531"/>
      <c r="L41" s="573">
        <f>L40</f>
        <v>54.45</v>
      </c>
    </row>
    <row r="42" spans="1:12" hidden="1" x14ac:dyDescent="0.25">
      <c r="A42" s="359">
        <f t="shared" si="12"/>
        <v>7</v>
      </c>
      <c r="B42" s="826" t="s">
        <v>684</v>
      </c>
      <c r="C42" s="823">
        <v>118</v>
      </c>
      <c r="D42" s="827">
        <v>7.7395871559633012</v>
      </c>
      <c r="E42" s="444">
        <f t="shared" si="13"/>
        <v>1</v>
      </c>
      <c r="F42" s="829">
        <f t="shared" si="8"/>
        <v>8.7395871559633012</v>
      </c>
      <c r="G42" s="446">
        <f t="shared" si="9"/>
        <v>22.75</v>
      </c>
      <c r="H42" s="447">
        <f t="shared" si="10"/>
        <v>37.950000000000003</v>
      </c>
      <c r="I42" s="526">
        <f t="shared" si="11"/>
        <v>54.25</v>
      </c>
      <c r="J42" s="574" t="str">
        <f>J41</f>
        <v>GROUP 2</v>
      </c>
      <c r="K42" s="531"/>
      <c r="L42" s="573">
        <f>L41</f>
        <v>54.45</v>
      </c>
    </row>
    <row r="43" spans="1:12" ht="15.75" hidden="1" thickBot="1" x14ac:dyDescent="0.3">
      <c r="A43" s="359">
        <f t="shared" si="12"/>
        <v>8</v>
      </c>
      <c r="B43" s="826" t="s">
        <v>685</v>
      </c>
      <c r="C43" s="823">
        <v>120</v>
      </c>
      <c r="D43" s="827">
        <v>7.7813302752293581</v>
      </c>
      <c r="E43" s="444">
        <f t="shared" si="13"/>
        <v>1</v>
      </c>
      <c r="F43" s="829">
        <f t="shared" si="8"/>
        <v>8.7813302752293581</v>
      </c>
      <c r="G43" s="446">
        <f t="shared" si="9"/>
        <v>22.85</v>
      </c>
      <c r="H43" s="447">
        <f t="shared" si="10"/>
        <v>38.1</v>
      </c>
      <c r="I43" s="526">
        <f t="shared" si="11"/>
        <v>54.45</v>
      </c>
      <c r="J43" s="576" t="str">
        <f>J42</f>
        <v>GROUP 2</v>
      </c>
      <c r="K43" s="530"/>
      <c r="L43" s="577">
        <f>L42</f>
        <v>54.45</v>
      </c>
    </row>
    <row r="44" spans="1:12" hidden="1" x14ac:dyDescent="0.25">
      <c r="A44" s="359">
        <f t="shared" si="12"/>
        <v>9</v>
      </c>
      <c r="B44" s="826" t="s">
        <v>686</v>
      </c>
      <c r="C44" s="823">
        <v>118</v>
      </c>
      <c r="D44" s="827">
        <v>8.1345412844036691</v>
      </c>
      <c r="E44" s="444">
        <f t="shared" si="13"/>
        <v>1</v>
      </c>
      <c r="F44" s="828">
        <f t="shared" si="8"/>
        <v>9.1345412844036691</v>
      </c>
      <c r="G44" s="446">
        <f t="shared" si="9"/>
        <v>23.75</v>
      </c>
      <c r="H44" s="447">
        <f t="shared" si="10"/>
        <v>39.6</v>
      </c>
      <c r="I44" s="526">
        <f t="shared" si="11"/>
        <v>56.6</v>
      </c>
      <c r="J44" s="532" t="s">
        <v>671</v>
      </c>
      <c r="K44" s="528" t="s">
        <v>116</v>
      </c>
      <c r="L44" s="575">
        <f>I45</f>
        <v>67.5</v>
      </c>
    </row>
    <row r="45" spans="1:12" ht="15.75" hidden="1" thickBot="1" x14ac:dyDescent="0.3">
      <c r="A45" s="359">
        <f t="shared" si="12"/>
        <v>10</v>
      </c>
      <c r="B45" s="826" t="s">
        <v>687</v>
      </c>
      <c r="C45" s="823">
        <v>118</v>
      </c>
      <c r="D45" s="827">
        <v>9.9063761467889915</v>
      </c>
      <c r="E45" s="444">
        <f t="shared" si="13"/>
        <v>1</v>
      </c>
      <c r="F45" s="828">
        <f t="shared" si="8"/>
        <v>10.906376146788991</v>
      </c>
      <c r="G45" s="446">
        <f t="shared" si="9"/>
        <v>28.35</v>
      </c>
      <c r="H45" s="447">
        <f t="shared" si="10"/>
        <v>47.25</v>
      </c>
      <c r="I45" s="526">
        <f t="shared" si="11"/>
        <v>67.5</v>
      </c>
      <c r="J45" s="576" t="str">
        <f>J44</f>
        <v>GROUP 3</v>
      </c>
      <c r="K45" s="530"/>
      <c r="L45" s="577">
        <f>L44</f>
        <v>67.5</v>
      </c>
    </row>
    <row r="46" spans="1:12" hidden="1" x14ac:dyDescent="0.25">
      <c r="A46" s="359">
        <f t="shared" si="12"/>
        <v>11</v>
      </c>
      <c r="B46" s="826" t="s">
        <v>688</v>
      </c>
      <c r="C46" s="823">
        <v>118</v>
      </c>
      <c r="D46" s="827">
        <v>11.098302752293577</v>
      </c>
      <c r="E46" s="444">
        <f t="shared" si="13"/>
        <v>1</v>
      </c>
      <c r="F46" s="830">
        <f t="shared" si="8"/>
        <v>12.098302752293577</v>
      </c>
      <c r="G46" s="446">
        <f t="shared" si="9"/>
        <v>31.450000000000003</v>
      </c>
      <c r="H46" s="447">
        <f t="shared" si="10"/>
        <v>52.45</v>
      </c>
      <c r="I46" s="526">
        <f t="shared" si="11"/>
        <v>74.95</v>
      </c>
      <c r="J46" s="532" t="s">
        <v>672</v>
      </c>
      <c r="K46" s="528" t="s">
        <v>116</v>
      </c>
      <c r="L46" s="575">
        <f>I47</f>
        <v>80</v>
      </c>
    </row>
    <row r="47" spans="1:12" ht="15.75" hidden="1" thickBot="1" x14ac:dyDescent="0.3">
      <c r="A47" s="359">
        <f t="shared" si="12"/>
        <v>12</v>
      </c>
      <c r="B47" s="796" t="s">
        <v>689</v>
      </c>
      <c r="C47" s="823">
        <v>126</v>
      </c>
      <c r="D47" s="827">
        <v>11.923211009174313</v>
      </c>
      <c r="E47" s="444">
        <f t="shared" si="13"/>
        <v>1</v>
      </c>
      <c r="F47" s="830">
        <f t="shared" si="8"/>
        <v>12.923211009174313</v>
      </c>
      <c r="G47" s="446">
        <f t="shared" si="9"/>
        <v>33.6</v>
      </c>
      <c r="H47" s="447">
        <f t="shared" si="10"/>
        <v>56</v>
      </c>
      <c r="I47" s="526">
        <f t="shared" si="11"/>
        <v>80</v>
      </c>
      <c r="J47" s="576" t="str">
        <f>J46</f>
        <v>GROUP 4</v>
      </c>
      <c r="K47" s="530"/>
      <c r="L47" s="577">
        <f>L46</f>
        <v>80</v>
      </c>
    </row>
    <row r="48" spans="1:12" ht="15.75" hidden="1" thickBot="1" x14ac:dyDescent="0.3">
      <c r="A48" s="359">
        <v>1</v>
      </c>
      <c r="B48" s="824" t="s">
        <v>674</v>
      </c>
      <c r="C48" s="824" t="s">
        <v>668</v>
      </c>
      <c r="D48" s="827">
        <v>7.7452752293577998</v>
      </c>
      <c r="E48" s="444">
        <f t="shared" si="13"/>
        <v>1</v>
      </c>
      <c r="F48" s="831">
        <f>(D48+E48)/2</f>
        <v>4.3726376146788999</v>
      </c>
      <c r="G48" s="446">
        <f t="shared" si="9"/>
        <v>11.4</v>
      </c>
      <c r="H48" s="447">
        <f t="shared" si="10"/>
        <v>19</v>
      </c>
      <c r="I48" s="526">
        <f t="shared" si="11"/>
        <v>27.150000000000002</v>
      </c>
      <c r="J48" s="533" t="s">
        <v>669</v>
      </c>
      <c r="K48" s="527" t="s">
        <v>673</v>
      </c>
      <c r="L48" s="578">
        <f>I48</f>
        <v>27.150000000000002</v>
      </c>
    </row>
    <row r="49" spans="1:14" ht="15.75" hidden="1" thickBot="1" x14ac:dyDescent="0.3">
      <c r="A49" s="359">
        <f>1+A48</f>
        <v>2</v>
      </c>
      <c r="B49" s="824" t="s">
        <v>675</v>
      </c>
      <c r="C49" s="824">
        <v>110</v>
      </c>
      <c r="D49" s="827">
        <v>12.0271559633028</v>
      </c>
      <c r="E49" s="444">
        <f t="shared" si="13"/>
        <v>1</v>
      </c>
      <c r="F49" s="831">
        <f>(D49+E49)/2</f>
        <v>6.5135779816513999</v>
      </c>
      <c r="G49" s="446">
        <f t="shared" si="9"/>
        <v>16.95</v>
      </c>
      <c r="H49" s="447">
        <f t="shared" si="10"/>
        <v>28.25</v>
      </c>
      <c r="I49" s="526">
        <f t="shared" si="11"/>
        <v>40.400000000000006</v>
      </c>
      <c r="J49" s="533" t="s">
        <v>670</v>
      </c>
      <c r="K49" s="527" t="s">
        <v>673</v>
      </c>
      <c r="L49" s="578">
        <f>I49</f>
        <v>40.400000000000006</v>
      </c>
    </row>
    <row r="50" spans="1:14" ht="15.75" hidden="1" thickBot="1" x14ac:dyDescent="0.3">
      <c r="A50" s="359">
        <f>1+A49</f>
        <v>3</v>
      </c>
      <c r="B50" s="824" t="s">
        <v>676</v>
      </c>
      <c r="C50" s="824">
        <v>110</v>
      </c>
      <c r="D50" s="827">
        <v>13.119862385321101</v>
      </c>
      <c r="E50" s="444">
        <f t="shared" si="13"/>
        <v>1</v>
      </c>
      <c r="F50" s="831">
        <f>(D50+E50)/2</f>
        <v>7.0599311926605504</v>
      </c>
      <c r="G50" s="446">
        <f t="shared" si="9"/>
        <v>18.350000000000001</v>
      </c>
      <c r="H50" s="447">
        <f t="shared" si="10"/>
        <v>30.6</v>
      </c>
      <c r="I50" s="526">
        <f t="shared" si="11"/>
        <v>43.75</v>
      </c>
      <c r="J50" s="533" t="s">
        <v>671</v>
      </c>
      <c r="K50" s="527" t="s">
        <v>673</v>
      </c>
      <c r="L50" s="578">
        <f>I50</f>
        <v>43.75</v>
      </c>
    </row>
    <row r="51" spans="1:14" ht="15.75" hidden="1" thickBot="1" x14ac:dyDescent="0.3">
      <c r="A51" s="359">
        <f>1+A50</f>
        <v>4</v>
      </c>
      <c r="B51" s="824" t="s">
        <v>677</v>
      </c>
      <c r="C51" s="824">
        <v>110</v>
      </c>
      <c r="D51" s="827">
        <v>16.706880733944999</v>
      </c>
      <c r="E51" s="444">
        <f t="shared" si="13"/>
        <v>1</v>
      </c>
      <c r="F51" s="831">
        <f>(D51+E51)/2</f>
        <v>8.8534403669724995</v>
      </c>
      <c r="G51" s="446">
        <f t="shared" si="9"/>
        <v>23</v>
      </c>
      <c r="H51" s="447">
        <f t="shared" si="10"/>
        <v>38.35</v>
      </c>
      <c r="I51" s="526">
        <f t="shared" si="11"/>
        <v>54.800000000000004</v>
      </c>
      <c r="J51" s="533" t="s">
        <v>672</v>
      </c>
      <c r="K51" s="527" t="s">
        <v>673</v>
      </c>
      <c r="L51" s="578">
        <f>I51</f>
        <v>54.800000000000004</v>
      </c>
    </row>
    <row r="52" spans="1:14" hidden="1" x14ac:dyDescent="0.25"/>
    <row r="53" spans="1:14" hidden="1" x14ac:dyDescent="0.25">
      <c r="F53" s="523" t="s">
        <v>667</v>
      </c>
    </row>
    <row r="54" spans="1:14" hidden="1" x14ac:dyDescent="0.25"/>
    <row r="55" spans="1:14" hidden="1" x14ac:dyDescent="0.25"/>
    <row r="56" spans="1:14" hidden="1" x14ac:dyDescent="0.25">
      <c r="G56" s="941" t="s">
        <v>172</v>
      </c>
      <c r="H56" s="942"/>
      <c r="I56" s="943"/>
      <c r="M56" s="284"/>
      <c r="N56" s="284"/>
    </row>
    <row r="57" spans="1:14" hidden="1" x14ac:dyDescent="0.25">
      <c r="G57" s="433">
        <f>'MARK UP''s'!D11</f>
        <v>0.5</v>
      </c>
      <c r="H57" s="433">
        <f>'MARK UP''s'!E11</f>
        <v>0.4</v>
      </c>
      <c r="I57" s="433">
        <f>'MARK UP''s'!F11</f>
        <v>0.3</v>
      </c>
    </row>
    <row r="58" spans="1:14" hidden="1" x14ac:dyDescent="0.25">
      <c r="G58" s="435" t="s">
        <v>77</v>
      </c>
      <c r="H58" s="435" t="s">
        <v>174</v>
      </c>
      <c r="I58" s="435" t="s">
        <v>175</v>
      </c>
    </row>
    <row r="59" spans="1:14" ht="30" hidden="1" x14ac:dyDescent="0.25">
      <c r="B59" s="450" t="s">
        <v>146</v>
      </c>
      <c r="C59" s="450" t="s">
        <v>145</v>
      </c>
      <c r="D59" s="438" t="s">
        <v>166</v>
      </c>
      <c r="E59" s="438" t="s">
        <v>167</v>
      </c>
      <c r="F59" s="438" t="s">
        <v>168</v>
      </c>
      <c r="G59" s="451" t="s">
        <v>148</v>
      </c>
      <c r="H59" s="452" t="s">
        <v>148</v>
      </c>
      <c r="I59" s="453" t="s">
        <v>148</v>
      </c>
    </row>
    <row r="60" spans="1:14" hidden="1" x14ac:dyDescent="0.25">
      <c r="B60" s="427" t="s">
        <v>147</v>
      </c>
      <c r="C60" s="427">
        <v>110</v>
      </c>
      <c r="D60" s="443">
        <f>4.89+0.92</f>
        <v>5.81</v>
      </c>
      <c r="E60" s="443">
        <f>(((8500/10900)+(9500/21800))/2)+0.58</f>
        <v>1.1877981651376146</v>
      </c>
      <c r="F60" s="444">
        <f>D60+E60</f>
        <v>6.9977981651376142</v>
      </c>
      <c r="G60" s="446">
        <f>CEILING(F60/(1-$G$57),0.05)</f>
        <v>14</v>
      </c>
      <c r="H60" s="447">
        <f>CEILING(G60/(1-$H$57),0.05)</f>
        <v>23.35</v>
      </c>
      <c r="I60" s="448">
        <f>CEILING(H60/(1-$I$57),0.05)</f>
        <v>33.4</v>
      </c>
      <c r="J60" s="284"/>
    </row>
    <row r="61" spans="1:14" hidden="1" x14ac:dyDescent="0.25">
      <c r="B61" s="427" t="s">
        <v>165</v>
      </c>
      <c r="C61" s="427">
        <v>110</v>
      </c>
      <c r="D61" s="443">
        <f>4.89+0.92</f>
        <v>5.81</v>
      </c>
      <c r="E61" s="443">
        <f>(((8500/10900)+(9500/21800))/2)+0.58</f>
        <v>1.1877981651376146</v>
      </c>
      <c r="F61" s="444">
        <f>D61+E61</f>
        <v>6.9977981651376142</v>
      </c>
      <c r="G61" s="446">
        <f>CEILING(F61/(1-$G$57),0.05)</f>
        <v>14</v>
      </c>
      <c r="H61" s="447">
        <f>CEILING(G61/(1-$H$57),0.05)</f>
        <v>23.35</v>
      </c>
      <c r="I61" s="448">
        <f>CEILING(H61/(1-$I$57),0.05)</f>
        <v>33.4</v>
      </c>
    </row>
    <row r="62" spans="1:14" hidden="1" x14ac:dyDescent="0.25">
      <c r="B62" s="427" t="s">
        <v>163</v>
      </c>
      <c r="C62" s="427">
        <v>54</v>
      </c>
      <c r="D62" s="522">
        <f>(1.28+0.02)+0.2</f>
        <v>1.5</v>
      </c>
      <c r="E62" s="444">
        <v>0.35</v>
      </c>
      <c r="F62" s="444">
        <f>D62+E62</f>
        <v>1.85</v>
      </c>
      <c r="G62" s="446">
        <f>CEILING(F62/(1-$G$57),0.05)</f>
        <v>3.7</v>
      </c>
      <c r="H62" s="447">
        <f>CEILING(G62/(1-$H$57),0.05)</f>
        <v>6.2</v>
      </c>
      <c r="I62" s="448">
        <f>CEILING(H62/(1-$I$57),0.05)</f>
        <v>8.9</v>
      </c>
      <c r="J62" s="284"/>
    </row>
    <row r="63" spans="1:14" hidden="1" x14ac:dyDescent="0.25">
      <c r="B63" s="427" t="s">
        <v>164</v>
      </c>
      <c r="C63" s="427">
        <v>54</v>
      </c>
      <c r="D63" s="522">
        <f>(1.28+0.02)+0.2</f>
        <v>1.5</v>
      </c>
      <c r="E63" s="444">
        <v>0.35</v>
      </c>
      <c r="F63" s="444">
        <f>D63+E63</f>
        <v>1.85</v>
      </c>
      <c r="G63" s="446">
        <f>CEILING(F63/(1-$G$57),0.05)</f>
        <v>3.7</v>
      </c>
      <c r="H63" s="447">
        <f>CEILING(G63/(1-$H$57),0.05)</f>
        <v>6.2</v>
      </c>
      <c r="I63" s="448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1" t="s">
        <v>172</v>
      </c>
      <c r="H67" s="932"/>
      <c r="I67" s="932"/>
      <c r="J67" s="932"/>
      <c r="K67" s="931" t="s">
        <v>172</v>
      </c>
      <c r="L67" s="932"/>
      <c r="M67" s="932"/>
      <c r="N67" s="933"/>
      <c r="O67" s="454"/>
      <c r="P67" s="931" t="s">
        <v>172</v>
      </c>
      <c r="Q67" s="932"/>
      <c r="R67" s="932"/>
      <c r="S67" s="933"/>
    </row>
    <row r="68" spans="2:19" ht="15.75" hidden="1" x14ac:dyDescent="0.25">
      <c r="C68" s="931" t="s">
        <v>196</v>
      </c>
      <c r="D68" s="932"/>
      <c r="E68" s="932"/>
      <c r="F68" s="933"/>
      <c r="G68" s="925">
        <f>'MARK UP''s'!D12</f>
        <v>0.5</v>
      </c>
      <c r="H68" s="926"/>
      <c r="I68" s="926"/>
      <c r="J68" s="926"/>
      <c r="K68" s="925">
        <f>'MARK UP''s'!E12</f>
        <v>0.4</v>
      </c>
      <c r="L68" s="926"/>
      <c r="M68" s="926"/>
      <c r="N68" s="927"/>
      <c r="O68" s="455"/>
      <c r="P68" s="925">
        <f>'MARK UP''s'!F12</f>
        <v>0.3</v>
      </c>
      <c r="Q68" s="926"/>
      <c r="R68" s="926"/>
      <c r="S68" s="927"/>
    </row>
    <row r="69" spans="2:19" ht="16.5" hidden="1" thickBot="1" x14ac:dyDescent="0.3">
      <c r="C69" s="922" t="s">
        <v>77</v>
      </c>
      <c r="D69" s="923"/>
      <c r="E69" s="923"/>
      <c r="F69" s="924"/>
      <c r="G69" s="922" t="s">
        <v>77</v>
      </c>
      <c r="H69" s="923"/>
      <c r="I69" s="923"/>
      <c r="J69" s="923"/>
      <c r="K69" s="922" t="s">
        <v>174</v>
      </c>
      <c r="L69" s="923"/>
      <c r="M69" s="923"/>
      <c r="N69" s="924"/>
      <c r="O69" s="456"/>
      <c r="P69" s="922" t="s">
        <v>175</v>
      </c>
      <c r="Q69" s="923"/>
      <c r="R69" s="923"/>
      <c r="S69" s="924"/>
    </row>
    <row r="70" spans="2:19" ht="15.75" hidden="1" thickBot="1" x14ac:dyDescent="0.3">
      <c r="B70" s="457" t="s">
        <v>193</v>
      </c>
      <c r="C70" s="458">
        <v>36</v>
      </c>
      <c r="D70" s="459">
        <v>48</v>
      </c>
      <c r="E70" s="459">
        <v>60</v>
      </c>
      <c r="F70" s="460">
        <v>72</v>
      </c>
      <c r="G70" s="461">
        <v>36</v>
      </c>
      <c r="H70" s="462">
        <v>48</v>
      </c>
      <c r="I70" s="462">
        <v>60</v>
      </c>
      <c r="J70" s="463">
        <v>72</v>
      </c>
      <c r="K70" s="464">
        <v>36</v>
      </c>
      <c r="L70" s="465">
        <v>48</v>
      </c>
      <c r="M70" s="465">
        <v>60</v>
      </c>
      <c r="N70" s="466">
        <v>72</v>
      </c>
      <c r="O70" s="457" t="s">
        <v>193</v>
      </c>
      <c r="P70" s="832">
        <v>36</v>
      </c>
      <c r="Q70" s="833">
        <v>48</v>
      </c>
      <c r="R70" s="833">
        <v>60</v>
      </c>
      <c r="S70" s="834">
        <v>72</v>
      </c>
    </row>
    <row r="71" spans="2:19" hidden="1" x14ac:dyDescent="0.25">
      <c r="B71" s="467" t="s">
        <v>289</v>
      </c>
      <c r="C71" s="468">
        <f>0.9624*2</f>
        <v>1.9248000000000001</v>
      </c>
      <c r="D71" s="469">
        <f>1.2332*2</f>
        <v>2.4664000000000001</v>
      </c>
      <c r="E71" s="469">
        <f>3.18+0.02</f>
        <v>3.2</v>
      </c>
      <c r="F71" s="470">
        <f>3.9+0.1</f>
        <v>4</v>
      </c>
      <c r="G71" s="471">
        <f>CEILING(C71/(1-$G$68),0.05)</f>
        <v>3.85</v>
      </c>
      <c r="H71" s="472">
        <f t="shared" ref="G71:J73" si="14">CEILING(D71/(1-$G$68),0.05)</f>
        <v>4.95</v>
      </c>
      <c r="I71" s="472">
        <f t="shared" si="14"/>
        <v>6.4</v>
      </c>
      <c r="J71" s="473">
        <f t="shared" si="14"/>
        <v>8</v>
      </c>
      <c r="K71" s="474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5">
        <f t="shared" si="15"/>
        <v>13.350000000000001</v>
      </c>
      <c r="O71" s="467" t="s">
        <v>289</v>
      </c>
      <c r="P71" s="835">
        <f>CEILING(K71/(1-$P$68),0.05)</f>
        <v>9.25</v>
      </c>
      <c r="Q71" s="836">
        <f t="shared" ref="P71:S73" si="16">CEILING(L71/(1-$P$68),0.05)</f>
        <v>11.8</v>
      </c>
      <c r="R71" s="836">
        <f t="shared" si="16"/>
        <v>15.3</v>
      </c>
      <c r="S71" s="837">
        <f t="shared" si="16"/>
        <v>19.100000000000001</v>
      </c>
    </row>
    <row r="72" spans="2:19" hidden="1" x14ac:dyDescent="0.25">
      <c r="B72" s="467" t="s">
        <v>290</v>
      </c>
      <c r="C72" s="468">
        <f>1.8423*2</f>
        <v>3.6846000000000001</v>
      </c>
      <c r="D72" s="469">
        <f>2.2529*2</f>
        <v>4.5057999999999998</v>
      </c>
      <c r="E72" s="469">
        <v>6.42</v>
      </c>
      <c r="F72" s="470">
        <v>8.6999999999999993</v>
      </c>
      <c r="G72" s="476">
        <f t="shared" si="14"/>
        <v>7.4</v>
      </c>
      <c r="H72" s="477">
        <f t="shared" si="14"/>
        <v>9.0500000000000007</v>
      </c>
      <c r="I72" s="477">
        <f t="shared" si="14"/>
        <v>12.850000000000001</v>
      </c>
      <c r="J72" s="478">
        <f t="shared" si="14"/>
        <v>17.400000000000002</v>
      </c>
      <c r="K72" s="479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0">
        <f t="shared" si="15"/>
        <v>29</v>
      </c>
      <c r="O72" s="467" t="s">
        <v>290</v>
      </c>
      <c r="P72" s="838">
        <f t="shared" si="16"/>
        <v>17.650000000000002</v>
      </c>
      <c r="Q72" s="839">
        <f t="shared" si="16"/>
        <v>21.6</v>
      </c>
      <c r="R72" s="839">
        <f t="shared" si="16"/>
        <v>30.650000000000002</v>
      </c>
      <c r="S72" s="840">
        <f t="shared" si="16"/>
        <v>41.45</v>
      </c>
    </row>
    <row r="73" spans="2:19" ht="15.75" hidden="1" thickBot="1" x14ac:dyDescent="0.3">
      <c r="B73" s="481" t="s">
        <v>271</v>
      </c>
      <c r="C73" s="482">
        <f>6.95*2</f>
        <v>13.9</v>
      </c>
      <c r="D73" s="483">
        <f>8.08*2</f>
        <v>16.16</v>
      </c>
      <c r="E73" s="483">
        <f>10.34*2</f>
        <v>20.68</v>
      </c>
      <c r="F73" s="484">
        <f>11.5*2</f>
        <v>23</v>
      </c>
      <c r="G73" s="485">
        <f t="shared" si="14"/>
        <v>27.8</v>
      </c>
      <c r="H73" s="486">
        <f t="shared" si="14"/>
        <v>32.35</v>
      </c>
      <c r="I73" s="486">
        <f t="shared" si="14"/>
        <v>41.400000000000006</v>
      </c>
      <c r="J73" s="487">
        <f t="shared" si="14"/>
        <v>46</v>
      </c>
      <c r="K73" s="488">
        <f t="shared" si="15"/>
        <v>46.35</v>
      </c>
      <c r="L73" s="322">
        <f t="shared" si="15"/>
        <v>53.95</v>
      </c>
      <c r="M73" s="322">
        <f t="shared" si="15"/>
        <v>69</v>
      </c>
      <c r="N73" s="489">
        <f t="shared" si="15"/>
        <v>76.7</v>
      </c>
      <c r="O73" s="481" t="s">
        <v>271</v>
      </c>
      <c r="P73" s="841">
        <f t="shared" si="16"/>
        <v>66.25</v>
      </c>
      <c r="Q73" s="842">
        <f t="shared" si="16"/>
        <v>77.100000000000009</v>
      </c>
      <c r="R73" s="842">
        <f t="shared" si="16"/>
        <v>98.600000000000009</v>
      </c>
      <c r="S73" s="843">
        <f t="shared" si="16"/>
        <v>109.60000000000001</v>
      </c>
    </row>
    <row r="74" spans="2:19" hidden="1" x14ac:dyDescent="0.25"/>
    <row r="75" spans="2:19" hidden="1" x14ac:dyDescent="0.25">
      <c r="D75" s="490"/>
      <c r="E75" s="490"/>
      <c r="F75" s="490"/>
    </row>
    <row r="76" spans="2:19" hidden="1" x14ac:dyDescent="0.25"/>
    <row r="77" spans="2:19" ht="15.75" hidden="1" thickBot="1" x14ac:dyDescent="0.3">
      <c r="G77" s="492"/>
      <c r="I77" s="343"/>
    </row>
    <row r="78" spans="2:19" ht="15.75" hidden="1" thickBot="1" x14ac:dyDescent="0.3">
      <c r="D78" s="928" t="s">
        <v>172</v>
      </c>
      <c r="E78" s="929"/>
      <c r="F78" s="930"/>
      <c r="G78" s="616" t="s">
        <v>77</v>
      </c>
      <c r="H78" s="615" t="s">
        <v>174</v>
      </c>
      <c r="I78" s="614" t="s">
        <v>175</v>
      </c>
      <c r="K78" s="265" t="s">
        <v>728</v>
      </c>
    </row>
    <row r="79" spans="2:19" ht="15.75" hidden="1" thickBot="1" x14ac:dyDescent="0.3">
      <c r="B79" s="585" t="s">
        <v>194</v>
      </c>
      <c r="C79" s="586" t="s">
        <v>195</v>
      </c>
      <c r="D79" s="607" t="s">
        <v>77</v>
      </c>
      <c r="E79" s="608" t="s">
        <v>174</v>
      </c>
      <c r="F79" s="609" t="s">
        <v>175</v>
      </c>
      <c r="G79" s="587" t="s">
        <v>716</v>
      </c>
      <c r="H79" s="588" t="s">
        <v>717</v>
      </c>
      <c r="I79" s="589" t="s">
        <v>717</v>
      </c>
      <c r="J79" s="449">
        <v>0.5</v>
      </c>
      <c r="K79" s="284">
        <f>$I$88*(1-J79)</f>
        <v>60.25</v>
      </c>
    </row>
    <row r="80" spans="2:19" hidden="1" x14ac:dyDescent="0.25">
      <c r="B80" s="590" t="s">
        <v>736</v>
      </c>
      <c r="C80" s="591">
        <v>1.95</v>
      </c>
      <c r="D80" s="604">
        <f>'MARK UP''s'!D13</f>
        <v>0.45</v>
      </c>
      <c r="E80" s="592">
        <f>'MARK UP''s'!E13</f>
        <v>0.4</v>
      </c>
      <c r="F80" s="604">
        <f>'MARK UP''s'!F13</f>
        <v>0.3</v>
      </c>
      <c r="G80" s="593">
        <f>CEILING(C80/(1-$D80),0.05)</f>
        <v>3.5500000000000003</v>
      </c>
      <c r="H80" s="594">
        <f>CEILING(G80/(1-$E80),0.05)</f>
        <v>5.95</v>
      </c>
      <c r="I80" s="595">
        <f>CEILING(H80/(1-$F80),0.05)</f>
        <v>8.5</v>
      </c>
      <c r="J80" s="449">
        <v>0.4</v>
      </c>
      <c r="K80" s="284">
        <f>$I$88*(1-J80)</f>
        <v>72.3</v>
      </c>
      <c r="L80" s="284"/>
    </row>
    <row r="81" spans="2:12" hidden="1" x14ac:dyDescent="0.25">
      <c r="B81" s="420" t="s">
        <v>737</v>
      </c>
      <c r="C81" s="671">
        <v>3.15</v>
      </c>
      <c r="D81" s="605">
        <f>'MARK UP''s'!D14</f>
        <v>0.4</v>
      </c>
      <c r="E81" s="672">
        <f>'MARK UP''s'!E15</f>
        <v>0.4</v>
      </c>
      <c r="F81" s="673">
        <f>'MARK UP''s'!F15</f>
        <v>0.3</v>
      </c>
      <c r="G81" s="674">
        <f>CEILING(C81/(1-$D81),0.05)</f>
        <v>5.25</v>
      </c>
      <c r="H81" s="675">
        <f>CEILING(G81/(1-$E81),0.05)</f>
        <v>8.75</v>
      </c>
      <c r="I81" s="676">
        <f>CEILING(H81/(1-$F81),0.05)</f>
        <v>12.5</v>
      </c>
      <c r="J81" s="449"/>
      <c r="K81" s="284"/>
      <c r="L81" s="284"/>
    </row>
    <row r="82" spans="2:12" hidden="1" x14ac:dyDescent="0.25">
      <c r="B82" s="423" t="s">
        <v>740</v>
      </c>
      <c r="C82" s="493">
        <v>8.15</v>
      </c>
      <c r="D82" s="605">
        <f>'MARK UP''s'!D15</f>
        <v>0.5</v>
      </c>
      <c r="E82" s="491">
        <f>'MARK UP''s'!E15</f>
        <v>0.4</v>
      </c>
      <c r="F82" s="605">
        <f>'MARK UP''s'!F15</f>
        <v>0.3</v>
      </c>
      <c r="G82" s="494">
        <f>CEILING(C82/(1-$D82),0.05)</f>
        <v>16.3</v>
      </c>
      <c r="H82" s="447">
        <f>CEILING(G82/(1-$E82),0.05)</f>
        <v>27.200000000000003</v>
      </c>
      <c r="I82" s="495">
        <f>CEILING(H82/(1-$F82),0.05)</f>
        <v>38.900000000000006</v>
      </c>
      <c r="J82" s="449">
        <v>0.35</v>
      </c>
      <c r="K82" s="284">
        <f>$I$88*(1-J82)</f>
        <v>78.325000000000003</v>
      </c>
      <c r="L82" s="284"/>
    </row>
    <row r="83" spans="2:12" hidden="1" x14ac:dyDescent="0.25">
      <c r="B83" s="423" t="s">
        <v>741</v>
      </c>
      <c r="C83" s="493">
        <v>9.3000000000000007</v>
      </c>
      <c r="D83" s="605">
        <f>'MARK UP''s'!D16</f>
        <v>0.5</v>
      </c>
      <c r="E83" s="491">
        <f>'MARK UP''s'!E17</f>
        <v>0.4</v>
      </c>
      <c r="F83" s="605">
        <f>'MARK UP''s'!F17</f>
        <v>0.3</v>
      </c>
      <c r="G83" s="494">
        <f>CEILING(C83/(1-$D83),0.05)</f>
        <v>18.600000000000001</v>
      </c>
      <c r="H83" s="447">
        <f>CEILING(G83/(1-$E83),0.05)</f>
        <v>31</v>
      </c>
      <c r="I83" s="495">
        <f>CEILING(H83/(1-$F83),0.05)</f>
        <v>44.300000000000004</v>
      </c>
      <c r="J83" s="449"/>
      <c r="K83" s="284"/>
      <c r="L83" s="284"/>
    </row>
    <row r="84" spans="2:12" hidden="1" x14ac:dyDescent="0.25">
      <c r="B84" s="423" t="s">
        <v>280</v>
      </c>
      <c r="C84" s="682">
        <f>2.8+0.2</f>
        <v>3</v>
      </c>
      <c r="D84" s="685">
        <f>'MARK UP''s'!D17</f>
        <v>0.61499999999999999</v>
      </c>
      <c r="E84" s="491">
        <f>'MARK UP''s'!E17</f>
        <v>0.4</v>
      </c>
      <c r="F84" s="605">
        <f>'MARK UP''s'!F17</f>
        <v>0.3</v>
      </c>
      <c r="G84" s="494">
        <f t="shared" ref="G84:G91" si="17">CEILING(C84/(1-$D84),0.05)</f>
        <v>7.8000000000000007</v>
      </c>
      <c r="H84" s="447">
        <f t="shared" ref="H84:H91" si="18">CEILING(G84/(1-$E84),0.05)</f>
        <v>13</v>
      </c>
      <c r="I84" s="495">
        <f t="shared" ref="I84:I91" si="19">CEILING(H84/(1-$F84),0.05)</f>
        <v>18.600000000000001</v>
      </c>
      <c r="J84" s="449">
        <f>J82-0.05</f>
        <v>0.3</v>
      </c>
      <c r="K84" s="284">
        <f>$I$88*(1-J84)</f>
        <v>84.35</v>
      </c>
    </row>
    <row r="85" spans="2:12" hidden="1" x14ac:dyDescent="0.25">
      <c r="B85" s="423" t="s">
        <v>342</v>
      </c>
      <c r="C85" s="682">
        <f>4.6+0.9</f>
        <v>5.5</v>
      </c>
      <c r="D85" s="605">
        <f>'MARK UP''s'!D18</f>
        <v>0.74999999999999989</v>
      </c>
      <c r="E85" s="491">
        <f>'MARK UP''s'!E18</f>
        <v>0.4</v>
      </c>
      <c r="F85" s="605">
        <f>'MARK UP''s'!F18</f>
        <v>0.3</v>
      </c>
      <c r="G85" s="494">
        <f t="shared" si="17"/>
        <v>22</v>
      </c>
      <c r="H85" s="447">
        <f t="shared" si="18"/>
        <v>36.700000000000003</v>
      </c>
      <c r="I85" s="495">
        <f t="shared" si="19"/>
        <v>52.45</v>
      </c>
      <c r="J85" s="449">
        <f t="shared" ref="J85:J88" si="20">J84-0.05</f>
        <v>0.25</v>
      </c>
      <c r="K85" s="284">
        <f>$I$88*(1-J85)</f>
        <v>90.375</v>
      </c>
    </row>
    <row r="86" spans="2:12" hidden="1" x14ac:dyDescent="0.25">
      <c r="B86" s="601" t="s">
        <v>340</v>
      </c>
      <c r="C86" s="493">
        <f>D106</f>
        <v>15.097020803270803</v>
      </c>
      <c r="D86" s="605">
        <f>'MARK UP''s'!D19</f>
        <v>0.5</v>
      </c>
      <c r="E86" s="491">
        <f>'MARK UP''s'!E19</f>
        <v>0.4</v>
      </c>
      <c r="F86" s="605">
        <f>'MARK UP''s'!F19</f>
        <v>0.3</v>
      </c>
      <c r="G86" s="494">
        <f t="shared" si="17"/>
        <v>30.200000000000003</v>
      </c>
      <c r="H86" s="447">
        <f t="shared" si="18"/>
        <v>50.35</v>
      </c>
      <c r="I86" s="495">
        <f t="shared" si="19"/>
        <v>71.95</v>
      </c>
      <c r="J86" s="449">
        <f t="shared" si="20"/>
        <v>0.2</v>
      </c>
      <c r="K86" s="284">
        <f>$I$88*(1-J86)</f>
        <v>96.4</v>
      </c>
    </row>
    <row r="87" spans="2:12" hidden="1" x14ac:dyDescent="0.25">
      <c r="B87" s="423" t="s">
        <v>277</v>
      </c>
      <c r="C87" s="493">
        <v>16.25</v>
      </c>
      <c r="D87" s="605">
        <f>'MARK UP''s'!D20</f>
        <v>0.5</v>
      </c>
      <c r="E87" s="491">
        <f>'MARK UP''s'!E20</f>
        <v>0.4</v>
      </c>
      <c r="F87" s="605">
        <f>'MARK UP''s'!F20</f>
        <v>0.3</v>
      </c>
      <c r="G87" s="494">
        <f t="shared" si="17"/>
        <v>32.5</v>
      </c>
      <c r="H87" s="447">
        <f t="shared" si="18"/>
        <v>54.2</v>
      </c>
      <c r="I87" s="495">
        <f t="shared" si="19"/>
        <v>77.45</v>
      </c>
      <c r="J87" s="449">
        <f t="shared" si="20"/>
        <v>0.15000000000000002</v>
      </c>
      <c r="K87" s="284">
        <f>$I$88*(1-J87)</f>
        <v>102.425</v>
      </c>
    </row>
    <row r="88" spans="2:12" hidden="1" x14ac:dyDescent="0.25">
      <c r="B88" s="423" t="s">
        <v>284</v>
      </c>
      <c r="C88" s="493">
        <v>22</v>
      </c>
      <c r="D88" s="605">
        <f>'MARK UP''s'!D21</f>
        <v>0.56499999999999995</v>
      </c>
      <c r="E88" s="491">
        <f>'MARK UP''s'!E21</f>
        <v>0.4</v>
      </c>
      <c r="F88" s="605">
        <f>'MARK UP''s'!F21</f>
        <v>0.3</v>
      </c>
      <c r="G88" s="494">
        <f>CEILING(C88/(1-$D88),0.05)</f>
        <v>50.6</v>
      </c>
      <c r="H88" s="447">
        <f>CEILING(G88/(1-$E88),0.05)</f>
        <v>84.350000000000009</v>
      </c>
      <c r="I88" s="495">
        <f>CEILING(H88/(1-$F88),0.05)</f>
        <v>120.5</v>
      </c>
      <c r="J88" s="449">
        <f t="shared" si="20"/>
        <v>0.10000000000000002</v>
      </c>
      <c r="K88" s="284">
        <f>$I$88*(1-J88)</f>
        <v>108.45</v>
      </c>
    </row>
    <row r="89" spans="2:12" hidden="1" x14ac:dyDescent="0.25">
      <c r="B89" s="423" t="s">
        <v>282</v>
      </c>
      <c r="C89" s="493">
        <f>17+5</f>
        <v>22</v>
      </c>
      <c r="D89" s="605">
        <f>'MARK UP''s'!D22</f>
        <v>0.56499999999999995</v>
      </c>
      <c r="E89" s="491">
        <f>'MARK UP''s'!E22</f>
        <v>0.4</v>
      </c>
      <c r="F89" s="605">
        <f>'MARK UP''s'!F22</f>
        <v>0.3</v>
      </c>
      <c r="G89" s="494">
        <f t="shared" si="17"/>
        <v>50.6</v>
      </c>
      <c r="H89" s="447">
        <f t="shared" si="18"/>
        <v>84.350000000000009</v>
      </c>
      <c r="I89" s="495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3" t="s">
        <v>155</v>
      </c>
      <c r="C90" s="493">
        <v>27</v>
      </c>
      <c r="D90" s="605">
        <f>'MARK UP''s'!D23</f>
        <v>0.56499999999999995</v>
      </c>
      <c r="E90" s="491">
        <f>'MARK UP''s'!E23</f>
        <v>0.4</v>
      </c>
      <c r="F90" s="605">
        <f>'MARK UP''s'!F23</f>
        <v>0.3</v>
      </c>
      <c r="G90" s="494">
        <f t="shared" si="17"/>
        <v>62.1</v>
      </c>
      <c r="H90" s="447">
        <f t="shared" si="18"/>
        <v>103.5</v>
      </c>
      <c r="I90" s="495">
        <f t="shared" si="19"/>
        <v>147.9</v>
      </c>
      <c r="J90" s="658"/>
    </row>
    <row r="91" spans="2:12" ht="15.75" hidden="1" thickBot="1" x14ac:dyDescent="0.3">
      <c r="B91" s="424" t="s">
        <v>276</v>
      </c>
      <c r="C91" s="596">
        <v>50</v>
      </c>
      <c r="D91" s="606">
        <f>'MARK UP''s'!D24</f>
        <v>0.4</v>
      </c>
      <c r="E91" s="597">
        <f>'MARK UP''s'!E24</f>
        <v>0.4</v>
      </c>
      <c r="F91" s="606">
        <f>'MARK UP''s'!F24</f>
        <v>0.3</v>
      </c>
      <c r="G91" s="598">
        <f t="shared" si="17"/>
        <v>83.350000000000009</v>
      </c>
      <c r="H91" s="599">
        <f t="shared" si="18"/>
        <v>138.95000000000002</v>
      </c>
      <c r="I91" s="600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34" t="s">
        <v>708</v>
      </c>
      <c r="C98" s="935"/>
      <c r="D98" s="938" t="s">
        <v>339</v>
      </c>
      <c r="E98" s="939"/>
      <c r="F98" s="939"/>
      <c r="G98" s="939"/>
      <c r="H98" s="939"/>
      <c r="I98" s="940"/>
    </row>
    <row r="99" spans="2:9" ht="15.75" hidden="1" thickBot="1" x14ac:dyDescent="0.3">
      <c r="B99" s="936"/>
      <c r="C99" s="937"/>
      <c r="D99" s="844">
        <v>84</v>
      </c>
      <c r="E99" s="845">
        <f>D99+12</f>
        <v>96</v>
      </c>
      <c r="F99" s="845">
        <f>E99+12</f>
        <v>108</v>
      </c>
      <c r="G99" s="845">
        <f>F99+12</f>
        <v>120</v>
      </c>
      <c r="H99" s="845">
        <f>G99+12</f>
        <v>132</v>
      </c>
      <c r="I99" s="846">
        <f>H99+12</f>
        <v>144</v>
      </c>
    </row>
    <row r="100" spans="2:9" hidden="1" x14ac:dyDescent="0.25">
      <c r="B100" s="847" t="s">
        <v>334</v>
      </c>
      <c r="C100" s="848">
        <v>7</v>
      </c>
      <c r="D100" s="849">
        <f t="shared" ref="D100:I100" si="21">(D99/12)*$C$100</f>
        <v>49</v>
      </c>
      <c r="E100" s="849">
        <f t="shared" si="21"/>
        <v>56</v>
      </c>
      <c r="F100" s="849">
        <f t="shared" si="21"/>
        <v>63</v>
      </c>
      <c r="G100" s="849">
        <f t="shared" si="21"/>
        <v>70</v>
      </c>
      <c r="H100" s="849">
        <f t="shared" si="21"/>
        <v>77</v>
      </c>
      <c r="I100" s="850">
        <f t="shared" si="21"/>
        <v>84</v>
      </c>
    </row>
    <row r="101" spans="2:9" x14ac:dyDescent="0.25">
      <c r="B101" s="851" t="s">
        <v>335</v>
      </c>
      <c r="C101" s="443">
        <f>(12+13+9.5)/3</f>
        <v>11.5</v>
      </c>
      <c r="D101" s="852">
        <f t="shared" ref="D101:I101" si="22">(CEILING((D99-4-4)/24,1))*$C$101</f>
        <v>46</v>
      </c>
      <c r="E101" s="852">
        <f t="shared" si="22"/>
        <v>46</v>
      </c>
      <c r="F101" s="852">
        <f t="shared" si="22"/>
        <v>57.5</v>
      </c>
      <c r="G101" s="852">
        <f t="shared" si="22"/>
        <v>57.5</v>
      </c>
      <c r="H101" s="852">
        <f t="shared" si="22"/>
        <v>69</v>
      </c>
      <c r="I101" s="853">
        <f t="shared" si="22"/>
        <v>69</v>
      </c>
    </row>
    <row r="102" spans="2:9" x14ac:dyDescent="0.25">
      <c r="B102" s="851" t="s">
        <v>64</v>
      </c>
      <c r="C102" s="443">
        <v>3.75</v>
      </c>
      <c r="D102" s="852">
        <f t="shared" ref="D102:I102" si="23">2*$C$102</f>
        <v>7.5</v>
      </c>
      <c r="E102" s="852">
        <f t="shared" si="23"/>
        <v>7.5</v>
      </c>
      <c r="F102" s="852">
        <f t="shared" si="23"/>
        <v>7.5</v>
      </c>
      <c r="G102" s="852">
        <f t="shared" si="23"/>
        <v>7.5</v>
      </c>
      <c r="H102" s="852">
        <f t="shared" si="23"/>
        <v>7.5</v>
      </c>
      <c r="I102" s="853">
        <f t="shared" si="23"/>
        <v>7.5</v>
      </c>
    </row>
    <row r="103" spans="2:9" ht="15.75" thickBot="1" x14ac:dyDescent="0.3">
      <c r="B103" s="854" t="s">
        <v>336</v>
      </c>
      <c r="C103" s="855">
        <f>1.2</f>
        <v>1.2</v>
      </c>
      <c r="D103" s="856">
        <f t="shared" ref="D103:I103" si="24">(D99/12)*$C$103</f>
        <v>8.4</v>
      </c>
      <c r="E103" s="856">
        <f t="shared" si="24"/>
        <v>9.6</v>
      </c>
      <c r="F103" s="856">
        <f t="shared" si="24"/>
        <v>10.799999999999999</v>
      </c>
      <c r="G103" s="856">
        <f t="shared" si="24"/>
        <v>12</v>
      </c>
      <c r="H103" s="856">
        <f t="shared" si="24"/>
        <v>13.2</v>
      </c>
      <c r="I103" s="857">
        <f t="shared" si="24"/>
        <v>14.399999999999999</v>
      </c>
    </row>
    <row r="104" spans="2:9" x14ac:dyDescent="0.25">
      <c r="B104" s="858"/>
      <c r="C104" s="859" t="s">
        <v>337</v>
      </c>
      <c r="D104" s="860">
        <f t="shared" ref="D104:I104" si="25">SUM(D100:D103)</f>
        <v>110.9</v>
      </c>
      <c r="E104" s="860">
        <f t="shared" si="25"/>
        <v>119.1</v>
      </c>
      <c r="F104" s="860">
        <f t="shared" si="25"/>
        <v>138.80000000000001</v>
      </c>
      <c r="G104" s="860">
        <f t="shared" si="25"/>
        <v>147</v>
      </c>
      <c r="H104" s="860">
        <f t="shared" si="25"/>
        <v>166.7</v>
      </c>
      <c r="I104" s="861">
        <f t="shared" si="25"/>
        <v>174.9</v>
      </c>
    </row>
    <row r="105" spans="2:9" ht="15.75" thickBot="1" x14ac:dyDescent="0.3">
      <c r="B105" s="862"/>
      <c r="C105" s="863" t="s">
        <v>338</v>
      </c>
      <c r="D105" s="856">
        <f t="shared" ref="D105:I105" si="26">D104/(D99/12)</f>
        <v>15.842857142857143</v>
      </c>
      <c r="E105" s="856">
        <f t="shared" si="26"/>
        <v>14.887499999999999</v>
      </c>
      <c r="F105" s="856">
        <f t="shared" si="26"/>
        <v>15.422222222222224</v>
      </c>
      <c r="G105" s="856">
        <f t="shared" si="26"/>
        <v>14.7</v>
      </c>
      <c r="H105" s="856">
        <f t="shared" si="26"/>
        <v>15.154545454545454</v>
      </c>
      <c r="I105" s="857">
        <f t="shared" si="26"/>
        <v>14.575000000000001</v>
      </c>
    </row>
    <row r="106" spans="2:9" ht="15.75" thickBot="1" x14ac:dyDescent="0.3">
      <c r="B106" s="602"/>
      <c r="C106" s="864" t="s">
        <v>707</v>
      </c>
      <c r="D106" s="865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3"/>
      <c r="C2" s="413"/>
      <c r="D2" s="413"/>
      <c r="E2" s="413"/>
      <c r="F2" s="413"/>
      <c r="G2" s="413"/>
      <c r="H2" s="414" t="s">
        <v>123</v>
      </c>
      <c r="I2" s="415" t="s">
        <v>748</v>
      </c>
      <c r="J2" s="415"/>
      <c r="K2" s="415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6" t="s">
        <v>304</v>
      </c>
      <c r="C6" s="416" t="s">
        <v>303</v>
      </c>
      <c r="E6" s="417" t="s">
        <v>305</v>
      </c>
      <c r="F6" s="417" t="s">
        <v>130</v>
      </c>
      <c r="H6" s="416" t="s">
        <v>115</v>
      </c>
      <c r="I6" s="416" t="s">
        <v>115</v>
      </c>
      <c r="K6" s="416" t="s">
        <v>149</v>
      </c>
      <c r="M6" s="418" t="s">
        <v>308</v>
      </c>
      <c r="N6" s="418" t="s">
        <v>186</v>
      </c>
      <c r="P6" s="416" t="s">
        <v>311</v>
      </c>
      <c r="V6" s="416" t="s">
        <v>95</v>
      </c>
      <c r="X6" s="419" t="s">
        <v>126</v>
      </c>
      <c r="Z6" s="419" t="s">
        <v>126</v>
      </c>
    </row>
    <row r="7" spans="2:26" ht="15.75" hidden="1" thickBot="1" x14ac:dyDescent="0.3">
      <c r="B7" s="420" t="s">
        <v>298</v>
      </c>
      <c r="C7" s="420" t="s">
        <v>96</v>
      </c>
      <c r="E7" s="420" t="s">
        <v>131</v>
      </c>
      <c r="F7" s="420" t="s">
        <v>306</v>
      </c>
      <c r="H7" s="420" t="s">
        <v>135</v>
      </c>
      <c r="I7" s="420" t="s">
        <v>312</v>
      </c>
      <c r="K7" s="421">
        <v>2</v>
      </c>
      <c r="M7" s="420" t="s">
        <v>187</v>
      </c>
      <c r="N7" s="420" t="s">
        <v>309</v>
      </c>
      <c r="P7" s="420" t="s">
        <v>208</v>
      </c>
      <c r="V7" s="420" t="s">
        <v>62</v>
      </c>
      <c r="X7" s="422" t="s">
        <v>124</v>
      </c>
      <c r="Z7" s="422" t="s">
        <v>74</v>
      </c>
    </row>
    <row r="8" spans="2:26" hidden="1" x14ac:dyDescent="0.25">
      <c r="B8" s="423" t="s">
        <v>272</v>
      </c>
      <c r="C8" s="423" t="s">
        <v>299</v>
      </c>
      <c r="E8" s="420" t="s">
        <v>132</v>
      </c>
      <c r="F8" s="420" t="s">
        <v>307</v>
      </c>
      <c r="H8" s="420" t="s">
        <v>136</v>
      </c>
      <c r="I8" s="420" t="s">
        <v>313</v>
      </c>
      <c r="K8" s="421">
        <v>2.5</v>
      </c>
      <c r="M8" s="423" t="s">
        <v>691</v>
      </c>
      <c r="N8" s="423" t="s">
        <v>310</v>
      </c>
      <c r="P8" s="420" t="s">
        <v>214</v>
      </c>
      <c r="V8" s="420" t="s">
        <v>103</v>
      </c>
      <c r="X8" s="420" t="s">
        <v>129</v>
      </c>
      <c r="Z8" s="420" t="s">
        <v>129</v>
      </c>
    </row>
    <row r="9" spans="2:26" ht="15.75" hidden="1" thickBot="1" x14ac:dyDescent="0.3">
      <c r="B9" s="420" t="s">
        <v>273</v>
      </c>
      <c r="C9" s="420" t="s">
        <v>300</v>
      </c>
      <c r="E9" s="420"/>
      <c r="F9" s="420"/>
      <c r="H9" s="420" t="s">
        <v>116</v>
      </c>
      <c r="I9" s="420" t="s">
        <v>314</v>
      </c>
      <c r="K9" s="421">
        <v>1.75</v>
      </c>
      <c r="M9" s="420" t="s">
        <v>326</v>
      </c>
      <c r="N9" s="420" t="s">
        <v>327</v>
      </c>
      <c r="V9" s="424" t="s">
        <v>122</v>
      </c>
      <c r="X9" s="424" t="s">
        <v>125</v>
      </c>
      <c r="Z9" s="420" t="s">
        <v>127</v>
      </c>
    </row>
    <row r="10" spans="2:26" ht="15.75" hidden="1" thickBot="1" x14ac:dyDescent="0.3">
      <c r="B10" s="420" t="s">
        <v>141</v>
      </c>
      <c r="C10" s="420" t="s">
        <v>301</v>
      </c>
      <c r="E10" s="420"/>
      <c r="F10" s="420"/>
      <c r="H10" s="420" t="s">
        <v>161</v>
      </c>
      <c r="I10" s="420" t="s">
        <v>315</v>
      </c>
      <c r="K10" s="421">
        <v>1.5</v>
      </c>
      <c r="M10" s="425" t="s">
        <v>663</v>
      </c>
      <c r="N10" s="425" t="s">
        <v>310</v>
      </c>
      <c r="P10" s="416" t="s">
        <v>223</v>
      </c>
      <c r="Z10" s="424" t="s">
        <v>128</v>
      </c>
    </row>
    <row r="11" spans="2:26" hidden="1" x14ac:dyDescent="0.25">
      <c r="B11" s="420" t="s">
        <v>142</v>
      </c>
      <c r="C11" s="420" t="s">
        <v>302</v>
      </c>
      <c r="E11" s="420"/>
      <c r="F11" s="420"/>
      <c r="H11" s="420" t="s">
        <v>137</v>
      </c>
      <c r="I11" s="420" t="s">
        <v>316</v>
      </c>
      <c r="K11" s="421">
        <v>2.2000000000000002</v>
      </c>
      <c r="M11" s="338">
        <v>5</v>
      </c>
      <c r="P11" s="420" t="s">
        <v>220</v>
      </c>
    </row>
    <row r="12" spans="2:26" hidden="1" x14ac:dyDescent="0.25">
      <c r="B12" s="420" t="s">
        <v>734</v>
      </c>
      <c r="C12" s="420" t="s">
        <v>735</v>
      </c>
      <c r="E12" s="420"/>
      <c r="F12" s="420"/>
      <c r="H12" s="420" t="s">
        <v>138</v>
      </c>
      <c r="I12" s="420" t="s">
        <v>317</v>
      </c>
      <c r="K12" s="421">
        <v>1.8</v>
      </c>
      <c r="P12" s="420" t="s">
        <v>224</v>
      </c>
    </row>
    <row r="13" spans="2:26" ht="15.75" hidden="1" thickBot="1" x14ac:dyDescent="0.3">
      <c r="B13" s="425"/>
      <c r="C13" s="425"/>
      <c r="E13" s="420"/>
      <c r="F13" s="420"/>
      <c r="H13" s="420" t="s">
        <v>139</v>
      </c>
      <c r="I13" s="420" t="s">
        <v>318</v>
      </c>
      <c r="K13" s="421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0"/>
      <c r="F14" s="420"/>
      <c r="H14" s="420" t="s">
        <v>140</v>
      </c>
      <c r="I14" s="420" t="s">
        <v>319</v>
      </c>
      <c r="K14" s="425"/>
      <c r="M14" s="416" t="s">
        <v>324</v>
      </c>
      <c r="N14" s="416" t="s">
        <v>325</v>
      </c>
      <c r="P14" s="416" t="s">
        <v>259</v>
      </c>
      <c r="Q14" s="416" t="s">
        <v>259</v>
      </c>
    </row>
    <row r="15" spans="2:26" ht="15.75" hidden="1" thickBot="1" x14ac:dyDescent="0.3">
      <c r="E15" s="425"/>
      <c r="F15" s="425"/>
      <c r="H15" s="420" t="s">
        <v>162</v>
      </c>
      <c r="I15" s="420" t="s">
        <v>320</v>
      </c>
      <c r="K15" s="426">
        <v>4</v>
      </c>
      <c r="M15" s="427" t="s">
        <v>321</v>
      </c>
      <c r="N15" s="427" t="s">
        <v>178</v>
      </c>
      <c r="P15" s="416" t="s">
        <v>723</v>
      </c>
      <c r="Q15" s="416" t="s">
        <v>724</v>
      </c>
    </row>
    <row r="16" spans="2:26" hidden="1" x14ac:dyDescent="0.25">
      <c r="E16" s="428" t="s">
        <v>150</v>
      </c>
      <c r="F16" s="338">
        <v>2</v>
      </c>
      <c r="H16" s="420"/>
      <c r="I16" s="420"/>
      <c r="K16" s="429"/>
      <c r="M16" s="427" t="s">
        <v>322</v>
      </c>
      <c r="N16" s="427" t="s">
        <v>179</v>
      </c>
      <c r="P16" s="421">
        <v>0</v>
      </c>
      <c r="Q16" s="421">
        <v>0</v>
      </c>
    </row>
    <row r="17" spans="2:17" hidden="1" x14ac:dyDescent="0.25">
      <c r="E17" s="428" t="s">
        <v>151</v>
      </c>
      <c r="H17" s="420"/>
      <c r="I17" s="420"/>
      <c r="K17" s="429"/>
      <c r="M17" s="427" t="s">
        <v>184</v>
      </c>
      <c r="N17" s="427" t="s">
        <v>184</v>
      </c>
      <c r="P17" s="421">
        <v>0.4</v>
      </c>
      <c r="Q17" s="659">
        <v>0.5</v>
      </c>
    </row>
    <row r="18" spans="2:17" hidden="1" x14ac:dyDescent="0.25">
      <c r="E18" s="428" t="s">
        <v>132</v>
      </c>
      <c r="H18" s="420"/>
      <c r="I18" s="420"/>
      <c r="K18" s="429"/>
      <c r="M18" s="427" t="s">
        <v>323</v>
      </c>
      <c r="N18" s="427" t="s">
        <v>183</v>
      </c>
      <c r="P18" s="421">
        <v>0.35</v>
      </c>
      <c r="Q18" s="421">
        <v>0.45</v>
      </c>
    </row>
    <row r="19" spans="2:17" hidden="1" x14ac:dyDescent="0.25">
      <c r="E19" s="428" t="s">
        <v>133</v>
      </c>
      <c r="H19" s="420"/>
      <c r="I19" s="420"/>
      <c r="K19" s="429"/>
      <c r="M19" s="823" t="s">
        <v>678</v>
      </c>
      <c r="N19" s="823" t="s">
        <v>678</v>
      </c>
      <c r="P19" s="659">
        <v>0.3</v>
      </c>
      <c r="Q19" s="421">
        <v>0.4</v>
      </c>
    </row>
    <row r="20" spans="2:17" hidden="1" x14ac:dyDescent="0.25">
      <c r="E20" s="428" t="s">
        <v>134</v>
      </c>
      <c r="H20" s="338">
        <v>3</v>
      </c>
      <c r="M20" s="823" t="s">
        <v>679</v>
      </c>
      <c r="N20" s="823" t="s">
        <v>679</v>
      </c>
      <c r="P20" s="421">
        <v>0.25</v>
      </c>
      <c r="Q20" s="421">
        <v>0.35</v>
      </c>
    </row>
    <row r="21" spans="2:17" hidden="1" x14ac:dyDescent="0.25">
      <c r="E21" s="428" t="s">
        <v>143</v>
      </c>
      <c r="M21" s="823" t="s">
        <v>680</v>
      </c>
      <c r="N21" s="823" t="s">
        <v>680</v>
      </c>
      <c r="P21" s="421">
        <v>0.2</v>
      </c>
      <c r="Q21" s="421">
        <v>0.3</v>
      </c>
    </row>
    <row r="22" spans="2:17" hidden="1" x14ac:dyDescent="0.25">
      <c r="M22" s="823" t="s">
        <v>681</v>
      </c>
      <c r="N22" s="823" t="s">
        <v>681</v>
      </c>
      <c r="P22" s="421">
        <v>0.15</v>
      </c>
      <c r="Q22" s="421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3" t="s">
        <v>682</v>
      </c>
      <c r="N23" s="823" t="s">
        <v>682</v>
      </c>
      <c r="P23" s="421">
        <v>0.1</v>
      </c>
      <c r="Q23" s="421">
        <v>0.2</v>
      </c>
    </row>
    <row r="24" spans="2:17" ht="15.75" hidden="1" thickBot="1" x14ac:dyDescent="0.3">
      <c r="B24" s="416" t="s">
        <v>291</v>
      </c>
      <c r="C24" s="416" t="s">
        <v>292</v>
      </c>
      <c r="E24" s="416" t="s">
        <v>286</v>
      </c>
      <c r="F24" s="416" t="s">
        <v>152</v>
      </c>
      <c r="H24" s="416" t="s">
        <v>95</v>
      </c>
      <c r="I24" s="416" t="s">
        <v>189</v>
      </c>
      <c r="K24" s="416" t="s">
        <v>144</v>
      </c>
      <c r="M24" s="823" t="s">
        <v>683</v>
      </c>
      <c r="N24" s="823" t="s">
        <v>683</v>
      </c>
      <c r="P24" s="421">
        <v>0.05</v>
      </c>
      <c r="Q24" s="421">
        <v>0.15</v>
      </c>
    </row>
    <row r="25" spans="2:17" ht="15.75" hidden="1" thickBot="1" x14ac:dyDescent="0.3">
      <c r="B25" s="420" t="s">
        <v>122</v>
      </c>
      <c r="C25" s="420" t="s">
        <v>122</v>
      </c>
      <c r="E25" s="420" t="s">
        <v>122</v>
      </c>
      <c r="F25" s="420" t="s">
        <v>122</v>
      </c>
      <c r="H25" s="420" t="s">
        <v>122</v>
      </c>
      <c r="I25" s="420" t="s">
        <v>122</v>
      </c>
      <c r="K25" s="420">
        <v>54</v>
      </c>
      <c r="M25" s="823" t="s">
        <v>684</v>
      </c>
      <c r="N25" s="823" t="s">
        <v>684</v>
      </c>
      <c r="P25" s="421"/>
      <c r="Q25" s="421">
        <v>0.1</v>
      </c>
    </row>
    <row r="26" spans="2:17" hidden="1" x14ac:dyDescent="0.25">
      <c r="B26" s="420" t="s">
        <v>147</v>
      </c>
      <c r="C26" s="420" t="s">
        <v>293</v>
      </c>
      <c r="E26" s="420" t="s">
        <v>287</v>
      </c>
      <c r="F26" s="420" t="s">
        <v>153</v>
      </c>
      <c r="H26" s="590" t="s">
        <v>736</v>
      </c>
      <c r="I26" s="420" t="s">
        <v>738</v>
      </c>
      <c r="K26" s="423">
        <v>118</v>
      </c>
      <c r="M26" s="823" t="s">
        <v>685</v>
      </c>
      <c r="N26" s="823" t="s">
        <v>685</v>
      </c>
    </row>
    <row r="27" spans="2:17" hidden="1" x14ac:dyDescent="0.25">
      <c r="B27" s="423" t="s">
        <v>165</v>
      </c>
      <c r="C27" s="423" t="s">
        <v>294</v>
      </c>
      <c r="E27" s="420" t="s">
        <v>266</v>
      </c>
      <c r="F27" s="420" t="s">
        <v>154</v>
      </c>
      <c r="H27" s="420" t="s">
        <v>737</v>
      </c>
      <c r="I27" s="420" t="s">
        <v>739</v>
      </c>
      <c r="K27" s="420"/>
      <c r="M27" s="823" t="s">
        <v>686</v>
      </c>
      <c r="N27" s="823" t="s">
        <v>686</v>
      </c>
    </row>
    <row r="28" spans="2:17" hidden="1" x14ac:dyDescent="0.25">
      <c r="B28" s="423" t="s">
        <v>163</v>
      </c>
      <c r="C28" s="423" t="s">
        <v>295</v>
      </c>
      <c r="E28" s="338">
        <v>8</v>
      </c>
      <c r="H28" s="423" t="s">
        <v>740</v>
      </c>
      <c r="I28" s="420" t="s">
        <v>742</v>
      </c>
      <c r="K28" s="420"/>
      <c r="M28" s="823" t="s">
        <v>687</v>
      </c>
      <c r="N28" s="823" t="s">
        <v>687</v>
      </c>
    </row>
    <row r="29" spans="2:17" hidden="1" x14ac:dyDescent="0.25">
      <c r="B29" s="420" t="s">
        <v>164</v>
      </c>
      <c r="C29" s="420" t="s">
        <v>296</v>
      </c>
      <c r="H29" s="423" t="s">
        <v>741</v>
      </c>
      <c r="I29" s="420" t="s">
        <v>743</v>
      </c>
      <c r="K29" s="420"/>
      <c r="M29" s="823" t="s">
        <v>688</v>
      </c>
      <c r="N29" s="823" t="s">
        <v>688</v>
      </c>
    </row>
    <row r="30" spans="2:17" ht="15.75" hidden="1" thickBot="1" x14ac:dyDescent="0.3">
      <c r="B30" s="420"/>
      <c r="C30" s="420"/>
      <c r="H30" s="420" t="s">
        <v>280</v>
      </c>
      <c r="I30" s="420" t="s">
        <v>279</v>
      </c>
      <c r="K30" s="425"/>
      <c r="M30" s="823" t="s">
        <v>689</v>
      </c>
      <c r="N30" s="823" t="s">
        <v>689</v>
      </c>
    </row>
    <row r="31" spans="2:17" ht="15.75" hidden="1" thickBot="1" x14ac:dyDescent="0.3">
      <c r="B31" s="425"/>
      <c r="C31" s="425"/>
      <c r="H31" s="420" t="s">
        <v>342</v>
      </c>
      <c r="I31" s="420" t="s">
        <v>343</v>
      </c>
      <c r="M31" s="824" t="s">
        <v>674</v>
      </c>
      <c r="N31" s="824" t="s">
        <v>674</v>
      </c>
    </row>
    <row r="32" spans="2:17" hidden="1" x14ac:dyDescent="0.25">
      <c r="B32" s="338">
        <v>7</v>
      </c>
      <c r="H32" s="420" t="s">
        <v>340</v>
      </c>
      <c r="I32" s="420" t="s">
        <v>341</v>
      </c>
      <c r="M32" s="824" t="s">
        <v>675</v>
      </c>
      <c r="N32" s="824" t="s">
        <v>675</v>
      </c>
    </row>
    <row r="33" spans="2:14" ht="15.75" hidden="1" thickBot="1" x14ac:dyDescent="0.3">
      <c r="H33" s="420" t="s">
        <v>277</v>
      </c>
      <c r="I33" s="420" t="s">
        <v>278</v>
      </c>
      <c r="M33" s="824" t="s">
        <v>676</v>
      </c>
      <c r="N33" s="824" t="s">
        <v>676</v>
      </c>
    </row>
    <row r="34" spans="2:14" ht="15.75" hidden="1" thickBot="1" x14ac:dyDescent="0.3">
      <c r="B34" s="416" t="s">
        <v>145</v>
      </c>
      <c r="E34" s="344" t="s">
        <v>208</v>
      </c>
      <c r="F34" s="344" t="s">
        <v>214</v>
      </c>
      <c r="H34" s="420" t="s">
        <v>284</v>
      </c>
      <c r="I34" s="420" t="s">
        <v>283</v>
      </c>
      <c r="M34" s="824" t="s">
        <v>677</v>
      </c>
      <c r="N34" s="824" t="s">
        <v>677</v>
      </c>
    </row>
    <row r="35" spans="2:14" ht="15.75" hidden="1" thickBot="1" x14ac:dyDescent="0.3">
      <c r="B35" s="420" t="s">
        <v>122</v>
      </c>
      <c r="E35" s="416" t="s">
        <v>726</v>
      </c>
      <c r="F35" s="416" t="s">
        <v>725</v>
      </c>
      <c r="G35" s="344"/>
      <c r="H35" s="420" t="s">
        <v>282</v>
      </c>
      <c r="I35" s="420" t="s">
        <v>285</v>
      </c>
      <c r="M35" s="824"/>
      <c r="N35" s="824"/>
    </row>
    <row r="36" spans="2:14" hidden="1" x14ac:dyDescent="0.25">
      <c r="B36" s="423">
        <v>110</v>
      </c>
      <c r="E36" s="420" t="s">
        <v>730</v>
      </c>
      <c r="F36" s="420" t="s">
        <v>723</v>
      </c>
      <c r="H36" s="420" t="s">
        <v>155</v>
      </c>
      <c r="I36" s="420" t="s">
        <v>281</v>
      </c>
    </row>
    <row r="37" spans="2:14" hidden="1" x14ac:dyDescent="0.25">
      <c r="B37" s="420">
        <v>54</v>
      </c>
      <c r="E37" s="420" t="s">
        <v>729</v>
      </c>
      <c r="F37" s="420" t="s">
        <v>724</v>
      </c>
      <c r="H37" s="420" t="s">
        <v>276</v>
      </c>
      <c r="I37" s="420" t="s">
        <v>275</v>
      </c>
    </row>
    <row r="38" spans="2:14" hidden="1" x14ac:dyDescent="0.25">
      <c r="B38" s="420"/>
      <c r="E38" s="420"/>
      <c r="F38" s="420"/>
      <c r="H38" s="430">
        <v>9</v>
      </c>
    </row>
    <row r="39" spans="2:14" hidden="1" x14ac:dyDescent="0.25">
      <c r="B39" s="420"/>
      <c r="I39" s="430"/>
    </row>
    <row r="40" spans="2:14" ht="15.75" hidden="1" thickBot="1" x14ac:dyDescent="0.3">
      <c r="B40" s="425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6" t="s">
        <v>288</v>
      </c>
      <c r="I42" s="416" t="s">
        <v>297</v>
      </c>
    </row>
    <row r="43" spans="2:14" hidden="1" x14ac:dyDescent="0.25">
      <c r="H43" s="420" t="s">
        <v>122</v>
      </c>
      <c r="I43" s="420" t="s">
        <v>122</v>
      </c>
    </row>
    <row r="44" spans="2:14" hidden="1" x14ac:dyDescent="0.25">
      <c r="H44" s="420" t="s">
        <v>289</v>
      </c>
      <c r="I44" s="420" t="s">
        <v>190</v>
      </c>
    </row>
    <row r="45" spans="2:14" hidden="1" x14ac:dyDescent="0.25">
      <c r="H45" s="420" t="s">
        <v>290</v>
      </c>
      <c r="I45" s="420" t="s">
        <v>191</v>
      </c>
    </row>
    <row r="46" spans="2:14" hidden="1" x14ac:dyDescent="0.25">
      <c r="H46" s="420" t="s">
        <v>271</v>
      </c>
      <c r="I46" s="420" t="s">
        <v>192</v>
      </c>
    </row>
    <row r="47" spans="2:14" hidden="1" x14ac:dyDescent="0.25">
      <c r="H47" s="430">
        <v>10</v>
      </c>
      <c r="I47" s="430"/>
    </row>
    <row r="48" spans="2:14" hidden="1" x14ac:dyDescent="0.25"/>
    <row r="49" spans="13:14" hidden="1" x14ac:dyDescent="0.25"/>
    <row r="50" spans="13:14" hidden="1" x14ac:dyDescent="0.25">
      <c r="M50" s="429"/>
      <c r="N50" s="429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38"/>
      <c r="K3" s="638"/>
      <c r="L3" s="638"/>
      <c r="M3" s="638"/>
      <c r="P3" s="638"/>
    </row>
    <row r="4" spans="2:35" ht="24" thickBot="1" x14ac:dyDescent="0.4">
      <c r="C4" s="618"/>
      <c r="D4" s="618"/>
      <c r="E4" s="617" t="s">
        <v>710</v>
      </c>
      <c r="F4" s="618"/>
      <c r="G4" s="618"/>
      <c r="H4" s="618"/>
      <c r="I4" s="618"/>
      <c r="J4" s="618"/>
      <c r="K4" s="618"/>
      <c r="L4" s="618"/>
      <c r="M4" s="618"/>
      <c r="N4" s="618"/>
      <c r="O4" s="619"/>
      <c r="P4" s="909" t="s">
        <v>95</v>
      </c>
      <c r="Q4" s="910"/>
      <c r="R4" s="910"/>
      <c r="S4" s="910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5" t="str">
        <f>Y4</f>
        <v>CORTINAS</v>
      </c>
      <c r="AA4" s="187" t="str">
        <f>P4</f>
        <v>HERRAJE</v>
      </c>
      <c r="AB4" s="525" t="str">
        <f>AA4</f>
        <v>HERRAJE</v>
      </c>
      <c r="AC4" s="525" t="s">
        <v>695</v>
      </c>
      <c r="AD4" s="186" t="s">
        <v>696</v>
      </c>
      <c r="AE4" s="525" t="s">
        <v>696</v>
      </c>
      <c r="AF4" s="525" t="str">
        <f>AA4</f>
        <v>HERRAJE</v>
      </c>
      <c r="AG4" s="525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68" t="s">
        <v>77</v>
      </c>
      <c r="V5" s="562" t="s">
        <v>666</v>
      </c>
      <c r="W5" s="562" t="s">
        <v>666</v>
      </c>
      <c r="X5" s="562" t="s">
        <v>666</v>
      </c>
      <c r="Y5" s="559" t="s">
        <v>666</v>
      </c>
      <c r="Z5" s="559" t="s">
        <v>702</v>
      </c>
      <c r="AA5" s="226" t="s">
        <v>700</v>
      </c>
      <c r="AB5" s="568" t="s">
        <v>77</v>
      </c>
      <c r="AC5" s="562" t="s">
        <v>666</v>
      </c>
      <c r="AD5" s="562" t="s">
        <v>666</v>
      </c>
      <c r="AE5" s="562" t="s">
        <v>666</v>
      </c>
      <c r="AF5" s="559" t="s">
        <v>666</v>
      </c>
      <c r="AG5" s="559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6" t="s">
        <v>692</v>
      </c>
      <c r="V6" s="563" t="s">
        <v>693</v>
      </c>
      <c r="W6" s="563" t="s">
        <v>697</v>
      </c>
      <c r="X6" s="563" t="s">
        <v>694</v>
      </c>
      <c r="Y6" s="558" t="s">
        <v>692</v>
      </c>
      <c r="Z6" s="558" t="s">
        <v>701</v>
      </c>
      <c r="AA6" s="184" t="str">
        <f>T6</f>
        <v>PRECIO UNITARIO</v>
      </c>
      <c r="AB6" s="556" t="s">
        <v>692</v>
      </c>
      <c r="AC6" s="563" t="s">
        <v>693</v>
      </c>
      <c r="AD6" s="563" t="s">
        <v>697</v>
      </c>
      <c r="AE6" s="563" t="s">
        <v>694</v>
      </c>
      <c r="AF6" s="558" t="s">
        <v>692</v>
      </c>
      <c r="AG6" s="558" t="s">
        <v>701</v>
      </c>
    </row>
    <row r="7" spans="2:35" x14ac:dyDescent="0.25">
      <c r="B7" s="230">
        <v>1</v>
      </c>
      <c r="C7" s="544">
        <v>1</v>
      </c>
      <c r="D7" s="545" t="s">
        <v>298</v>
      </c>
      <c r="E7" s="546" t="s">
        <v>132</v>
      </c>
      <c r="F7" s="546" t="s">
        <v>136</v>
      </c>
      <c r="G7" s="547">
        <v>2</v>
      </c>
      <c r="H7" s="546" t="s">
        <v>187</v>
      </c>
      <c r="I7" s="546" t="s">
        <v>321</v>
      </c>
      <c r="J7" s="546" t="s">
        <v>709</v>
      </c>
      <c r="K7" s="548" t="s">
        <v>664</v>
      </c>
      <c r="L7" s="546" t="s">
        <v>122</v>
      </c>
      <c r="M7" s="548" t="s">
        <v>264</v>
      </c>
      <c r="N7" s="549">
        <v>72</v>
      </c>
      <c r="O7" s="549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08">
        <v>189.5</v>
      </c>
      <c r="U7" s="557">
        <f>T7*0.7*0.6*0.6</f>
        <v>47.753999999999998</v>
      </c>
      <c r="V7" s="564"/>
      <c r="W7" s="564"/>
      <c r="X7" s="564"/>
      <c r="Y7" s="519"/>
      <c r="Z7" s="631">
        <f>AVERAGE(Z9:Z12,Z15:Z18,Z21:Z24,Z27:Z30)</f>
        <v>0.46117011109019035</v>
      </c>
      <c r="AA7" s="409">
        <v>56.650000000000006</v>
      </c>
      <c r="AB7" s="557">
        <f>AA7*0.7*0.6*0.6</f>
        <v>14.275799999999998</v>
      </c>
      <c r="AC7" s="564">
        <v>2.21</v>
      </c>
      <c r="AD7" s="564"/>
      <c r="AE7" s="564"/>
      <c r="AF7" s="519"/>
      <c r="AG7" s="631">
        <f>AVERAGE(AG9:AG12,AG15:AG18,AG21:AG24,AG27:AG30)</f>
        <v>0.51206375254180325</v>
      </c>
    </row>
    <row r="8" spans="2:35" x14ac:dyDescent="0.25">
      <c r="B8" s="231">
        <v>2</v>
      </c>
      <c r="C8" s="538">
        <v>1</v>
      </c>
      <c r="D8" s="539" t="s">
        <v>298</v>
      </c>
      <c r="E8" s="540" t="s">
        <v>132</v>
      </c>
      <c r="F8" s="540" t="s">
        <v>136</v>
      </c>
      <c r="G8" s="541">
        <v>2</v>
      </c>
      <c r="H8" s="540" t="s">
        <v>691</v>
      </c>
      <c r="I8" s="540" t="s">
        <v>321</v>
      </c>
      <c r="J8" s="540" t="s">
        <v>709</v>
      </c>
      <c r="K8" s="542" t="s">
        <v>664</v>
      </c>
      <c r="L8" s="540" t="s">
        <v>122</v>
      </c>
      <c r="M8" s="542" t="s">
        <v>264</v>
      </c>
      <c r="N8" s="543">
        <v>72</v>
      </c>
      <c r="O8" s="543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08">
        <v>382.70000000000005</v>
      </c>
      <c r="U8" s="557">
        <f>T8*0.7*0.6*0.6</f>
        <v>96.440399999999997</v>
      </c>
      <c r="V8" s="564"/>
      <c r="W8" s="564"/>
      <c r="X8" s="564"/>
      <c r="Y8" s="519"/>
      <c r="Z8" s="570">
        <f>AVERAGE(Z9:Z12)</f>
        <v>0.49950137578629744</v>
      </c>
      <c r="AA8" s="409">
        <v>56.650000000000006</v>
      </c>
      <c r="AB8" s="557">
        <f t="shared" ref="AB8:AB71" si="0">AA8*0.7*0.6*0.6</f>
        <v>14.275799999999998</v>
      </c>
      <c r="AC8" s="564"/>
      <c r="AD8" s="564"/>
      <c r="AE8" s="564"/>
      <c r="AF8" s="519"/>
      <c r="AG8" s="570">
        <f>AVERAGE(AG9:AG12)</f>
        <v>0.5947230360427882</v>
      </c>
    </row>
    <row r="9" spans="2:35" x14ac:dyDescent="0.25">
      <c r="B9" s="231">
        <v>3</v>
      </c>
      <c r="C9" s="500">
        <v>1</v>
      </c>
      <c r="D9" s="501" t="s">
        <v>298</v>
      </c>
      <c r="E9" s="502" t="s">
        <v>132</v>
      </c>
      <c r="F9" s="502" t="s">
        <v>136</v>
      </c>
      <c r="G9" s="503">
        <v>2</v>
      </c>
      <c r="H9" s="502" t="s">
        <v>663</v>
      </c>
      <c r="I9" s="502" t="s">
        <v>674</v>
      </c>
      <c r="J9" s="502" t="s">
        <v>709</v>
      </c>
      <c r="K9" s="504" t="s">
        <v>664</v>
      </c>
      <c r="L9" s="502" t="s">
        <v>122</v>
      </c>
      <c r="M9" s="504" t="s">
        <v>264</v>
      </c>
      <c r="N9" s="505">
        <v>72</v>
      </c>
      <c r="O9" s="505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08">
        <v>225.4</v>
      </c>
      <c r="U9" s="557">
        <f>T9*0.7*0.6*0.6</f>
        <v>56.800799999999995</v>
      </c>
      <c r="V9" s="565">
        <v>2981.05</v>
      </c>
      <c r="W9" s="564">
        <v>149.05250000000001</v>
      </c>
      <c r="X9" s="564">
        <v>29.810500000000005</v>
      </c>
      <c r="Y9" s="519">
        <v>119.242</v>
      </c>
      <c r="Z9" s="569">
        <f>(Y9-U9)/Y9</f>
        <v>0.52365106254507643</v>
      </c>
      <c r="AA9" s="409">
        <v>56.650000000000006</v>
      </c>
      <c r="AB9" s="557">
        <f>AA9*0.7*0.6*0.6</f>
        <v>14.275799999999998</v>
      </c>
      <c r="AC9" s="565">
        <v>880.62</v>
      </c>
      <c r="AD9" s="564">
        <v>44.030999999999999</v>
      </c>
      <c r="AE9" s="564">
        <v>8.8062000000000005</v>
      </c>
      <c r="AF9" s="519">
        <v>35.224800000000002</v>
      </c>
      <c r="AG9" s="569">
        <f>(AF9-AB9)/AF9</f>
        <v>0.5947230360427882</v>
      </c>
      <c r="AH9" s="621"/>
      <c r="AI9" s="24"/>
    </row>
    <row r="10" spans="2:35" x14ac:dyDescent="0.25">
      <c r="B10" s="231">
        <v>4</v>
      </c>
      <c r="C10" s="500">
        <v>1</v>
      </c>
      <c r="D10" s="501" t="s">
        <v>298</v>
      </c>
      <c r="E10" s="502" t="s">
        <v>132</v>
      </c>
      <c r="F10" s="502" t="s">
        <v>136</v>
      </c>
      <c r="G10" s="503">
        <v>2</v>
      </c>
      <c r="H10" s="502" t="s">
        <v>663</v>
      </c>
      <c r="I10" s="502" t="s">
        <v>675</v>
      </c>
      <c r="J10" s="502" t="s">
        <v>709</v>
      </c>
      <c r="K10" s="504" t="s">
        <v>664</v>
      </c>
      <c r="L10" s="502" t="s">
        <v>122</v>
      </c>
      <c r="M10" s="504" t="s">
        <v>264</v>
      </c>
      <c r="N10" s="505">
        <v>72</v>
      </c>
      <c r="O10" s="505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08">
        <v>313</v>
      </c>
      <c r="U10" s="557">
        <f t="shared" ref="U10:U54" si="1">T10*0.7*0.6*0.6</f>
        <v>78.875999999999991</v>
      </c>
      <c r="V10" s="565">
        <v>4206.6000000000004</v>
      </c>
      <c r="W10" s="564">
        <v>210.33</v>
      </c>
      <c r="X10" s="564">
        <v>42.066000000000003</v>
      </c>
      <c r="Y10" s="519">
        <v>168.26400000000001</v>
      </c>
      <c r="Z10" s="569">
        <f>(Y10-U10)/Y10</f>
        <v>0.53123662815575534</v>
      </c>
      <c r="AA10" s="409">
        <v>56.650000000000006</v>
      </c>
      <c r="AB10" s="557">
        <f t="shared" si="0"/>
        <v>14.275799999999998</v>
      </c>
      <c r="AC10" s="565">
        <v>880.62</v>
      </c>
      <c r="AD10" s="564">
        <v>44.030999999999999</v>
      </c>
      <c r="AE10" s="564">
        <v>8.8062000000000005</v>
      </c>
      <c r="AF10" s="519">
        <v>35.224800000000002</v>
      </c>
      <c r="AG10" s="569">
        <f>(AF10-AB10)/AF10</f>
        <v>0.5947230360427882</v>
      </c>
      <c r="AH10" s="24"/>
    </row>
    <row r="11" spans="2:35" x14ac:dyDescent="0.25">
      <c r="B11" s="231">
        <v>5</v>
      </c>
      <c r="C11" s="500">
        <v>1</v>
      </c>
      <c r="D11" s="501" t="s">
        <v>298</v>
      </c>
      <c r="E11" s="502" t="s">
        <v>132</v>
      </c>
      <c r="F11" s="502" t="s">
        <v>136</v>
      </c>
      <c r="G11" s="503">
        <v>2</v>
      </c>
      <c r="H11" s="502" t="s">
        <v>663</v>
      </c>
      <c r="I11" s="502" t="s">
        <v>676</v>
      </c>
      <c r="J11" s="502" t="s">
        <v>709</v>
      </c>
      <c r="K11" s="504" t="s">
        <v>664</v>
      </c>
      <c r="L11" s="502" t="s">
        <v>122</v>
      </c>
      <c r="M11" s="504" t="s">
        <v>264</v>
      </c>
      <c r="N11" s="505">
        <v>72</v>
      </c>
      <c r="O11" s="505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08">
        <v>335.05</v>
      </c>
      <c r="U11" s="557">
        <f t="shared" si="1"/>
        <v>84.432599999999994</v>
      </c>
      <c r="V11" s="565">
        <v>4359.54</v>
      </c>
      <c r="W11" s="564">
        <v>217.977</v>
      </c>
      <c r="X11" s="564">
        <v>43.595400000000005</v>
      </c>
      <c r="Y11" s="519">
        <v>174.38159999999999</v>
      </c>
      <c r="Z11" s="569">
        <f>(Y11-U11)/Y11</f>
        <v>0.51581703574230309</v>
      </c>
      <c r="AA11" s="409">
        <v>56.650000000000006</v>
      </c>
      <c r="AB11" s="557">
        <f t="shared" si="0"/>
        <v>14.275799999999998</v>
      </c>
      <c r="AC11" s="565">
        <v>880.62</v>
      </c>
      <c r="AD11" s="564">
        <v>44.030999999999999</v>
      </c>
      <c r="AE11" s="564">
        <v>8.8062000000000005</v>
      </c>
      <c r="AF11" s="519">
        <v>35.224800000000002</v>
      </c>
      <c r="AG11" s="569">
        <f>(AF11-AB11)/AF11</f>
        <v>0.5947230360427882</v>
      </c>
    </row>
    <row r="12" spans="2:35" x14ac:dyDescent="0.25">
      <c r="B12" s="231">
        <v>6</v>
      </c>
      <c r="C12" s="500">
        <v>1</v>
      </c>
      <c r="D12" s="501" t="s">
        <v>298</v>
      </c>
      <c r="E12" s="502" t="s">
        <v>132</v>
      </c>
      <c r="F12" s="502" t="s">
        <v>136</v>
      </c>
      <c r="G12" s="503">
        <v>2</v>
      </c>
      <c r="H12" s="502" t="s">
        <v>663</v>
      </c>
      <c r="I12" s="502" t="s">
        <v>677</v>
      </c>
      <c r="J12" s="502" t="s">
        <v>709</v>
      </c>
      <c r="K12" s="504" t="s">
        <v>664</v>
      </c>
      <c r="L12" s="502" t="s">
        <v>122</v>
      </c>
      <c r="M12" s="504" t="s">
        <v>264</v>
      </c>
      <c r="N12" s="505">
        <v>72</v>
      </c>
      <c r="O12" s="505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08">
        <v>408.35</v>
      </c>
      <c r="U12" s="557">
        <f t="shared" si="1"/>
        <v>102.90419999999999</v>
      </c>
      <c r="V12" s="565">
        <v>4492.07</v>
      </c>
      <c r="W12" s="564">
        <v>224.6035</v>
      </c>
      <c r="X12" s="564">
        <v>44.920700000000004</v>
      </c>
      <c r="Y12" s="519">
        <v>179.68279999999999</v>
      </c>
      <c r="Z12" s="569">
        <f>(Y12-U12)/Y12</f>
        <v>0.42730077670205496</v>
      </c>
      <c r="AA12" s="409">
        <v>56.650000000000006</v>
      </c>
      <c r="AB12" s="557">
        <f t="shared" si="0"/>
        <v>14.275799999999998</v>
      </c>
      <c r="AC12" s="565">
        <v>880.62</v>
      </c>
      <c r="AD12" s="564">
        <v>44.030999999999999</v>
      </c>
      <c r="AE12" s="564">
        <v>8.8062000000000005</v>
      </c>
      <c r="AF12" s="519">
        <v>35.224800000000002</v>
      </c>
      <c r="AG12" s="569">
        <f>(AF12-AB12)/AF12</f>
        <v>0.5947230360427882</v>
      </c>
    </row>
    <row r="13" spans="2:35" x14ac:dyDescent="0.25">
      <c r="B13" s="231">
        <v>7</v>
      </c>
      <c r="C13" s="544">
        <v>1</v>
      </c>
      <c r="D13" s="545" t="s">
        <v>298</v>
      </c>
      <c r="E13" s="546" t="s">
        <v>132</v>
      </c>
      <c r="F13" s="546" t="s">
        <v>136</v>
      </c>
      <c r="G13" s="547">
        <v>2</v>
      </c>
      <c r="H13" s="546" t="s">
        <v>187</v>
      </c>
      <c r="I13" s="546" t="s">
        <v>321</v>
      </c>
      <c r="J13" s="546" t="s">
        <v>709</v>
      </c>
      <c r="K13" s="548" t="s">
        <v>664</v>
      </c>
      <c r="L13" s="546" t="s">
        <v>122</v>
      </c>
      <c r="M13" s="548" t="s">
        <v>264</v>
      </c>
      <c r="N13" s="549">
        <v>98</v>
      </c>
      <c r="O13" s="549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08">
        <v>253.85000000000002</v>
      </c>
      <c r="U13" s="557">
        <f t="shared" si="1"/>
        <v>63.970199999999991</v>
      </c>
      <c r="V13" s="565"/>
      <c r="W13" s="565"/>
      <c r="X13" s="564"/>
      <c r="Y13" s="519"/>
      <c r="Z13" s="519"/>
      <c r="AA13" s="409">
        <v>74.7</v>
      </c>
      <c r="AB13" s="557">
        <f t="shared" si="0"/>
        <v>18.824399999999997</v>
      </c>
      <c r="AC13" s="565"/>
      <c r="AD13" s="565"/>
      <c r="AE13" s="564"/>
      <c r="AF13" s="519"/>
      <c r="AG13" s="519"/>
    </row>
    <row r="14" spans="2:35" x14ac:dyDescent="0.25">
      <c r="B14" s="231">
        <v>8</v>
      </c>
      <c r="C14" s="538">
        <v>1</v>
      </c>
      <c r="D14" s="539" t="s">
        <v>298</v>
      </c>
      <c r="E14" s="540" t="s">
        <v>132</v>
      </c>
      <c r="F14" s="540" t="s">
        <v>136</v>
      </c>
      <c r="G14" s="541">
        <v>2</v>
      </c>
      <c r="H14" s="540" t="s">
        <v>691</v>
      </c>
      <c r="I14" s="540" t="s">
        <v>321</v>
      </c>
      <c r="J14" s="540" t="s">
        <v>709</v>
      </c>
      <c r="K14" s="542" t="s">
        <v>664</v>
      </c>
      <c r="L14" s="540" t="s">
        <v>122</v>
      </c>
      <c r="M14" s="542" t="s">
        <v>264</v>
      </c>
      <c r="N14" s="543">
        <v>98</v>
      </c>
      <c r="O14" s="543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08">
        <v>513</v>
      </c>
      <c r="U14" s="557">
        <f t="shared" si="1"/>
        <v>129.27599999999998</v>
      </c>
      <c r="V14" s="565"/>
      <c r="W14" s="565"/>
      <c r="X14" s="564"/>
      <c r="Y14" s="519"/>
      <c r="Z14" s="570">
        <f>AVERAGE(Z15:Z18)</f>
        <v>0.4637214602727881</v>
      </c>
      <c r="AA14" s="409">
        <v>74.7</v>
      </c>
      <c r="AB14" s="557">
        <f t="shared" si="0"/>
        <v>18.824399999999997</v>
      </c>
      <c r="AC14" s="565"/>
      <c r="AD14" s="565"/>
      <c r="AE14" s="564"/>
      <c r="AF14" s="519"/>
      <c r="AG14" s="570">
        <f>AVERAGE(AG15:AG18)</f>
        <v>0.53055422552070874</v>
      </c>
    </row>
    <row r="15" spans="2:35" x14ac:dyDescent="0.25">
      <c r="B15" s="231">
        <v>9</v>
      </c>
      <c r="C15" s="500">
        <v>1</v>
      </c>
      <c r="D15" s="501" t="s">
        <v>298</v>
      </c>
      <c r="E15" s="502" t="s">
        <v>132</v>
      </c>
      <c r="F15" s="502" t="s">
        <v>136</v>
      </c>
      <c r="G15" s="503">
        <v>2</v>
      </c>
      <c r="H15" s="502" t="s">
        <v>663</v>
      </c>
      <c r="I15" s="502" t="s">
        <v>674</v>
      </c>
      <c r="J15" s="502" t="s">
        <v>709</v>
      </c>
      <c r="K15" s="504" t="s">
        <v>664</v>
      </c>
      <c r="L15" s="502" t="s">
        <v>122</v>
      </c>
      <c r="M15" s="504" t="s">
        <v>264</v>
      </c>
      <c r="N15" s="505">
        <v>98</v>
      </c>
      <c r="O15" s="505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08">
        <v>301.95</v>
      </c>
      <c r="U15" s="557">
        <f t="shared" si="1"/>
        <v>76.091399999999993</v>
      </c>
      <c r="V15" s="565">
        <v>3725.63</v>
      </c>
      <c r="W15" s="564">
        <v>186.28149999999999</v>
      </c>
      <c r="X15" s="564">
        <v>37.256300000000003</v>
      </c>
      <c r="Y15" s="519">
        <v>149.02519999999998</v>
      </c>
      <c r="Z15" s="569">
        <f>(Y15-U15)/Y15</f>
        <v>0.48940581861322779</v>
      </c>
      <c r="AA15" s="409">
        <v>74.7</v>
      </c>
      <c r="AB15" s="557">
        <f t="shared" si="0"/>
        <v>18.824399999999997</v>
      </c>
      <c r="AC15" s="565">
        <v>1002.48</v>
      </c>
      <c r="AD15" s="564">
        <v>50.124000000000002</v>
      </c>
      <c r="AE15" s="564">
        <v>10.024800000000001</v>
      </c>
      <c r="AF15" s="519">
        <v>40.099200000000003</v>
      </c>
      <c r="AG15" s="569">
        <f>(AF15-AB15)/AF15</f>
        <v>0.53055422552070874</v>
      </c>
    </row>
    <row r="16" spans="2:35" x14ac:dyDescent="0.25">
      <c r="B16" s="231">
        <v>10</v>
      </c>
      <c r="C16" s="500">
        <v>1</v>
      </c>
      <c r="D16" s="501" t="s">
        <v>298</v>
      </c>
      <c r="E16" s="502" t="s">
        <v>132</v>
      </c>
      <c r="F16" s="502" t="s">
        <v>136</v>
      </c>
      <c r="G16" s="503">
        <v>2</v>
      </c>
      <c r="H16" s="502" t="s">
        <v>663</v>
      </c>
      <c r="I16" s="502" t="s">
        <v>675</v>
      </c>
      <c r="J16" s="502" t="s">
        <v>709</v>
      </c>
      <c r="K16" s="504" t="s">
        <v>664</v>
      </c>
      <c r="L16" s="502" t="s">
        <v>122</v>
      </c>
      <c r="M16" s="504" t="s">
        <v>264</v>
      </c>
      <c r="N16" s="505">
        <v>98</v>
      </c>
      <c r="O16" s="505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08">
        <v>419.5</v>
      </c>
      <c r="U16" s="557">
        <f t="shared" si="1"/>
        <v>105.71399999999998</v>
      </c>
      <c r="V16" s="565">
        <v>5262.84</v>
      </c>
      <c r="W16" s="564">
        <v>263.142</v>
      </c>
      <c r="X16" s="564">
        <v>52.628399999999999</v>
      </c>
      <c r="Y16" s="519">
        <v>210.5136</v>
      </c>
      <c r="Z16" s="569">
        <f>(Y16-U16)/Y16</f>
        <v>0.49782816882139685</v>
      </c>
      <c r="AA16" s="409">
        <v>74.7</v>
      </c>
      <c r="AB16" s="557">
        <f t="shared" si="0"/>
        <v>18.824399999999997</v>
      </c>
      <c r="AC16" s="565">
        <v>1002.48</v>
      </c>
      <c r="AD16" s="564">
        <v>50.124000000000002</v>
      </c>
      <c r="AE16" s="564">
        <v>10.024800000000001</v>
      </c>
      <c r="AF16" s="519">
        <v>40.099200000000003</v>
      </c>
      <c r="AG16" s="569">
        <f>(AF16-AB16)/AF16</f>
        <v>0.53055422552070874</v>
      </c>
    </row>
    <row r="17" spans="2:33" x14ac:dyDescent="0.25">
      <c r="B17" s="231">
        <v>11</v>
      </c>
      <c r="C17" s="500">
        <v>1</v>
      </c>
      <c r="D17" s="501" t="s">
        <v>298</v>
      </c>
      <c r="E17" s="502" t="s">
        <v>132</v>
      </c>
      <c r="F17" s="502" t="s">
        <v>136</v>
      </c>
      <c r="G17" s="503">
        <v>2</v>
      </c>
      <c r="H17" s="502" t="s">
        <v>663</v>
      </c>
      <c r="I17" s="502" t="s">
        <v>676</v>
      </c>
      <c r="J17" s="502" t="s">
        <v>709</v>
      </c>
      <c r="K17" s="504" t="s">
        <v>664</v>
      </c>
      <c r="L17" s="502" t="s">
        <v>122</v>
      </c>
      <c r="M17" s="504" t="s">
        <v>264</v>
      </c>
      <c r="N17" s="505">
        <v>98</v>
      </c>
      <c r="O17" s="505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08">
        <v>449.1</v>
      </c>
      <c r="U17" s="557">
        <f t="shared" si="1"/>
        <v>113.17319999999999</v>
      </c>
      <c r="V17" s="565">
        <v>5453.87</v>
      </c>
      <c r="W17" s="564">
        <v>272.69349999999997</v>
      </c>
      <c r="X17" s="564">
        <v>54.538699999999999</v>
      </c>
      <c r="Y17" s="519">
        <v>218.15479999999997</v>
      </c>
      <c r="Z17" s="569">
        <f>(Y17-U17)/Y17</f>
        <v>0.48122525839449781</v>
      </c>
      <c r="AA17" s="409">
        <v>74.7</v>
      </c>
      <c r="AB17" s="557">
        <f t="shared" si="0"/>
        <v>18.824399999999997</v>
      </c>
      <c r="AC17" s="565">
        <v>1002.48</v>
      </c>
      <c r="AD17" s="564">
        <v>50.124000000000002</v>
      </c>
      <c r="AE17" s="564">
        <v>10.024800000000001</v>
      </c>
      <c r="AF17" s="519">
        <v>40.099200000000003</v>
      </c>
      <c r="AG17" s="569">
        <f>(AF17-AB17)/AF17</f>
        <v>0.53055422552070874</v>
      </c>
    </row>
    <row r="18" spans="2:33" x14ac:dyDescent="0.25">
      <c r="B18" s="231">
        <v>12</v>
      </c>
      <c r="C18" s="500">
        <v>1</v>
      </c>
      <c r="D18" s="501" t="s">
        <v>298</v>
      </c>
      <c r="E18" s="502" t="s">
        <v>132</v>
      </c>
      <c r="F18" s="502" t="s">
        <v>136</v>
      </c>
      <c r="G18" s="503">
        <v>2</v>
      </c>
      <c r="H18" s="502" t="s">
        <v>663</v>
      </c>
      <c r="I18" s="502" t="s">
        <v>677</v>
      </c>
      <c r="J18" s="502" t="s">
        <v>709</v>
      </c>
      <c r="K18" s="504" t="s">
        <v>664</v>
      </c>
      <c r="L18" s="502" t="s">
        <v>122</v>
      </c>
      <c r="M18" s="504" t="s">
        <v>264</v>
      </c>
      <c r="N18" s="505">
        <v>98</v>
      </c>
      <c r="O18" s="505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08">
        <v>547.4</v>
      </c>
      <c r="U18" s="557">
        <f t="shared" si="1"/>
        <v>137.94479999999996</v>
      </c>
      <c r="V18" s="565">
        <v>5620.55</v>
      </c>
      <c r="W18" s="564">
        <v>281.02750000000003</v>
      </c>
      <c r="X18" s="564">
        <v>56.205500000000008</v>
      </c>
      <c r="Y18" s="519">
        <v>224.82200000000003</v>
      </c>
      <c r="Z18" s="569">
        <f>(Y18-U18)/Y18</f>
        <v>0.38642659526202977</v>
      </c>
      <c r="AA18" s="409">
        <v>74.7</v>
      </c>
      <c r="AB18" s="557">
        <f t="shared" si="0"/>
        <v>18.824399999999997</v>
      </c>
      <c r="AC18" s="565">
        <v>1002.48</v>
      </c>
      <c r="AD18" s="564">
        <v>50.124000000000002</v>
      </c>
      <c r="AE18" s="564">
        <v>10.024800000000001</v>
      </c>
      <c r="AF18" s="519">
        <v>40.099200000000003</v>
      </c>
      <c r="AG18" s="569">
        <f>(AF18-AB18)/AF18</f>
        <v>0.53055422552070874</v>
      </c>
    </row>
    <row r="19" spans="2:33" x14ac:dyDescent="0.25">
      <c r="B19" s="231">
        <v>13</v>
      </c>
      <c r="C19" s="544">
        <v>1</v>
      </c>
      <c r="D19" s="545" t="s">
        <v>298</v>
      </c>
      <c r="E19" s="546" t="s">
        <v>132</v>
      </c>
      <c r="F19" s="546" t="s">
        <v>136</v>
      </c>
      <c r="G19" s="547">
        <v>2</v>
      </c>
      <c r="H19" s="546" t="s">
        <v>187</v>
      </c>
      <c r="I19" s="546" t="s">
        <v>321</v>
      </c>
      <c r="J19" s="546" t="s">
        <v>709</v>
      </c>
      <c r="K19" s="548" t="s">
        <v>664</v>
      </c>
      <c r="L19" s="546" t="s">
        <v>122</v>
      </c>
      <c r="M19" s="548" t="s">
        <v>264</v>
      </c>
      <c r="N19" s="549">
        <v>124</v>
      </c>
      <c r="O19" s="549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08">
        <v>314.65000000000003</v>
      </c>
      <c r="U19" s="557">
        <f t="shared" si="1"/>
        <v>79.291800000000009</v>
      </c>
      <c r="V19" s="565"/>
      <c r="W19" s="565"/>
      <c r="X19" s="564"/>
      <c r="Y19" s="519"/>
      <c r="Z19" s="519"/>
      <c r="AA19" s="409">
        <v>92.7</v>
      </c>
      <c r="AB19" s="557">
        <f t="shared" si="0"/>
        <v>23.360399999999998</v>
      </c>
      <c r="AC19" s="565"/>
      <c r="AD19" s="565"/>
      <c r="AE19" s="564"/>
      <c r="AF19" s="519"/>
      <c r="AG19" s="519"/>
    </row>
    <row r="20" spans="2:33" x14ac:dyDescent="0.25">
      <c r="B20" s="231">
        <v>14</v>
      </c>
      <c r="C20" s="538">
        <v>1</v>
      </c>
      <c r="D20" s="539" t="s">
        <v>298</v>
      </c>
      <c r="E20" s="540" t="s">
        <v>132</v>
      </c>
      <c r="F20" s="540" t="s">
        <v>136</v>
      </c>
      <c r="G20" s="541">
        <v>2</v>
      </c>
      <c r="H20" s="540" t="s">
        <v>691</v>
      </c>
      <c r="I20" s="540" t="s">
        <v>321</v>
      </c>
      <c r="J20" s="540" t="s">
        <v>709</v>
      </c>
      <c r="K20" s="542" t="s">
        <v>664</v>
      </c>
      <c r="L20" s="540" t="s">
        <v>122</v>
      </c>
      <c r="M20" s="542" t="s">
        <v>264</v>
      </c>
      <c r="N20" s="543">
        <v>124</v>
      </c>
      <c r="O20" s="543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08">
        <v>635.1</v>
      </c>
      <c r="U20" s="557">
        <f t="shared" si="1"/>
        <v>160.04519999999997</v>
      </c>
      <c r="V20" s="565"/>
      <c r="W20" s="565"/>
      <c r="X20" s="564"/>
      <c r="Y20" s="519"/>
      <c r="Z20" s="570">
        <f>AVERAGE(Z21:Z24)</f>
        <v>0.44687900560297045</v>
      </c>
      <c r="AA20" s="409">
        <v>92.7</v>
      </c>
      <c r="AB20" s="557">
        <f t="shared" si="0"/>
        <v>23.360399999999998</v>
      </c>
      <c r="AC20" s="565"/>
      <c r="AD20" s="565"/>
      <c r="AE20" s="564"/>
      <c r="AF20" s="519"/>
      <c r="AG20" s="570">
        <f>AVERAGE(AG21:AG24)</f>
        <v>0.47389804246579048</v>
      </c>
    </row>
    <row r="21" spans="2:33" x14ac:dyDescent="0.25">
      <c r="B21" s="231">
        <v>15</v>
      </c>
      <c r="C21" s="500">
        <v>1</v>
      </c>
      <c r="D21" s="501" t="s">
        <v>298</v>
      </c>
      <c r="E21" s="502" t="s">
        <v>132</v>
      </c>
      <c r="F21" s="502" t="s">
        <v>136</v>
      </c>
      <c r="G21" s="503">
        <v>2</v>
      </c>
      <c r="H21" s="502" t="s">
        <v>663</v>
      </c>
      <c r="I21" s="502" t="s">
        <v>674</v>
      </c>
      <c r="J21" s="502" t="s">
        <v>709</v>
      </c>
      <c r="K21" s="504" t="s">
        <v>664</v>
      </c>
      <c r="L21" s="502" t="s">
        <v>122</v>
      </c>
      <c r="M21" s="504" t="s">
        <v>264</v>
      </c>
      <c r="N21" s="505">
        <v>124</v>
      </c>
      <c r="O21" s="505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08">
        <v>374.15000000000003</v>
      </c>
      <c r="U21" s="557">
        <f t="shared" si="1"/>
        <v>94.285799999999995</v>
      </c>
      <c r="V21" s="565">
        <v>4470.21</v>
      </c>
      <c r="W21" s="564">
        <v>223.51050000000001</v>
      </c>
      <c r="X21" s="564">
        <v>44.702100000000002</v>
      </c>
      <c r="Y21" s="519">
        <v>178.80840000000001</v>
      </c>
      <c r="Z21" s="569">
        <f>(Y21-U21)/Y21</f>
        <v>0.47269926916185151</v>
      </c>
      <c r="AA21" s="409">
        <v>92.7</v>
      </c>
      <c r="AB21" s="557">
        <f t="shared" si="0"/>
        <v>23.360399999999998</v>
      </c>
      <c r="AC21" s="565">
        <v>1110.07</v>
      </c>
      <c r="AD21" s="564">
        <v>55.503499999999995</v>
      </c>
      <c r="AE21" s="564">
        <v>11.1007</v>
      </c>
      <c r="AF21" s="519">
        <v>44.402799999999999</v>
      </c>
      <c r="AG21" s="569">
        <f>(AF21-AB21)/AF21</f>
        <v>0.47389804246579048</v>
      </c>
    </row>
    <row r="22" spans="2:33" x14ac:dyDescent="0.25">
      <c r="B22" s="231">
        <v>16</v>
      </c>
      <c r="C22" s="500">
        <v>1</v>
      </c>
      <c r="D22" s="501" t="s">
        <v>298</v>
      </c>
      <c r="E22" s="502" t="s">
        <v>132</v>
      </c>
      <c r="F22" s="502" t="s">
        <v>136</v>
      </c>
      <c r="G22" s="503">
        <v>2</v>
      </c>
      <c r="H22" s="502" t="s">
        <v>663</v>
      </c>
      <c r="I22" s="502" t="s">
        <v>675</v>
      </c>
      <c r="J22" s="502" t="s">
        <v>709</v>
      </c>
      <c r="K22" s="504" t="s">
        <v>664</v>
      </c>
      <c r="L22" s="502" t="s">
        <v>122</v>
      </c>
      <c r="M22" s="504" t="s">
        <v>264</v>
      </c>
      <c r="N22" s="505">
        <v>124</v>
      </c>
      <c r="O22" s="505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08">
        <v>519.5</v>
      </c>
      <c r="U22" s="557">
        <f t="shared" si="1"/>
        <v>130.91399999999999</v>
      </c>
      <c r="V22" s="565">
        <v>6319.08</v>
      </c>
      <c r="W22" s="564">
        <v>315.95400000000001</v>
      </c>
      <c r="X22" s="564">
        <v>63.190800000000003</v>
      </c>
      <c r="Y22" s="519">
        <v>252.76320000000001</v>
      </c>
      <c r="Z22" s="569">
        <f>(Y22-U22)/Y22</f>
        <v>0.48206859226343085</v>
      </c>
      <c r="AA22" s="409">
        <v>92.7</v>
      </c>
      <c r="AB22" s="557">
        <f t="shared" si="0"/>
        <v>23.360399999999998</v>
      </c>
      <c r="AC22" s="565">
        <v>1110.07</v>
      </c>
      <c r="AD22" s="564">
        <v>55.503499999999995</v>
      </c>
      <c r="AE22" s="564">
        <v>11.1007</v>
      </c>
      <c r="AF22" s="519">
        <v>44.402799999999999</v>
      </c>
      <c r="AG22" s="569">
        <f>(AF22-AB22)/AF22</f>
        <v>0.47389804246579048</v>
      </c>
    </row>
    <row r="23" spans="2:33" x14ac:dyDescent="0.25">
      <c r="B23" s="231">
        <v>17</v>
      </c>
      <c r="C23" s="500">
        <v>1</v>
      </c>
      <c r="D23" s="501" t="s">
        <v>298</v>
      </c>
      <c r="E23" s="502" t="s">
        <v>132</v>
      </c>
      <c r="F23" s="502" t="s">
        <v>136</v>
      </c>
      <c r="G23" s="503">
        <v>2</v>
      </c>
      <c r="H23" s="502" t="s">
        <v>663</v>
      </c>
      <c r="I23" s="502" t="s">
        <v>676</v>
      </c>
      <c r="J23" s="502" t="s">
        <v>709</v>
      </c>
      <c r="K23" s="504" t="s">
        <v>664</v>
      </c>
      <c r="L23" s="502" t="s">
        <v>122</v>
      </c>
      <c r="M23" s="504" t="s">
        <v>264</v>
      </c>
      <c r="N23" s="505">
        <v>124</v>
      </c>
      <c r="O23" s="505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08">
        <v>556.05000000000007</v>
      </c>
      <c r="U23" s="557">
        <f t="shared" si="1"/>
        <v>140.12459999999999</v>
      </c>
      <c r="V23" s="565">
        <v>6549.56</v>
      </c>
      <c r="W23" s="564">
        <v>327.47800000000001</v>
      </c>
      <c r="X23" s="564">
        <v>65.49560000000001</v>
      </c>
      <c r="Y23" s="519">
        <v>261.98239999999998</v>
      </c>
      <c r="Z23" s="569">
        <f>(Y23-U23)/Y23</f>
        <v>0.46513735273819923</v>
      </c>
      <c r="AA23" s="409">
        <v>92.7</v>
      </c>
      <c r="AB23" s="557">
        <f t="shared" si="0"/>
        <v>23.360399999999998</v>
      </c>
      <c r="AC23" s="565">
        <v>1110.07</v>
      </c>
      <c r="AD23" s="564">
        <v>55.503499999999995</v>
      </c>
      <c r="AE23" s="564">
        <v>11.1007</v>
      </c>
      <c r="AF23" s="519">
        <v>44.402799999999999</v>
      </c>
      <c r="AG23" s="569">
        <f>(AF23-AB23)/AF23</f>
        <v>0.47389804246579048</v>
      </c>
    </row>
    <row r="24" spans="2:33" x14ac:dyDescent="0.25">
      <c r="B24" s="231">
        <v>18</v>
      </c>
      <c r="C24" s="500">
        <v>1</v>
      </c>
      <c r="D24" s="501" t="s">
        <v>298</v>
      </c>
      <c r="E24" s="502" t="s">
        <v>132</v>
      </c>
      <c r="F24" s="502" t="s">
        <v>136</v>
      </c>
      <c r="G24" s="503">
        <v>2</v>
      </c>
      <c r="H24" s="502" t="s">
        <v>663</v>
      </c>
      <c r="I24" s="502" t="s">
        <v>677</v>
      </c>
      <c r="J24" s="502" t="s">
        <v>709</v>
      </c>
      <c r="K24" s="504" t="s">
        <v>664</v>
      </c>
      <c r="L24" s="502" t="s">
        <v>122</v>
      </c>
      <c r="M24" s="504" t="s">
        <v>264</v>
      </c>
      <c r="N24" s="505">
        <v>124</v>
      </c>
      <c r="O24" s="505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08">
        <v>677.6</v>
      </c>
      <c r="U24" s="557">
        <f t="shared" si="1"/>
        <v>170.75519999999997</v>
      </c>
      <c r="V24" s="565">
        <v>6750.4</v>
      </c>
      <c r="W24" s="564">
        <v>337.52</v>
      </c>
      <c r="X24" s="564">
        <v>67.504000000000005</v>
      </c>
      <c r="Y24" s="519">
        <v>270.01599999999996</v>
      </c>
      <c r="Z24" s="569">
        <f>(Y24-U24)/Y24</f>
        <v>0.36761080824840009</v>
      </c>
      <c r="AA24" s="409">
        <v>92.7</v>
      </c>
      <c r="AB24" s="557">
        <f t="shared" si="0"/>
        <v>23.360399999999998</v>
      </c>
      <c r="AC24" s="565">
        <v>1110.07</v>
      </c>
      <c r="AD24" s="564">
        <v>55.503499999999995</v>
      </c>
      <c r="AE24" s="564">
        <v>11.1007</v>
      </c>
      <c r="AF24" s="519">
        <v>44.402799999999999</v>
      </c>
      <c r="AG24" s="569">
        <f>(AF24-AB24)/AF24</f>
        <v>0.47389804246579048</v>
      </c>
    </row>
    <row r="25" spans="2:33" x14ac:dyDescent="0.25">
      <c r="B25" s="231">
        <v>19</v>
      </c>
      <c r="C25" s="544">
        <v>1</v>
      </c>
      <c r="D25" s="545" t="s">
        <v>298</v>
      </c>
      <c r="E25" s="546" t="s">
        <v>132</v>
      </c>
      <c r="F25" s="546" t="s">
        <v>136</v>
      </c>
      <c r="G25" s="547">
        <v>2</v>
      </c>
      <c r="H25" s="546" t="s">
        <v>187</v>
      </c>
      <c r="I25" s="546" t="s">
        <v>321</v>
      </c>
      <c r="J25" s="546" t="s">
        <v>709</v>
      </c>
      <c r="K25" s="548" t="s">
        <v>664</v>
      </c>
      <c r="L25" s="546" t="s">
        <v>122</v>
      </c>
      <c r="M25" s="548" t="s">
        <v>264</v>
      </c>
      <c r="N25" s="549">
        <v>150</v>
      </c>
      <c r="O25" s="549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08">
        <v>379</v>
      </c>
      <c r="U25" s="557">
        <f t="shared" si="1"/>
        <v>95.507999999999996</v>
      </c>
      <c r="V25" s="565"/>
      <c r="W25" s="565"/>
      <c r="X25" s="564"/>
      <c r="Y25" s="519"/>
      <c r="Z25" s="519" t="s">
        <v>711</v>
      </c>
      <c r="AA25" s="409">
        <v>110.7</v>
      </c>
      <c r="AB25" s="557">
        <f t="shared" si="0"/>
        <v>27.896399999999996</v>
      </c>
      <c r="AC25" s="565"/>
      <c r="AD25" s="565"/>
      <c r="AE25" s="564"/>
      <c r="AF25" s="519"/>
      <c r="AG25" s="519"/>
    </row>
    <row r="26" spans="2:33" x14ac:dyDescent="0.25">
      <c r="B26" s="231">
        <v>20</v>
      </c>
      <c r="C26" s="538">
        <v>1</v>
      </c>
      <c r="D26" s="539" t="s">
        <v>298</v>
      </c>
      <c r="E26" s="540" t="s">
        <v>132</v>
      </c>
      <c r="F26" s="540" t="s">
        <v>136</v>
      </c>
      <c r="G26" s="541">
        <v>2</v>
      </c>
      <c r="H26" s="540" t="s">
        <v>691</v>
      </c>
      <c r="I26" s="540" t="s">
        <v>321</v>
      </c>
      <c r="J26" s="540" t="s">
        <v>709</v>
      </c>
      <c r="K26" s="542" t="s">
        <v>664</v>
      </c>
      <c r="L26" s="540" t="s">
        <v>122</v>
      </c>
      <c r="M26" s="542" t="s">
        <v>264</v>
      </c>
      <c r="N26" s="543">
        <v>150</v>
      </c>
      <c r="O26" s="543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08">
        <v>765.40000000000009</v>
      </c>
      <c r="U26" s="557">
        <f t="shared" si="1"/>
        <v>192.88079999999999</v>
      </c>
      <c r="V26" s="565"/>
      <c r="W26" s="565"/>
      <c r="X26" s="564"/>
      <c r="Y26" s="519"/>
      <c r="Z26" s="570">
        <f>AVERAGE(Z27:Z30)</f>
        <v>0.43457860269870535</v>
      </c>
      <c r="AA26" s="409">
        <v>110.7</v>
      </c>
      <c r="AB26" s="557">
        <f t="shared" si="0"/>
        <v>27.896399999999996</v>
      </c>
      <c r="AC26" s="565"/>
      <c r="AD26" s="565"/>
      <c r="AE26" s="564"/>
      <c r="AF26" s="519"/>
      <c r="AG26" s="570">
        <f>AVERAGE(AG27:AG30)</f>
        <v>0.44907970613792569</v>
      </c>
    </row>
    <row r="27" spans="2:33" x14ac:dyDescent="0.25">
      <c r="B27" s="231">
        <v>21</v>
      </c>
      <c r="C27" s="500">
        <v>1</v>
      </c>
      <c r="D27" s="501" t="s">
        <v>298</v>
      </c>
      <c r="E27" s="502" t="s">
        <v>132</v>
      </c>
      <c r="F27" s="502" t="s">
        <v>136</v>
      </c>
      <c r="G27" s="503">
        <v>2</v>
      </c>
      <c r="H27" s="502" t="s">
        <v>663</v>
      </c>
      <c r="I27" s="502" t="s">
        <v>674</v>
      </c>
      <c r="J27" s="502" t="s">
        <v>709</v>
      </c>
      <c r="K27" s="504" t="s">
        <v>664</v>
      </c>
      <c r="L27" s="502" t="s">
        <v>122</v>
      </c>
      <c r="M27" s="504" t="s">
        <v>264</v>
      </c>
      <c r="N27" s="505">
        <v>150</v>
      </c>
      <c r="O27" s="505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08">
        <v>450.75</v>
      </c>
      <c r="U27" s="557">
        <f t="shared" si="1"/>
        <v>113.58899999999998</v>
      </c>
      <c r="V27" s="565">
        <v>5279</v>
      </c>
      <c r="W27" s="564">
        <v>263.95</v>
      </c>
      <c r="X27" s="564">
        <v>52.79</v>
      </c>
      <c r="Y27" s="519">
        <v>211.16</v>
      </c>
      <c r="Z27" s="569">
        <f>(Y27-U27)/Y27</f>
        <v>0.46207141504072746</v>
      </c>
      <c r="AA27" s="409">
        <v>110.7</v>
      </c>
      <c r="AB27" s="557">
        <f t="shared" si="0"/>
        <v>27.896399999999996</v>
      </c>
      <c r="AC27" s="565">
        <v>1265.9000000000001</v>
      </c>
      <c r="AD27" s="564">
        <v>63.295000000000002</v>
      </c>
      <c r="AE27" s="564">
        <v>12.659000000000001</v>
      </c>
      <c r="AF27" s="519">
        <v>50.636000000000003</v>
      </c>
      <c r="AG27" s="569">
        <f>(AF27-AB27)/AF27</f>
        <v>0.44907970613792569</v>
      </c>
    </row>
    <row r="28" spans="2:33" x14ac:dyDescent="0.25">
      <c r="B28" s="231">
        <v>22</v>
      </c>
      <c r="C28" s="500">
        <v>1</v>
      </c>
      <c r="D28" s="501" t="s">
        <v>298</v>
      </c>
      <c r="E28" s="502" t="s">
        <v>132</v>
      </c>
      <c r="F28" s="502" t="s">
        <v>136</v>
      </c>
      <c r="G28" s="503">
        <v>2</v>
      </c>
      <c r="H28" s="502" t="s">
        <v>663</v>
      </c>
      <c r="I28" s="502" t="s">
        <v>675</v>
      </c>
      <c r="J28" s="502" t="s">
        <v>709</v>
      </c>
      <c r="K28" s="504" t="s">
        <v>664</v>
      </c>
      <c r="L28" s="502" t="s">
        <v>122</v>
      </c>
      <c r="M28" s="504" t="s">
        <v>264</v>
      </c>
      <c r="N28" s="505">
        <v>150</v>
      </c>
      <c r="O28" s="505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08">
        <v>626</v>
      </c>
      <c r="U28" s="557">
        <f t="shared" si="1"/>
        <v>157.75199999999998</v>
      </c>
      <c r="V28" s="565">
        <v>7456.32</v>
      </c>
      <c r="W28" s="564">
        <v>372.81599999999997</v>
      </c>
      <c r="X28" s="564">
        <v>74.563199999999995</v>
      </c>
      <c r="Y28" s="519">
        <v>298.25279999999998</v>
      </c>
      <c r="Z28" s="569">
        <f>(Y28-U28)/Y28</f>
        <v>0.4710795674005408</v>
      </c>
      <c r="AA28" s="409">
        <v>110.7</v>
      </c>
      <c r="AB28" s="557">
        <f t="shared" si="0"/>
        <v>27.896399999999996</v>
      </c>
      <c r="AC28" s="565">
        <v>1265.9000000000001</v>
      </c>
      <c r="AD28" s="564">
        <v>63.295000000000002</v>
      </c>
      <c r="AE28" s="564">
        <v>12.659000000000001</v>
      </c>
      <c r="AF28" s="519">
        <v>50.636000000000003</v>
      </c>
      <c r="AG28" s="569">
        <f>(AF28-AB28)/AF28</f>
        <v>0.44907970613792569</v>
      </c>
    </row>
    <row r="29" spans="2:33" x14ac:dyDescent="0.25">
      <c r="B29" s="231">
        <v>23</v>
      </c>
      <c r="C29" s="500">
        <v>1</v>
      </c>
      <c r="D29" s="501" t="s">
        <v>298</v>
      </c>
      <c r="E29" s="502" t="s">
        <v>132</v>
      </c>
      <c r="F29" s="502" t="s">
        <v>136</v>
      </c>
      <c r="G29" s="503">
        <v>2</v>
      </c>
      <c r="H29" s="502" t="s">
        <v>663</v>
      </c>
      <c r="I29" s="502" t="s">
        <v>676</v>
      </c>
      <c r="J29" s="502" t="s">
        <v>709</v>
      </c>
      <c r="K29" s="504" t="s">
        <v>664</v>
      </c>
      <c r="L29" s="502" t="s">
        <v>122</v>
      </c>
      <c r="M29" s="504" t="s">
        <v>264</v>
      </c>
      <c r="N29" s="505">
        <v>150</v>
      </c>
      <c r="O29" s="505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08">
        <v>670.1</v>
      </c>
      <c r="U29" s="557">
        <f t="shared" si="1"/>
        <v>168.86519999999999</v>
      </c>
      <c r="V29" s="565">
        <v>7706.74</v>
      </c>
      <c r="W29" s="564">
        <v>385.33699999999999</v>
      </c>
      <c r="X29" s="564">
        <v>77.067400000000006</v>
      </c>
      <c r="Y29" s="519">
        <v>308.26959999999997</v>
      </c>
      <c r="Z29" s="569">
        <f>(Y29-U29)/Y29</f>
        <v>0.45221585261731939</v>
      </c>
      <c r="AA29" s="409">
        <v>110.7</v>
      </c>
      <c r="AB29" s="557">
        <f t="shared" si="0"/>
        <v>27.896399999999996</v>
      </c>
      <c r="AC29" s="565">
        <v>1265.9000000000001</v>
      </c>
      <c r="AD29" s="564">
        <v>63.295000000000002</v>
      </c>
      <c r="AE29" s="564">
        <v>12.659000000000001</v>
      </c>
      <c r="AF29" s="519">
        <v>50.636000000000003</v>
      </c>
      <c r="AG29" s="569">
        <f>(AF29-AB29)/AF29</f>
        <v>0.44907970613792569</v>
      </c>
    </row>
    <row r="30" spans="2:33" x14ac:dyDescent="0.25">
      <c r="B30" s="231">
        <v>24</v>
      </c>
      <c r="C30" s="500">
        <v>1</v>
      </c>
      <c r="D30" s="501" t="s">
        <v>298</v>
      </c>
      <c r="E30" s="502" t="s">
        <v>132</v>
      </c>
      <c r="F30" s="502" t="s">
        <v>136</v>
      </c>
      <c r="G30" s="503">
        <v>2</v>
      </c>
      <c r="H30" s="502" t="s">
        <v>663</v>
      </c>
      <c r="I30" s="502" t="s">
        <v>677</v>
      </c>
      <c r="J30" s="502" t="s">
        <v>709</v>
      </c>
      <c r="K30" s="504" t="s">
        <v>664</v>
      </c>
      <c r="L30" s="502" t="s">
        <v>122</v>
      </c>
      <c r="M30" s="504" t="s">
        <v>264</v>
      </c>
      <c r="N30" s="505">
        <v>150</v>
      </c>
      <c r="O30" s="505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08">
        <v>816.65000000000009</v>
      </c>
      <c r="U30" s="557">
        <f t="shared" si="1"/>
        <v>205.79579999999999</v>
      </c>
      <c r="V30" s="565">
        <v>7951.28</v>
      </c>
      <c r="W30" s="564">
        <v>397.56399999999996</v>
      </c>
      <c r="X30" s="564">
        <v>79.512799999999999</v>
      </c>
      <c r="Y30" s="519">
        <v>318.05119999999999</v>
      </c>
      <c r="Z30" s="569">
        <f>(Y30-U30)/Y30</f>
        <v>0.3529475757362337</v>
      </c>
      <c r="AA30" s="409">
        <v>110.7</v>
      </c>
      <c r="AB30" s="557">
        <f t="shared" si="0"/>
        <v>27.896399999999996</v>
      </c>
      <c r="AC30" s="565">
        <v>1265.9000000000001</v>
      </c>
      <c r="AD30" s="564">
        <v>63.295000000000002</v>
      </c>
      <c r="AE30" s="564">
        <v>12.659000000000001</v>
      </c>
      <c r="AF30" s="519">
        <v>50.636000000000003</v>
      </c>
      <c r="AG30" s="569">
        <f>(AF30-AB30)/AF30</f>
        <v>0.44907970613792569</v>
      </c>
    </row>
    <row r="31" spans="2:33" x14ac:dyDescent="0.25">
      <c r="B31" s="231">
        <v>25</v>
      </c>
      <c r="C31" s="550">
        <v>1</v>
      </c>
      <c r="D31" s="551" t="s">
        <v>298</v>
      </c>
      <c r="E31" s="552" t="s">
        <v>132</v>
      </c>
      <c r="F31" s="552" t="s">
        <v>116</v>
      </c>
      <c r="G31" s="553">
        <v>2</v>
      </c>
      <c r="H31" s="552" t="s">
        <v>187</v>
      </c>
      <c r="I31" s="552" t="s">
        <v>323</v>
      </c>
      <c r="J31" s="552" t="s">
        <v>709</v>
      </c>
      <c r="K31" s="554" t="s">
        <v>665</v>
      </c>
      <c r="L31" s="552" t="s">
        <v>122</v>
      </c>
      <c r="M31" s="554" t="s">
        <v>264</v>
      </c>
      <c r="N31" s="555">
        <v>72</v>
      </c>
      <c r="O31" s="555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08">
        <v>122.9</v>
      </c>
      <c r="U31" s="557">
        <f t="shared" si="1"/>
        <v>30.970800000000001</v>
      </c>
      <c r="V31" s="565"/>
      <c r="W31" s="565"/>
      <c r="X31" s="564"/>
      <c r="Y31" s="519"/>
      <c r="Z31" s="631">
        <f>AVERAGE(Z33:Z36,Z39:Z42,Z45:Z48,Z51:Z54)</f>
        <v>0.43465689702216354</v>
      </c>
      <c r="AA31" s="409">
        <v>56.650000000000006</v>
      </c>
      <c r="AB31" s="557">
        <f t="shared" si="0"/>
        <v>14.275799999999998</v>
      </c>
      <c r="AC31" s="565"/>
      <c r="AD31" s="565"/>
      <c r="AE31" s="564"/>
      <c r="AF31" s="519"/>
      <c r="AG31" s="631">
        <f>AVERAGE(AG33:AG36,AG39:AG42,AG45:AG48,AG51:AG54)</f>
        <v>0.51206375254180325</v>
      </c>
    </row>
    <row r="32" spans="2:33" x14ac:dyDescent="0.25">
      <c r="B32" s="231">
        <v>26</v>
      </c>
      <c r="C32" s="506">
        <v>1</v>
      </c>
      <c r="D32" s="507" t="s">
        <v>298</v>
      </c>
      <c r="E32" s="508" t="s">
        <v>132</v>
      </c>
      <c r="F32" s="508" t="s">
        <v>116</v>
      </c>
      <c r="G32" s="509">
        <v>2</v>
      </c>
      <c r="H32" s="508" t="s">
        <v>691</v>
      </c>
      <c r="I32" s="508" t="s">
        <v>323</v>
      </c>
      <c r="J32" s="508" t="s">
        <v>709</v>
      </c>
      <c r="K32" s="510" t="s">
        <v>665</v>
      </c>
      <c r="L32" s="508" t="s">
        <v>122</v>
      </c>
      <c r="M32" s="510" t="s">
        <v>264</v>
      </c>
      <c r="N32" s="511">
        <v>72</v>
      </c>
      <c r="O32" s="511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08">
        <v>221.15</v>
      </c>
      <c r="U32" s="557">
        <f t="shared" si="1"/>
        <v>55.729799999999997</v>
      </c>
      <c r="V32" s="565"/>
      <c r="W32" s="565"/>
      <c r="X32" s="564"/>
      <c r="Y32" s="519"/>
      <c r="Z32" s="570">
        <f>AVERAGE(Z33:Z36)</f>
        <v>0.4589927964883061</v>
      </c>
      <c r="AA32" s="409">
        <v>56.650000000000006</v>
      </c>
      <c r="AB32" s="557">
        <f t="shared" si="0"/>
        <v>14.275799999999998</v>
      </c>
      <c r="AC32" s="565"/>
      <c r="AD32" s="565"/>
      <c r="AE32" s="564"/>
      <c r="AF32" s="519"/>
      <c r="AG32" s="570">
        <f>AVERAGE(AG33:AG36)</f>
        <v>0.5947230360427882</v>
      </c>
    </row>
    <row r="33" spans="2:33" x14ac:dyDescent="0.25">
      <c r="B33" s="231">
        <v>27</v>
      </c>
      <c r="C33" s="512">
        <v>1</v>
      </c>
      <c r="D33" s="513" t="s">
        <v>298</v>
      </c>
      <c r="E33" s="514" t="s">
        <v>132</v>
      </c>
      <c r="F33" s="514" t="s">
        <v>116</v>
      </c>
      <c r="G33" s="515">
        <v>2</v>
      </c>
      <c r="H33" s="514" t="s">
        <v>663</v>
      </c>
      <c r="I33" s="514" t="s">
        <v>681</v>
      </c>
      <c r="J33" s="514" t="s">
        <v>709</v>
      </c>
      <c r="K33" s="516" t="s">
        <v>665</v>
      </c>
      <c r="L33" s="514" t="s">
        <v>122</v>
      </c>
      <c r="M33" s="516" t="s">
        <v>264</v>
      </c>
      <c r="N33" s="517">
        <v>72</v>
      </c>
      <c r="O33" s="517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08">
        <v>182.4</v>
      </c>
      <c r="U33" s="557">
        <f t="shared" si="1"/>
        <v>45.96479999999999</v>
      </c>
      <c r="V33" s="565">
        <v>2498.04</v>
      </c>
      <c r="W33" s="564">
        <v>124.902</v>
      </c>
      <c r="X33" s="564">
        <v>24.980400000000003</v>
      </c>
      <c r="Y33" s="519">
        <v>99.921599999999998</v>
      </c>
      <c r="Z33" s="569">
        <f>(Y33-U33)/Y33</f>
        <v>0.53999135322092529</v>
      </c>
      <c r="AA33" s="409">
        <v>56.650000000000006</v>
      </c>
      <c r="AB33" s="557">
        <f t="shared" si="0"/>
        <v>14.275799999999998</v>
      </c>
      <c r="AC33" s="565">
        <v>880.62</v>
      </c>
      <c r="AD33" s="564">
        <v>44.030999999999999</v>
      </c>
      <c r="AE33" s="564">
        <v>8.8062000000000005</v>
      </c>
      <c r="AF33" s="519">
        <v>35.224800000000002</v>
      </c>
      <c r="AG33" s="569">
        <f>(AF33-AB33)/AF33</f>
        <v>0.5947230360427882</v>
      </c>
    </row>
    <row r="34" spans="2:33" x14ac:dyDescent="0.25">
      <c r="B34" s="231">
        <v>28</v>
      </c>
      <c r="C34" s="512">
        <v>1</v>
      </c>
      <c r="D34" s="513" t="s">
        <v>298</v>
      </c>
      <c r="E34" s="514" t="s">
        <v>132</v>
      </c>
      <c r="F34" s="514" t="s">
        <v>116</v>
      </c>
      <c r="G34" s="515">
        <v>2</v>
      </c>
      <c r="H34" s="514" t="s">
        <v>663</v>
      </c>
      <c r="I34" s="514" t="s">
        <v>685</v>
      </c>
      <c r="J34" s="514" t="s">
        <v>709</v>
      </c>
      <c r="K34" s="516" t="s">
        <v>665</v>
      </c>
      <c r="L34" s="514" t="s">
        <v>122</v>
      </c>
      <c r="M34" s="516" t="s">
        <v>264</v>
      </c>
      <c r="N34" s="517">
        <v>72</v>
      </c>
      <c r="O34" s="517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08">
        <v>217.65</v>
      </c>
      <c r="U34" s="557">
        <f t="shared" si="1"/>
        <v>54.847799999999999</v>
      </c>
      <c r="V34" s="565">
        <v>2762.46</v>
      </c>
      <c r="W34" s="564">
        <v>138.12299999999999</v>
      </c>
      <c r="X34" s="564">
        <v>27.624600000000001</v>
      </c>
      <c r="Y34" s="519">
        <v>110.49839999999999</v>
      </c>
      <c r="Z34" s="569">
        <f>(Y34-U34)/Y34</f>
        <v>0.50363263178471362</v>
      </c>
      <c r="AA34" s="409">
        <v>56.650000000000006</v>
      </c>
      <c r="AB34" s="557">
        <f t="shared" si="0"/>
        <v>14.275799999999998</v>
      </c>
      <c r="AC34" s="565">
        <v>880.62</v>
      </c>
      <c r="AD34" s="564">
        <v>44.030999999999999</v>
      </c>
      <c r="AE34" s="564">
        <v>8.8062000000000005</v>
      </c>
      <c r="AF34" s="519">
        <v>35.224800000000002</v>
      </c>
      <c r="AG34" s="569">
        <f>(AF34-AB34)/AF34</f>
        <v>0.5947230360427882</v>
      </c>
    </row>
    <row r="35" spans="2:33" x14ac:dyDescent="0.25">
      <c r="B35" s="231">
        <v>29</v>
      </c>
      <c r="C35" s="512">
        <v>1</v>
      </c>
      <c r="D35" s="513" t="s">
        <v>298</v>
      </c>
      <c r="E35" s="514" t="s">
        <v>132</v>
      </c>
      <c r="F35" s="514" t="s">
        <v>116</v>
      </c>
      <c r="G35" s="515">
        <v>2</v>
      </c>
      <c r="H35" s="514" t="s">
        <v>663</v>
      </c>
      <c r="I35" s="514" t="s">
        <v>687</v>
      </c>
      <c r="J35" s="514" t="s">
        <v>709</v>
      </c>
      <c r="K35" s="516" t="s">
        <v>665</v>
      </c>
      <c r="L35" s="514" t="s">
        <v>122</v>
      </c>
      <c r="M35" s="516" t="s">
        <v>264</v>
      </c>
      <c r="N35" s="517">
        <v>72</v>
      </c>
      <c r="O35" s="517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08">
        <v>259.90000000000003</v>
      </c>
      <c r="U35" s="557">
        <f t="shared" si="1"/>
        <v>65.494799999999998</v>
      </c>
      <c r="V35" s="565">
        <v>2761.1</v>
      </c>
      <c r="W35" s="564">
        <v>138.05500000000001</v>
      </c>
      <c r="X35" s="564">
        <v>27.611000000000004</v>
      </c>
      <c r="Y35" s="519">
        <v>110.444</v>
      </c>
      <c r="Z35" s="569">
        <f>(Y35-U35)/Y35</f>
        <v>0.40698634602151318</v>
      </c>
      <c r="AA35" s="409">
        <v>56.650000000000006</v>
      </c>
      <c r="AB35" s="557">
        <f t="shared" si="0"/>
        <v>14.275799999999998</v>
      </c>
      <c r="AC35" s="565">
        <v>880.62</v>
      </c>
      <c r="AD35" s="564">
        <v>44.030999999999999</v>
      </c>
      <c r="AE35" s="564">
        <v>8.8062000000000005</v>
      </c>
      <c r="AF35" s="519">
        <v>35.224800000000002</v>
      </c>
      <c r="AG35" s="569">
        <f>(AF35-AB35)/AF35</f>
        <v>0.5947230360427882</v>
      </c>
    </row>
    <row r="36" spans="2:33" x14ac:dyDescent="0.25">
      <c r="B36" s="231">
        <v>30</v>
      </c>
      <c r="C36" s="512">
        <v>1</v>
      </c>
      <c r="D36" s="513" t="s">
        <v>298</v>
      </c>
      <c r="E36" s="514" t="s">
        <v>132</v>
      </c>
      <c r="F36" s="514" t="s">
        <v>116</v>
      </c>
      <c r="G36" s="515">
        <v>2</v>
      </c>
      <c r="H36" s="514" t="s">
        <v>663</v>
      </c>
      <c r="I36" s="514" t="s">
        <v>689</v>
      </c>
      <c r="J36" s="514" t="s">
        <v>709</v>
      </c>
      <c r="K36" s="516" t="s">
        <v>665</v>
      </c>
      <c r="L36" s="514" t="s">
        <v>122</v>
      </c>
      <c r="M36" s="516" t="s">
        <v>264</v>
      </c>
      <c r="N36" s="517">
        <v>72</v>
      </c>
      <c r="O36" s="517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08">
        <v>299.90000000000003</v>
      </c>
      <c r="U36" s="557">
        <f t="shared" si="1"/>
        <v>75.574799999999996</v>
      </c>
      <c r="V36" s="565">
        <v>3073.95</v>
      </c>
      <c r="W36" s="564">
        <v>153.69749999999999</v>
      </c>
      <c r="X36" s="564">
        <v>30.7395</v>
      </c>
      <c r="Y36" s="519">
        <v>122.958</v>
      </c>
      <c r="Z36" s="569">
        <f>(Y36-U36)/Y36</f>
        <v>0.38536085492607236</v>
      </c>
      <c r="AA36" s="409">
        <v>56.650000000000006</v>
      </c>
      <c r="AB36" s="557">
        <f t="shared" si="0"/>
        <v>14.275799999999998</v>
      </c>
      <c r="AC36" s="565">
        <v>880.62</v>
      </c>
      <c r="AD36" s="564">
        <v>44.030999999999999</v>
      </c>
      <c r="AE36" s="564">
        <v>8.8062000000000005</v>
      </c>
      <c r="AF36" s="519">
        <v>35.224800000000002</v>
      </c>
      <c r="AG36" s="569">
        <f>(AF36-AB36)/AF36</f>
        <v>0.5947230360427882</v>
      </c>
    </row>
    <row r="37" spans="2:33" x14ac:dyDescent="0.25">
      <c r="B37" s="231">
        <v>31</v>
      </c>
      <c r="C37" s="550">
        <v>1</v>
      </c>
      <c r="D37" s="551" t="s">
        <v>298</v>
      </c>
      <c r="E37" s="552" t="s">
        <v>132</v>
      </c>
      <c r="F37" s="552" t="s">
        <v>116</v>
      </c>
      <c r="G37" s="553">
        <v>2</v>
      </c>
      <c r="H37" s="552" t="s">
        <v>187</v>
      </c>
      <c r="I37" s="552" t="s">
        <v>323</v>
      </c>
      <c r="J37" s="552" t="s">
        <v>709</v>
      </c>
      <c r="K37" s="554" t="s">
        <v>665</v>
      </c>
      <c r="L37" s="552" t="s">
        <v>122</v>
      </c>
      <c r="M37" s="554" t="s">
        <v>264</v>
      </c>
      <c r="N37" s="555">
        <v>98</v>
      </c>
      <c r="O37" s="555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08">
        <v>161.20000000000002</v>
      </c>
      <c r="U37" s="557">
        <f t="shared" si="1"/>
        <v>40.622399999999992</v>
      </c>
      <c r="V37" s="565"/>
      <c r="W37" s="565"/>
      <c r="X37" s="564"/>
      <c r="Y37" s="519"/>
      <c r="Z37" s="519"/>
      <c r="AA37" s="409">
        <v>74.7</v>
      </c>
      <c r="AB37" s="557">
        <f t="shared" si="0"/>
        <v>18.824399999999997</v>
      </c>
      <c r="AC37" s="565"/>
      <c r="AD37" s="565"/>
      <c r="AE37" s="564"/>
      <c r="AF37" s="519"/>
      <c r="AG37" s="519"/>
    </row>
    <row r="38" spans="2:33" x14ac:dyDescent="0.25">
      <c r="B38" s="231">
        <v>32</v>
      </c>
      <c r="C38" s="506">
        <v>1</v>
      </c>
      <c r="D38" s="507" t="s">
        <v>298</v>
      </c>
      <c r="E38" s="508" t="s">
        <v>132</v>
      </c>
      <c r="F38" s="508" t="s">
        <v>116</v>
      </c>
      <c r="G38" s="509">
        <v>2</v>
      </c>
      <c r="H38" s="508" t="s">
        <v>691</v>
      </c>
      <c r="I38" s="508" t="s">
        <v>323</v>
      </c>
      <c r="J38" s="508" t="s">
        <v>709</v>
      </c>
      <c r="K38" s="510" t="s">
        <v>665</v>
      </c>
      <c r="L38" s="508" t="s">
        <v>122</v>
      </c>
      <c r="M38" s="510" t="s">
        <v>264</v>
      </c>
      <c r="N38" s="511">
        <v>98</v>
      </c>
      <c r="O38" s="511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08">
        <v>288.95</v>
      </c>
      <c r="U38" s="557">
        <f t="shared" si="1"/>
        <v>72.815399999999983</v>
      </c>
      <c r="V38" s="565"/>
      <c r="W38" s="565"/>
      <c r="X38" s="564"/>
      <c r="Y38" s="519"/>
      <c r="Z38" s="570">
        <f>AVERAGE(Z39:Z42)</f>
        <v>0.4356417698402314</v>
      </c>
      <c r="AA38" s="409">
        <v>74.7</v>
      </c>
      <c r="AB38" s="557">
        <f t="shared" si="0"/>
        <v>18.824399999999997</v>
      </c>
      <c r="AC38" s="565"/>
      <c r="AD38" s="565"/>
      <c r="AE38" s="564"/>
      <c r="AF38" s="519"/>
      <c r="AG38" s="570">
        <f>AVERAGE(AG39:AG42)</f>
        <v>0.53055422552070874</v>
      </c>
    </row>
    <row r="39" spans="2:33" x14ac:dyDescent="0.25">
      <c r="B39" s="231">
        <v>33</v>
      </c>
      <c r="C39" s="512">
        <v>1</v>
      </c>
      <c r="D39" s="513" t="s">
        <v>298</v>
      </c>
      <c r="E39" s="514" t="s">
        <v>132</v>
      </c>
      <c r="F39" s="514" t="s">
        <v>116</v>
      </c>
      <c r="G39" s="515">
        <v>2</v>
      </c>
      <c r="H39" s="514" t="s">
        <v>663</v>
      </c>
      <c r="I39" s="514" t="s">
        <v>681</v>
      </c>
      <c r="J39" s="514" t="s">
        <v>709</v>
      </c>
      <c r="K39" s="516" t="s">
        <v>665</v>
      </c>
      <c r="L39" s="514" t="s">
        <v>122</v>
      </c>
      <c r="M39" s="516" t="s">
        <v>264</v>
      </c>
      <c r="N39" s="517">
        <v>98</v>
      </c>
      <c r="O39" s="517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08">
        <v>238.55</v>
      </c>
      <c r="U39" s="557">
        <f t="shared" si="1"/>
        <v>60.114599999999989</v>
      </c>
      <c r="V39" s="565">
        <v>3127.68</v>
      </c>
      <c r="W39" s="564">
        <v>156.38399999999999</v>
      </c>
      <c r="X39" s="564">
        <v>31.276799999999998</v>
      </c>
      <c r="Y39" s="519">
        <v>125.10719999999999</v>
      </c>
      <c r="Z39" s="569">
        <f>(Y39-U39)/Y39</f>
        <v>0.51949528084714558</v>
      </c>
      <c r="AA39" s="409">
        <v>74.7</v>
      </c>
      <c r="AB39" s="557">
        <f t="shared" si="0"/>
        <v>18.824399999999997</v>
      </c>
      <c r="AC39" s="565">
        <v>1002.48</v>
      </c>
      <c r="AD39" s="564">
        <v>50.124000000000002</v>
      </c>
      <c r="AE39" s="564">
        <v>10.024800000000001</v>
      </c>
      <c r="AF39" s="519">
        <v>40.099200000000003</v>
      </c>
      <c r="AG39" s="569">
        <f>(AF39-AB39)/AF39</f>
        <v>0.53055422552070874</v>
      </c>
    </row>
    <row r="40" spans="2:33" x14ac:dyDescent="0.25">
      <c r="B40" s="231">
        <v>34</v>
      </c>
      <c r="C40" s="512">
        <v>1</v>
      </c>
      <c r="D40" s="513" t="s">
        <v>298</v>
      </c>
      <c r="E40" s="514" t="s">
        <v>132</v>
      </c>
      <c r="F40" s="514" t="s">
        <v>116</v>
      </c>
      <c r="G40" s="515">
        <v>2</v>
      </c>
      <c r="H40" s="514" t="s">
        <v>663</v>
      </c>
      <c r="I40" s="514" t="s">
        <v>685</v>
      </c>
      <c r="J40" s="514" t="s">
        <v>709</v>
      </c>
      <c r="K40" s="516" t="s">
        <v>665</v>
      </c>
      <c r="L40" s="514" t="s">
        <v>122</v>
      </c>
      <c r="M40" s="516" t="s">
        <v>264</v>
      </c>
      <c r="N40" s="517">
        <v>98</v>
      </c>
      <c r="O40" s="517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08">
        <v>284.40000000000003</v>
      </c>
      <c r="U40" s="557">
        <f t="shared" si="1"/>
        <v>71.668800000000005</v>
      </c>
      <c r="V40" s="565">
        <v>3459.22</v>
      </c>
      <c r="W40" s="564">
        <v>172.96099999999998</v>
      </c>
      <c r="X40" s="564">
        <v>34.592199999999998</v>
      </c>
      <c r="Y40" s="519">
        <v>138.36879999999999</v>
      </c>
      <c r="Z40" s="569">
        <f>(Y40-U40)/Y40</f>
        <v>0.48204508530824863</v>
      </c>
      <c r="AA40" s="409">
        <v>74.7</v>
      </c>
      <c r="AB40" s="557">
        <f t="shared" si="0"/>
        <v>18.824399999999997</v>
      </c>
      <c r="AC40" s="565">
        <v>1002.48</v>
      </c>
      <c r="AD40" s="564">
        <v>50.124000000000002</v>
      </c>
      <c r="AE40" s="564">
        <v>10.024800000000001</v>
      </c>
      <c r="AF40" s="519">
        <v>40.099200000000003</v>
      </c>
      <c r="AG40" s="569">
        <f>(AF40-AB40)/AF40</f>
        <v>0.53055422552070874</v>
      </c>
    </row>
    <row r="41" spans="2:33" x14ac:dyDescent="0.25">
      <c r="B41" s="231">
        <v>35</v>
      </c>
      <c r="C41" s="512">
        <v>1</v>
      </c>
      <c r="D41" s="513" t="s">
        <v>298</v>
      </c>
      <c r="E41" s="514" t="s">
        <v>132</v>
      </c>
      <c r="F41" s="514" t="s">
        <v>116</v>
      </c>
      <c r="G41" s="515">
        <v>2</v>
      </c>
      <c r="H41" s="514" t="s">
        <v>663</v>
      </c>
      <c r="I41" s="514" t="s">
        <v>687</v>
      </c>
      <c r="J41" s="514" t="s">
        <v>709</v>
      </c>
      <c r="K41" s="516" t="s">
        <v>665</v>
      </c>
      <c r="L41" s="514" t="s">
        <v>122</v>
      </c>
      <c r="M41" s="516" t="s">
        <v>264</v>
      </c>
      <c r="N41" s="517">
        <v>98</v>
      </c>
      <c r="O41" s="517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08">
        <v>339.3</v>
      </c>
      <c r="U41" s="557">
        <f t="shared" si="1"/>
        <v>85.503599999999992</v>
      </c>
      <c r="V41" s="565">
        <v>3456.49</v>
      </c>
      <c r="W41" s="564">
        <v>172.8245</v>
      </c>
      <c r="X41" s="564">
        <v>34.564900000000002</v>
      </c>
      <c r="Y41" s="519">
        <v>138.25960000000001</v>
      </c>
      <c r="Z41" s="569">
        <f>(Y41-U41)/Y41</f>
        <v>0.3815720572025379</v>
      </c>
      <c r="AA41" s="409">
        <v>74.7</v>
      </c>
      <c r="AB41" s="557">
        <f t="shared" si="0"/>
        <v>18.824399999999997</v>
      </c>
      <c r="AC41" s="565">
        <v>1002.48</v>
      </c>
      <c r="AD41" s="564">
        <v>50.124000000000002</v>
      </c>
      <c r="AE41" s="564">
        <v>10.024800000000001</v>
      </c>
      <c r="AF41" s="519">
        <v>40.099200000000003</v>
      </c>
      <c r="AG41" s="569">
        <f>(AF41-AB41)/AF41</f>
        <v>0.53055422552070874</v>
      </c>
    </row>
    <row r="42" spans="2:33" x14ac:dyDescent="0.25">
      <c r="B42" s="231">
        <v>36</v>
      </c>
      <c r="C42" s="512">
        <v>1</v>
      </c>
      <c r="D42" s="513" t="s">
        <v>298</v>
      </c>
      <c r="E42" s="514" t="s">
        <v>132</v>
      </c>
      <c r="F42" s="514" t="s">
        <v>116</v>
      </c>
      <c r="G42" s="515">
        <v>2</v>
      </c>
      <c r="H42" s="514" t="s">
        <v>663</v>
      </c>
      <c r="I42" s="514" t="s">
        <v>689</v>
      </c>
      <c r="J42" s="514" t="s">
        <v>709</v>
      </c>
      <c r="K42" s="516" t="s">
        <v>665</v>
      </c>
      <c r="L42" s="514" t="s">
        <v>122</v>
      </c>
      <c r="M42" s="516" t="s">
        <v>264</v>
      </c>
      <c r="N42" s="517">
        <v>98</v>
      </c>
      <c r="O42" s="517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08">
        <v>391.3</v>
      </c>
      <c r="U42" s="557">
        <f t="shared" si="1"/>
        <v>98.607599999999977</v>
      </c>
      <c r="V42" s="565">
        <v>3848.58</v>
      </c>
      <c r="W42" s="564">
        <v>192.429</v>
      </c>
      <c r="X42" s="564">
        <v>38.485800000000005</v>
      </c>
      <c r="Y42" s="519">
        <v>153.94319999999999</v>
      </c>
      <c r="Z42" s="569">
        <f>(Y42-U42)/Y42</f>
        <v>0.35945465600299342</v>
      </c>
      <c r="AA42" s="409">
        <v>74.7</v>
      </c>
      <c r="AB42" s="557">
        <f t="shared" si="0"/>
        <v>18.824399999999997</v>
      </c>
      <c r="AC42" s="565">
        <v>1002.48</v>
      </c>
      <c r="AD42" s="564">
        <v>50.124000000000002</v>
      </c>
      <c r="AE42" s="564">
        <v>10.024800000000001</v>
      </c>
      <c r="AF42" s="519">
        <v>40.099200000000003</v>
      </c>
      <c r="AG42" s="569">
        <f>(AF42-AB42)/AF42</f>
        <v>0.53055422552070874</v>
      </c>
    </row>
    <row r="43" spans="2:33" x14ac:dyDescent="0.25">
      <c r="B43" s="231">
        <v>37</v>
      </c>
      <c r="C43" s="550">
        <v>1</v>
      </c>
      <c r="D43" s="551" t="s">
        <v>298</v>
      </c>
      <c r="E43" s="552" t="s">
        <v>132</v>
      </c>
      <c r="F43" s="552" t="s">
        <v>116</v>
      </c>
      <c r="G43" s="553">
        <v>2</v>
      </c>
      <c r="H43" s="552" t="s">
        <v>187</v>
      </c>
      <c r="I43" s="552" t="s">
        <v>323</v>
      </c>
      <c r="J43" s="552" t="s">
        <v>709</v>
      </c>
      <c r="K43" s="554" t="s">
        <v>665</v>
      </c>
      <c r="L43" s="552" t="s">
        <v>122</v>
      </c>
      <c r="M43" s="554" t="s">
        <v>264</v>
      </c>
      <c r="N43" s="555">
        <v>124</v>
      </c>
      <c r="O43" s="555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08">
        <v>199.5</v>
      </c>
      <c r="U43" s="557">
        <f t="shared" si="1"/>
        <v>50.273999999999987</v>
      </c>
      <c r="V43" s="565"/>
      <c r="W43" s="565"/>
      <c r="X43" s="564"/>
      <c r="Y43" s="519"/>
      <c r="Z43" s="519"/>
      <c r="AA43" s="409">
        <v>92.7</v>
      </c>
      <c r="AB43" s="557">
        <f t="shared" si="0"/>
        <v>23.360399999999998</v>
      </c>
      <c r="AC43" s="565"/>
      <c r="AD43" s="565"/>
      <c r="AE43" s="564"/>
      <c r="AF43" s="519"/>
      <c r="AG43" s="519"/>
    </row>
    <row r="44" spans="2:33" x14ac:dyDescent="0.25">
      <c r="B44" s="231">
        <v>38</v>
      </c>
      <c r="C44" s="506">
        <v>1</v>
      </c>
      <c r="D44" s="507" t="s">
        <v>298</v>
      </c>
      <c r="E44" s="508" t="s">
        <v>132</v>
      </c>
      <c r="F44" s="508" t="s">
        <v>116</v>
      </c>
      <c r="G44" s="509">
        <v>2</v>
      </c>
      <c r="H44" s="508" t="s">
        <v>691</v>
      </c>
      <c r="I44" s="508" t="s">
        <v>323</v>
      </c>
      <c r="J44" s="508" t="s">
        <v>709</v>
      </c>
      <c r="K44" s="510" t="s">
        <v>665</v>
      </c>
      <c r="L44" s="508" t="s">
        <v>122</v>
      </c>
      <c r="M44" s="510" t="s">
        <v>264</v>
      </c>
      <c r="N44" s="511">
        <v>124</v>
      </c>
      <c r="O44" s="511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08">
        <v>356.70000000000005</v>
      </c>
      <c r="U44" s="557">
        <f t="shared" si="1"/>
        <v>89.888400000000004</v>
      </c>
      <c r="V44" s="565"/>
      <c r="W44" s="565"/>
      <c r="X44" s="564"/>
      <c r="Y44" s="519"/>
      <c r="Z44" s="570">
        <f>AVERAGE(Z45:Z48)</f>
        <v>0.4200433366337909</v>
      </c>
      <c r="AA44" s="409">
        <v>92.7</v>
      </c>
      <c r="AB44" s="557">
        <f t="shared" si="0"/>
        <v>23.360399999999998</v>
      </c>
      <c r="AC44" s="565"/>
      <c r="AD44" s="565"/>
      <c r="AE44" s="564"/>
      <c r="AF44" s="519"/>
      <c r="AG44" s="570">
        <f>AVERAGE(AG45:AG48)</f>
        <v>0.47389804246579048</v>
      </c>
    </row>
    <row r="45" spans="2:33" x14ac:dyDescent="0.25">
      <c r="B45" s="231">
        <v>39</v>
      </c>
      <c r="C45" s="512">
        <v>1</v>
      </c>
      <c r="D45" s="513" t="s">
        <v>298</v>
      </c>
      <c r="E45" s="514" t="s">
        <v>132</v>
      </c>
      <c r="F45" s="514" t="s">
        <v>116</v>
      </c>
      <c r="G45" s="515">
        <v>2</v>
      </c>
      <c r="H45" s="514" t="s">
        <v>663</v>
      </c>
      <c r="I45" s="514" t="s">
        <v>681</v>
      </c>
      <c r="J45" s="514" t="s">
        <v>709</v>
      </c>
      <c r="K45" s="516" t="s">
        <v>665</v>
      </c>
      <c r="L45" s="514" t="s">
        <v>122</v>
      </c>
      <c r="M45" s="516" t="s">
        <v>264</v>
      </c>
      <c r="N45" s="517">
        <v>124</v>
      </c>
      <c r="O45" s="517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08">
        <v>294.7</v>
      </c>
      <c r="U45" s="557">
        <f t="shared" si="1"/>
        <v>74.264399999999995</v>
      </c>
      <c r="V45" s="565">
        <v>3757.32</v>
      </c>
      <c r="W45" s="564">
        <v>187.86600000000001</v>
      </c>
      <c r="X45" s="564">
        <v>37.573200000000007</v>
      </c>
      <c r="Y45" s="519">
        <v>150.2928</v>
      </c>
      <c r="Z45" s="569">
        <f>(Y45-U45)/Y45</f>
        <v>0.505868544600939</v>
      </c>
      <c r="AA45" s="409">
        <v>92.7</v>
      </c>
      <c r="AB45" s="557">
        <f t="shared" si="0"/>
        <v>23.360399999999998</v>
      </c>
      <c r="AC45" s="565">
        <v>1110.07</v>
      </c>
      <c r="AD45" s="564">
        <v>55.503499999999995</v>
      </c>
      <c r="AE45" s="564">
        <v>11.1007</v>
      </c>
      <c r="AF45" s="519">
        <v>44.402799999999999</v>
      </c>
      <c r="AG45" s="569">
        <f>(AF45-AB45)/AF45</f>
        <v>0.47389804246579048</v>
      </c>
    </row>
    <row r="46" spans="2:33" x14ac:dyDescent="0.25">
      <c r="B46" s="231">
        <v>40</v>
      </c>
      <c r="C46" s="512">
        <v>1</v>
      </c>
      <c r="D46" s="513" t="s">
        <v>298</v>
      </c>
      <c r="E46" s="514" t="s">
        <v>132</v>
      </c>
      <c r="F46" s="514" t="s">
        <v>116</v>
      </c>
      <c r="G46" s="515">
        <v>2</v>
      </c>
      <c r="H46" s="514" t="s">
        <v>663</v>
      </c>
      <c r="I46" s="514" t="s">
        <v>685</v>
      </c>
      <c r="J46" s="514" t="s">
        <v>709</v>
      </c>
      <c r="K46" s="516" t="s">
        <v>665</v>
      </c>
      <c r="L46" s="514" t="s">
        <v>122</v>
      </c>
      <c r="M46" s="516" t="s">
        <v>264</v>
      </c>
      <c r="N46" s="517">
        <v>124</v>
      </c>
      <c r="O46" s="517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08">
        <v>351.1</v>
      </c>
      <c r="U46" s="557">
        <f t="shared" si="1"/>
        <v>88.477199999999996</v>
      </c>
      <c r="V46" s="565">
        <v>4154.6099999999997</v>
      </c>
      <c r="W46" s="564">
        <v>207.73049999999998</v>
      </c>
      <c r="X46" s="564">
        <v>41.546099999999996</v>
      </c>
      <c r="Y46" s="519">
        <v>166.18439999999998</v>
      </c>
      <c r="Z46" s="569">
        <f>(Y46-U46)/Y46</f>
        <v>0.4675962364698491</v>
      </c>
      <c r="AA46" s="409">
        <v>92.7</v>
      </c>
      <c r="AB46" s="557">
        <f t="shared" si="0"/>
        <v>23.360399999999998</v>
      </c>
      <c r="AC46" s="565">
        <v>1110.07</v>
      </c>
      <c r="AD46" s="564">
        <v>55.503499999999995</v>
      </c>
      <c r="AE46" s="564">
        <v>11.1007</v>
      </c>
      <c r="AF46" s="519">
        <v>44.402799999999999</v>
      </c>
      <c r="AG46" s="569">
        <f>(AF46-AB46)/AF46</f>
        <v>0.47389804246579048</v>
      </c>
    </row>
    <row r="47" spans="2:33" x14ac:dyDescent="0.25">
      <c r="B47" s="231">
        <v>41</v>
      </c>
      <c r="C47" s="512">
        <v>1</v>
      </c>
      <c r="D47" s="513" t="s">
        <v>298</v>
      </c>
      <c r="E47" s="514" t="s">
        <v>132</v>
      </c>
      <c r="F47" s="514" t="s">
        <v>116</v>
      </c>
      <c r="G47" s="515">
        <v>2</v>
      </c>
      <c r="H47" s="514" t="s">
        <v>663</v>
      </c>
      <c r="I47" s="514" t="s">
        <v>687</v>
      </c>
      <c r="J47" s="514" t="s">
        <v>709</v>
      </c>
      <c r="K47" s="516" t="s">
        <v>665</v>
      </c>
      <c r="L47" s="514" t="s">
        <v>122</v>
      </c>
      <c r="M47" s="516" t="s">
        <v>264</v>
      </c>
      <c r="N47" s="517">
        <v>124</v>
      </c>
      <c r="O47" s="517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08">
        <v>418.70000000000005</v>
      </c>
      <c r="U47" s="557">
        <f t="shared" si="1"/>
        <v>105.5124</v>
      </c>
      <c r="V47" s="565">
        <v>4151.88</v>
      </c>
      <c r="W47" s="564">
        <v>207.59399999999999</v>
      </c>
      <c r="X47" s="564">
        <v>41.518799999999999</v>
      </c>
      <c r="Y47" s="519">
        <v>166.0752</v>
      </c>
      <c r="Z47" s="569">
        <f>(Y47-U47)/Y47</f>
        <v>0.36467094424694352</v>
      </c>
      <c r="AA47" s="409">
        <v>92.7</v>
      </c>
      <c r="AB47" s="557">
        <f t="shared" si="0"/>
        <v>23.360399999999998</v>
      </c>
      <c r="AC47" s="565">
        <v>1110.07</v>
      </c>
      <c r="AD47" s="564">
        <v>55.503499999999995</v>
      </c>
      <c r="AE47" s="564">
        <v>11.1007</v>
      </c>
      <c r="AF47" s="519">
        <v>44.402799999999999</v>
      </c>
      <c r="AG47" s="569">
        <f>(AF47-AB47)/AF47</f>
        <v>0.47389804246579048</v>
      </c>
    </row>
    <row r="48" spans="2:33" x14ac:dyDescent="0.25">
      <c r="B48" s="231">
        <v>42</v>
      </c>
      <c r="C48" s="512">
        <v>1</v>
      </c>
      <c r="D48" s="513" t="s">
        <v>298</v>
      </c>
      <c r="E48" s="514" t="s">
        <v>132</v>
      </c>
      <c r="F48" s="514" t="s">
        <v>116</v>
      </c>
      <c r="G48" s="515">
        <v>2</v>
      </c>
      <c r="H48" s="514" t="s">
        <v>663</v>
      </c>
      <c r="I48" s="514" t="s">
        <v>689</v>
      </c>
      <c r="J48" s="514" t="s">
        <v>709</v>
      </c>
      <c r="K48" s="516" t="s">
        <v>665</v>
      </c>
      <c r="L48" s="514" t="s">
        <v>122</v>
      </c>
      <c r="M48" s="516" t="s">
        <v>264</v>
      </c>
      <c r="N48" s="517">
        <v>124</v>
      </c>
      <c r="O48" s="517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08">
        <v>482.70000000000005</v>
      </c>
      <c r="U48" s="557">
        <f t="shared" si="1"/>
        <v>121.64039999999999</v>
      </c>
      <c r="V48" s="565">
        <v>4621.8599999999997</v>
      </c>
      <c r="W48" s="564">
        <v>231.09299999999999</v>
      </c>
      <c r="X48" s="564">
        <v>46.218600000000002</v>
      </c>
      <c r="Y48" s="519">
        <v>184.87439999999998</v>
      </c>
      <c r="Z48" s="569">
        <f>(Y48-U48)/Y48</f>
        <v>0.34203762121743198</v>
      </c>
      <c r="AA48" s="409">
        <v>92.7</v>
      </c>
      <c r="AB48" s="557">
        <f t="shared" si="0"/>
        <v>23.360399999999998</v>
      </c>
      <c r="AC48" s="565">
        <v>1110.07</v>
      </c>
      <c r="AD48" s="564">
        <v>55.503499999999995</v>
      </c>
      <c r="AE48" s="564">
        <v>11.1007</v>
      </c>
      <c r="AF48" s="519">
        <v>44.402799999999999</v>
      </c>
      <c r="AG48" s="569">
        <f>(AF48-AB48)/AF48</f>
        <v>0.47389804246579048</v>
      </c>
    </row>
    <row r="49" spans="2:33" x14ac:dyDescent="0.25">
      <c r="B49" s="231">
        <v>43</v>
      </c>
      <c r="C49" s="550">
        <v>1</v>
      </c>
      <c r="D49" s="551" t="s">
        <v>298</v>
      </c>
      <c r="E49" s="552" t="s">
        <v>132</v>
      </c>
      <c r="F49" s="552" t="s">
        <v>116</v>
      </c>
      <c r="G49" s="553">
        <v>2</v>
      </c>
      <c r="H49" s="552" t="s">
        <v>187</v>
      </c>
      <c r="I49" s="552" t="s">
        <v>323</v>
      </c>
      <c r="J49" s="552" t="s">
        <v>709</v>
      </c>
      <c r="K49" s="554" t="s">
        <v>665</v>
      </c>
      <c r="L49" s="552" t="s">
        <v>122</v>
      </c>
      <c r="M49" s="554" t="s">
        <v>264</v>
      </c>
      <c r="N49" s="555">
        <v>150</v>
      </c>
      <c r="O49" s="555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08">
        <v>241.8</v>
      </c>
      <c r="U49" s="557">
        <f t="shared" si="1"/>
        <v>60.933599999999998</v>
      </c>
      <c r="V49" s="565"/>
      <c r="W49" s="565"/>
      <c r="X49" s="564"/>
      <c r="Y49" s="519"/>
      <c r="Z49" s="519"/>
      <c r="AA49" s="409">
        <v>110.7</v>
      </c>
      <c r="AB49" s="557">
        <f t="shared" si="0"/>
        <v>27.896399999999996</v>
      </c>
      <c r="AC49" s="565"/>
      <c r="AD49" s="565"/>
      <c r="AE49" s="564"/>
      <c r="AF49" s="519"/>
      <c r="AG49" s="519"/>
    </row>
    <row r="50" spans="2:33" x14ac:dyDescent="0.25">
      <c r="B50" s="231">
        <v>44</v>
      </c>
      <c r="C50" s="506">
        <v>1</v>
      </c>
      <c r="D50" s="507" t="s">
        <v>298</v>
      </c>
      <c r="E50" s="508" t="s">
        <v>132</v>
      </c>
      <c r="F50" s="508" t="s">
        <v>116</v>
      </c>
      <c r="G50" s="509">
        <v>2</v>
      </c>
      <c r="H50" s="508" t="s">
        <v>691</v>
      </c>
      <c r="I50" s="508" t="s">
        <v>323</v>
      </c>
      <c r="J50" s="508" t="s">
        <v>709</v>
      </c>
      <c r="K50" s="510" t="s">
        <v>665</v>
      </c>
      <c r="L50" s="508" t="s">
        <v>122</v>
      </c>
      <c r="M50" s="510" t="s">
        <v>264</v>
      </c>
      <c r="N50" s="511">
        <v>150</v>
      </c>
      <c r="O50" s="511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08">
        <v>433.40000000000003</v>
      </c>
      <c r="U50" s="557">
        <f t="shared" si="1"/>
        <v>109.21679999999999</v>
      </c>
      <c r="V50" s="565"/>
      <c r="W50" s="565"/>
      <c r="X50" s="564"/>
      <c r="Y50" s="519"/>
      <c r="Z50" s="570">
        <f>AVERAGE(Z51:Z54)</f>
        <v>0.42394968512632569</v>
      </c>
      <c r="AA50" s="409">
        <v>110.7</v>
      </c>
      <c r="AB50" s="557">
        <f t="shared" si="0"/>
        <v>27.896399999999996</v>
      </c>
      <c r="AC50" s="565"/>
      <c r="AD50" s="565"/>
      <c r="AE50" s="564"/>
      <c r="AF50" s="519"/>
      <c r="AG50" s="570">
        <f>AVERAGE(AG51:AG54)</f>
        <v>0.44907970613792569</v>
      </c>
    </row>
    <row r="51" spans="2:33" x14ac:dyDescent="0.25">
      <c r="B51" s="231">
        <v>45</v>
      </c>
      <c r="C51" s="512">
        <v>1</v>
      </c>
      <c r="D51" s="513" t="s">
        <v>298</v>
      </c>
      <c r="E51" s="514" t="s">
        <v>132</v>
      </c>
      <c r="F51" s="514" t="s">
        <v>116</v>
      </c>
      <c r="G51" s="515">
        <v>2</v>
      </c>
      <c r="H51" s="514" t="s">
        <v>663</v>
      </c>
      <c r="I51" s="514" t="s">
        <v>681</v>
      </c>
      <c r="J51" s="514" t="s">
        <v>709</v>
      </c>
      <c r="K51" s="516" t="s">
        <v>665</v>
      </c>
      <c r="L51" s="514" t="s">
        <v>122</v>
      </c>
      <c r="M51" s="516" t="s">
        <v>264</v>
      </c>
      <c r="N51" s="517">
        <v>150</v>
      </c>
      <c r="O51" s="517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08">
        <v>357.85</v>
      </c>
      <c r="U51" s="557">
        <f t="shared" si="1"/>
        <v>90.17819999999999</v>
      </c>
      <c r="V51" s="565">
        <v>4597.5600000000004</v>
      </c>
      <c r="W51" s="564">
        <v>229.87800000000001</v>
      </c>
      <c r="X51" s="564">
        <v>45.975600000000007</v>
      </c>
      <c r="Y51" s="519">
        <v>183.9024</v>
      </c>
      <c r="Z51" s="569">
        <f>(Y51-U51)/Y51</f>
        <v>0.50964098347819287</v>
      </c>
      <c r="AA51" s="409">
        <v>110.7</v>
      </c>
      <c r="AB51" s="557">
        <f t="shared" si="0"/>
        <v>27.896399999999996</v>
      </c>
      <c r="AC51" s="565">
        <v>1265.9000000000001</v>
      </c>
      <c r="AD51" s="564">
        <v>63.295000000000002</v>
      </c>
      <c r="AE51" s="564">
        <v>12.659000000000001</v>
      </c>
      <c r="AF51" s="519">
        <v>50.636000000000003</v>
      </c>
      <c r="AG51" s="569">
        <f>(AF51-AB51)/AF51</f>
        <v>0.44907970613792569</v>
      </c>
    </row>
    <row r="52" spans="2:33" x14ac:dyDescent="0.25">
      <c r="B52" s="231">
        <v>46</v>
      </c>
      <c r="C52" s="512">
        <v>1</v>
      </c>
      <c r="D52" s="513" t="s">
        <v>298</v>
      </c>
      <c r="E52" s="514" t="s">
        <v>132</v>
      </c>
      <c r="F52" s="514" t="s">
        <v>116</v>
      </c>
      <c r="G52" s="515">
        <v>2</v>
      </c>
      <c r="H52" s="514" t="s">
        <v>663</v>
      </c>
      <c r="I52" s="514" t="s">
        <v>685</v>
      </c>
      <c r="J52" s="514" t="s">
        <v>709</v>
      </c>
      <c r="K52" s="516" t="s">
        <v>665</v>
      </c>
      <c r="L52" s="514" t="s">
        <v>122</v>
      </c>
      <c r="M52" s="516" t="s">
        <v>264</v>
      </c>
      <c r="N52" s="517">
        <v>150</v>
      </c>
      <c r="O52" s="517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08">
        <v>426.6</v>
      </c>
      <c r="U52" s="557">
        <f t="shared" si="1"/>
        <v>107.50319999999999</v>
      </c>
      <c r="V52" s="565">
        <v>5083.62</v>
      </c>
      <c r="W52" s="564">
        <v>254.18099999999998</v>
      </c>
      <c r="X52" s="564">
        <v>50.836199999999998</v>
      </c>
      <c r="Y52" s="519">
        <v>203.34479999999999</v>
      </c>
      <c r="Z52" s="569">
        <f>(Y52-U52)/Y52</f>
        <v>0.47132555147709704</v>
      </c>
      <c r="AA52" s="409">
        <v>110.7</v>
      </c>
      <c r="AB52" s="557">
        <f t="shared" si="0"/>
        <v>27.896399999999996</v>
      </c>
      <c r="AC52" s="565">
        <v>1265.9000000000001</v>
      </c>
      <c r="AD52" s="564">
        <v>63.295000000000002</v>
      </c>
      <c r="AE52" s="564">
        <v>12.659000000000001</v>
      </c>
      <c r="AF52" s="519">
        <v>50.636000000000003</v>
      </c>
      <c r="AG52" s="569">
        <f>(AF52-AB52)/AF52</f>
        <v>0.44907970613792569</v>
      </c>
    </row>
    <row r="53" spans="2:33" x14ac:dyDescent="0.25">
      <c r="B53" s="231">
        <v>47</v>
      </c>
      <c r="C53" s="512">
        <v>1</v>
      </c>
      <c r="D53" s="513" t="s">
        <v>298</v>
      </c>
      <c r="E53" s="514" t="s">
        <v>132</v>
      </c>
      <c r="F53" s="514" t="s">
        <v>116</v>
      </c>
      <c r="G53" s="515">
        <v>2</v>
      </c>
      <c r="H53" s="514" t="s">
        <v>663</v>
      </c>
      <c r="I53" s="514" t="s">
        <v>687</v>
      </c>
      <c r="J53" s="514" t="s">
        <v>709</v>
      </c>
      <c r="K53" s="516" t="s">
        <v>665</v>
      </c>
      <c r="L53" s="514" t="s">
        <v>122</v>
      </c>
      <c r="M53" s="516" t="s">
        <v>264</v>
      </c>
      <c r="N53" s="517">
        <v>150</v>
      </c>
      <c r="O53" s="517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08">
        <v>508.95000000000005</v>
      </c>
      <c r="U53" s="557">
        <f t="shared" si="1"/>
        <v>128.25539999999998</v>
      </c>
      <c r="V53" s="565">
        <v>5079.53</v>
      </c>
      <c r="W53" s="564">
        <v>253.97649999999999</v>
      </c>
      <c r="X53" s="564">
        <v>50.795299999999997</v>
      </c>
      <c r="Y53" s="519">
        <v>203.18119999999999</v>
      </c>
      <c r="Z53" s="569">
        <f>(Y53-U53)/Y53</f>
        <v>0.36876344858677879</v>
      </c>
      <c r="AA53" s="409">
        <v>110.7</v>
      </c>
      <c r="AB53" s="557">
        <f t="shared" si="0"/>
        <v>27.896399999999996</v>
      </c>
      <c r="AC53" s="565">
        <v>1265.9000000000001</v>
      </c>
      <c r="AD53" s="564">
        <v>63.295000000000002</v>
      </c>
      <c r="AE53" s="564">
        <v>12.659000000000001</v>
      </c>
      <c r="AF53" s="519">
        <v>50.636000000000003</v>
      </c>
      <c r="AG53" s="569">
        <f>(AF53-AB53)/AF53</f>
        <v>0.44907970613792569</v>
      </c>
    </row>
    <row r="54" spans="2:33" x14ac:dyDescent="0.25">
      <c r="B54" s="231">
        <v>48</v>
      </c>
      <c r="C54" s="512">
        <v>1</v>
      </c>
      <c r="D54" s="513" t="s">
        <v>298</v>
      </c>
      <c r="E54" s="514" t="s">
        <v>132</v>
      </c>
      <c r="F54" s="514" t="s">
        <v>116</v>
      </c>
      <c r="G54" s="515">
        <v>2</v>
      </c>
      <c r="H54" s="514" t="s">
        <v>663</v>
      </c>
      <c r="I54" s="514" t="s">
        <v>689</v>
      </c>
      <c r="J54" s="514" t="s">
        <v>709</v>
      </c>
      <c r="K54" s="516" t="s">
        <v>665</v>
      </c>
      <c r="L54" s="514" t="s">
        <v>122</v>
      </c>
      <c r="M54" s="516" t="s">
        <v>264</v>
      </c>
      <c r="N54" s="517">
        <v>150</v>
      </c>
      <c r="O54" s="517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08">
        <v>586.95000000000005</v>
      </c>
      <c r="U54" s="557">
        <f t="shared" si="1"/>
        <v>147.91139999999999</v>
      </c>
      <c r="V54" s="565">
        <v>5654.7</v>
      </c>
      <c r="W54" s="564">
        <v>282.73500000000001</v>
      </c>
      <c r="X54" s="564">
        <v>56.547000000000004</v>
      </c>
      <c r="Y54" s="519">
        <v>226.18800000000002</v>
      </c>
      <c r="Z54" s="569">
        <f>(Y54-U54)/Y54</f>
        <v>0.34606875696323425</v>
      </c>
      <c r="AA54" s="409">
        <v>110.7</v>
      </c>
      <c r="AB54" s="557">
        <f t="shared" si="0"/>
        <v>27.896399999999996</v>
      </c>
      <c r="AC54" s="565">
        <v>1265.9000000000001</v>
      </c>
      <c r="AD54" s="564">
        <v>63.295000000000002</v>
      </c>
      <c r="AE54" s="564">
        <v>12.659000000000001</v>
      </c>
      <c r="AF54" s="519">
        <v>50.636000000000003</v>
      </c>
      <c r="AG54" s="569">
        <f>(AF54-AB54)/AF54</f>
        <v>0.44907970613792569</v>
      </c>
    </row>
    <row r="56" spans="2:33" x14ac:dyDescent="0.25">
      <c r="B56" s="230">
        <v>1</v>
      </c>
      <c r="C56" s="544">
        <v>1</v>
      </c>
      <c r="D56" s="545" t="s">
        <v>298</v>
      </c>
      <c r="E56" s="546" t="s">
        <v>131</v>
      </c>
      <c r="F56" s="546" t="s">
        <v>136</v>
      </c>
      <c r="G56" s="547">
        <v>2</v>
      </c>
      <c r="H56" s="546" t="s">
        <v>187</v>
      </c>
      <c r="I56" s="546" t="s">
        <v>321</v>
      </c>
      <c r="J56" s="546" t="s">
        <v>709</v>
      </c>
      <c r="K56" s="548" t="s">
        <v>664</v>
      </c>
      <c r="L56" s="546" t="s">
        <v>122</v>
      </c>
      <c r="M56" s="548" t="s">
        <v>264</v>
      </c>
      <c r="N56" s="549">
        <v>72</v>
      </c>
      <c r="O56" s="549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08">
        <v>189.5</v>
      </c>
      <c r="U56" s="557">
        <f>T56*0.7*0.6*0.6</f>
        <v>47.753999999999998</v>
      </c>
      <c r="V56" s="564"/>
      <c r="W56" s="564"/>
      <c r="X56" s="564"/>
      <c r="Y56" s="519"/>
      <c r="Z56" s="631">
        <f>AVERAGE(Z58:Z61,Z64:Z67,Z70:Z73,Z76:Z79)</f>
        <v>0.42857223206034056</v>
      </c>
      <c r="AA56" s="409">
        <v>56.650000000000006</v>
      </c>
      <c r="AB56" s="557">
        <f t="shared" si="0"/>
        <v>14.275799999999998</v>
      </c>
      <c r="AC56" s="564"/>
      <c r="AD56" s="564"/>
      <c r="AE56" s="564"/>
      <c r="AF56" s="519"/>
      <c r="AG56" s="631">
        <f>AVERAGE(AG58:AG61,AG64:AG67,AG70:AG73,AG76:AG79)</f>
        <v>0.49423306267942457</v>
      </c>
    </row>
    <row r="57" spans="2:33" x14ac:dyDescent="0.25">
      <c r="B57" s="231">
        <v>2</v>
      </c>
      <c r="C57" s="538">
        <v>1</v>
      </c>
      <c r="D57" s="539" t="s">
        <v>298</v>
      </c>
      <c r="E57" s="540" t="s">
        <v>131</v>
      </c>
      <c r="F57" s="540" t="s">
        <v>136</v>
      </c>
      <c r="G57" s="541">
        <v>2</v>
      </c>
      <c r="H57" s="540" t="s">
        <v>691</v>
      </c>
      <c r="I57" s="540" t="s">
        <v>321</v>
      </c>
      <c r="J57" s="540" t="s">
        <v>709</v>
      </c>
      <c r="K57" s="542" t="s">
        <v>664</v>
      </c>
      <c r="L57" s="540" t="s">
        <v>122</v>
      </c>
      <c r="M57" s="542" t="s">
        <v>264</v>
      </c>
      <c r="N57" s="543">
        <v>72</v>
      </c>
      <c r="O57" s="543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08">
        <v>382.70000000000005</v>
      </c>
      <c r="U57" s="557">
        <f>T57*0.7*0.6*0.6</f>
        <v>96.440399999999997</v>
      </c>
      <c r="V57" s="564"/>
      <c r="W57" s="564"/>
      <c r="X57" s="564"/>
      <c r="Y57" s="519"/>
      <c r="Z57" s="570">
        <f>AVERAGE(Z58:Z61)</f>
        <v>0.47189496124569685</v>
      </c>
      <c r="AA57" s="409">
        <v>56.650000000000006</v>
      </c>
      <c r="AB57" s="557">
        <f t="shared" si="0"/>
        <v>14.275799999999998</v>
      </c>
      <c r="AC57" s="564"/>
      <c r="AD57" s="564"/>
      <c r="AE57" s="564"/>
      <c r="AF57" s="519"/>
      <c r="AG57" s="570">
        <f>AVERAGE(AG58:AG61)</f>
        <v>0.58346560537802583</v>
      </c>
    </row>
    <row r="58" spans="2:33" x14ac:dyDescent="0.25">
      <c r="B58" s="231">
        <v>3</v>
      </c>
      <c r="C58" s="500">
        <v>1</v>
      </c>
      <c r="D58" s="501" t="s">
        <v>298</v>
      </c>
      <c r="E58" s="502" t="s">
        <v>131</v>
      </c>
      <c r="F58" s="502" t="s">
        <v>136</v>
      </c>
      <c r="G58" s="503">
        <v>2</v>
      </c>
      <c r="H58" s="502" t="s">
        <v>663</v>
      </c>
      <c r="I58" s="502" t="s">
        <v>674</v>
      </c>
      <c r="J58" s="502" t="s">
        <v>709</v>
      </c>
      <c r="K58" s="504" t="s">
        <v>664</v>
      </c>
      <c r="L58" s="502" t="s">
        <v>122</v>
      </c>
      <c r="M58" s="504" t="s">
        <v>264</v>
      </c>
      <c r="N58" s="505">
        <v>72</v>
      </c>
      <c r="O58" s="505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08">
        <v>225.4</v>
      </c>
      <c r="U58" s="557">
        <f t="shared" ref="U58:U103" si="2">T58*0.7*0.6*0.6</f>
        <v>56.800799999999995</v>
      </c>
      <c r="V58" s="565">
        <v>2767.92</v>
      </c>
      <c r="W58" s="564">
        <v>138.39600000000002</v>
      </c>
      <c r="X58" s="564">
        <v>27.679200000000005</v>
      </c>
      <c r="Y58" s="519">
        <v>110.71680000000001</v>
      </c>
      <c r="Z58" s="569">
        <f>(Y58-U58)/Y58</f>
        <v>0.48697216682563088</v>
      </c>
      <c r="AA58" s="409">
        <v>56.650000000000006</v>
      </c>
      <c r="AB58" s="557">
        <f t="shared" si="0"/>
        <v>14.275799999999998</v>
      </c>
      <c r="AC58" s="565">
        <v>856.81999999999994</v>
      </c>
      <c r="AD58" s="564">
        <v>42.840999999999994</v>
      </c>
      <c r="AE58" s="564">
        <v>8.5681999999999992</v>
      </c>
      <c r="AF58" s="519">
        <v>34.272799999999997</v>
      </c>
      <c r="AG58" s="569">
        <f>(AF58-AB58)/AF58</f>
        <v>0.58346560537802583</v>
      </c>
    </row>
    <row r="59" spans="2:33" x14ac:dyDescent="0.25">
      <c r="B59" s="231">
        <v>4</v>
      </c>
      <c r="C59" s="500">
        <v>1</v>
      </c>
      <c r="D59" s="501" t="s">
        <v>298</v>
      </c>
      <c r="E59" s="502" t="s">
        <v>131</v>
      </c>
      <c r="F59" s="502" t="s">
        <v>136</v>
      </c>
      <c r="G59" s="503">
        <v>2</v>
      </c>
      <c r="H59" s="502" t="s">
        <v>663</v>
      </c>
      <c r="I59" s="502" t="s">
        <v>675</v>
      </c>
      <c r="J59" s="502" t="s">
        <v>709</v>
      </c>
      <c r="K59" s="504" t="s">
        <v>664</v>
      </c>
      <c r="L59" s="502" t="s">
        <v>122</v>
      </c>
      <c r="M59" s="504" t="s">
        <v>264</v>
      </c>
      <c r="N59" s="505">
        <v>72</v>
      </c>
      <c r="O59" s="505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08">
        <v>313</v>
      </c>
      <c r="U59" s="557">
        <f t="shared" si="2"/>
        <v>78.875999999999991</v>
      </c>
      <c r="V59" s="565">
        <v>3997.08</v>
      </c>
      <c r="W59" s="564">
        <v>199.85399999999998</v>
      </c>
      <c r="X59" s="564">
        <v>39.970799999999997</v>
      </c>
      <c r="Y59" s="519">
        <v>159.88319999999999</v>
      </c>
      <c r="Z59" s="569">
        <f>(Y59-U59)/Y59</f>
        <v>0.50666486535170674</v>
      </c>
      <c r="AA59" s="409">
        <v>56.650000000000006</v>
      </c>
      <c r="AB59" s="557">
        <f t="shared" si="0"/>
        <v>14.275799999999998</v>
      </c>
      <c r="AC59" s="565">
        <v>856.81999999999994</v>
      </c>
      <c r="AD59" s="564">
        <v>42.840999999999994</v>
      </c>
      <c r="AE59" s="564">
        <v>8.5681999999999992</v>
      </c>
      <c r="AF59" s="519">
        <v>34.272799999999997</v>
      </c>
      <c r="AG59" s="569">
        <f>(AF59-AB59)/AF59</f>
        <v>0.58346560537802583</v>
      </c>
    </row>
    <row r="60" spans="2:33" x14ac:dyDescent="0.25">
      <c r="B60" s="231">
        <v>5</v>
      </c>
      <c r="C60" s="500">
        <v>1</v>
      </c>
      <c r="D60" s="501" t="s">
        <v>298</v>
      </c>
      <c r="E60" s="502" t="s">
        <v>131</v>
      </c>
      <c r="F60" s="502" t="s">
        <v>136</v>
      </c>
      <c r="G60" s="503">
        <v>2</v>
      </c>
      <c r="H60" s="502" t="s">
        <v>663</v>
      </c>
      <c r="I60" s="502" t="s">
        <v>676</v>
      </c>
      <c r="J60" s="502" t="s">
        <v>709</v>
      </c>
      <c r="K60" s="504" t="s">
        <v>664</v>
      </c>
      <c r="L60" s="502" t="s">
        <v>122</v>
      </c>
      <c r="M60" s="504" t="s">
        <v>264</v>
      </c>
      <c r="N60" s="505">
        <v>72</v>
      </c>
      <c r="O60" s="505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08">
        <v>335.05</v>
      </c>
      <c r="U60" s="557">
        <f t="shared" si="2"/>
        <v>84.432599999999994</v>
      </c>
      <c r="V60" s="565">
        <v>4176.47</v>
      </c>
      <c r="W60" s="564">
        <v>208.82350000000002</v>
      </c>
      <c r="X60" s="564">
        <v>41.764700000000005</v>
      </c>
      <c r="Y60" s="519">
        <v>167.05880000000002</v>
      </c>
      <c r="Z60" s="569">
        <f>(Y60-U60)/Y60</f>
        <v>0.49459352036528464</v>
      </c>
      <c r="AA60" s="409">
        <v>56.650000000000006</v>
      </c>
      <c r="AB60" s="557">
        <f t="shared" si="0"/>
        <v>14.275799999999998</v>
      </c>
      <c r="AC60" s="565">
        <v>856.81999999999994</v>
      </c>
      <c r="AD60" s="564">
        <v>42.840999999999994</v>
      </c>
      <c r="AE60" s="564">
        <v>8.5681999999999992</v>
      </c>
      <c r="AF60" s="519">
        <v>34.272799999999997</v>
      </c>
      <c r="AG60" s="569">
        <f>(AF60-AB60)/AF60</f>
        <v>0.58346560537802583</v>
      </c>
    </row>
    <row r="61" spans="2:33" x14ac:dyDescent="0.25">
      <c r="B61" s="231">
        <v>6</v>
      </c>
      <c r="C61" s="500">
        <v>1</v>
      </c>
      <c r="D61" s="501" t="s">
        <v>298</v>
      </c>
      <c r="E61" s="502" t="s">
        <v>131</v>
      </c>
      <c r="F61" s="502" t="s">
        <v>136</v>
      </c>
      <c r="G61" s="503">
        <v>2</v>
      </c>
      <c r="H61" s="502" t="s">
        <v>663</v>
      </c>
      <c r="I61" s="502" t="s">
        <v>677</v>
      </c>
      <c r="J61" s="502" t="s">
        <v>709</v>
      </c>
      <c r="K61" s="504" t="s">
        <v>664</v>
      </c>
      <c r="L61" s="502" t="s">
        <v>122</v>
      </c>
      <c r="M61" s="504" t="s">
        <v>264</v>
      </c>
      <c r="N61" s="505">
        <v>72</v>
      </c>
      <c r="O61" s="505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08">
        <v>408.35</v>
      </c>
      <c r="U61" s="557">
        <f t="shared" si="2"/>
        <v>102.90419999999999</v>
      </c>
      <c r="V61" s="565">
        <v>4283.03</v>
      </c>
      <c r="W61" s="564">
        <v>214.1515</v>
      </c>
      <c r="X61" s="564">
        <v>42.830300000000001</v>
      </c>
      <c r="Y61" s="519">
        <v>171.3212</v>
      </c>
      <c r="Z61" s="569">
        <f>(Y61-U61)/Y61</f>
        <v>0.39934929244016509</v>
      </c>
      <c r="AA61" s="409">
        <v>56.650000000000006</v>
      </c>
      <c r="AB61" s="557">
        <f t="shared" si="0"/>
        <v>14.275799999999998</v>
      </c>
      <c r="AC61" s="565">
        <v>856.81999999999994</v>
      </c>
      <c r="AD61" s="564">
        <v>42.840999999999994</v>
      </c>
      <c r="AE61" s="564">
        <v>8.5681999999999992</v>
      </c>
      <c r="AF61" s="519">
        <v>34.272799999999997</v>
      </c>
      <c r="AG61" s="569">
        <f>(AF61-AB61)/AF61</f>
        <v>0.58346560537802583</v>
      </c>
    </row>
    <row r="62" spans="2:33" x14ac:dyDescent="0.25">
      <c r="B62" s="231">
        <v>7</v>
      </c>
      <c r="C62" s="544">
        <v>1</v>
      </c>
      <c r="D62" s="545" t="s">
        <v>298</v>
      </c>
      <c r="E62" s="546" t="s">
        <v>131</v>
      </c>
      <c r="F62" s="546" t="s">
        <v>136</v>
      </c>
      <c r="G62" s="547">
        <v>2</v>
      </c>
      <c r="H62" s="546" t="s">
        <v>187</v>
      </c>
      <c r="I62" s="546" t="s">
        <v>321</v>
      </c>
      <c r="J62" s="546" t="s">
        <v>709</v>
      </c>
      <c r="K62" s="548" t="s">
        <v>664</v>
      </c>
      <c r="L62" s="546" t="s">
        <v>122</v>
      </c>
      <c r="M62" s="548" t="s">
        <v>264</v>
      </c>
      <c r="N62" s="549">
        <v>98</v>
      </c>
      <c r="O62" s="549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08">
        <v>253.85000000000002</v>
      </c>
      <c r="U62" s="557">
        <f t="shared" si="2"/>
        <v>63.970199999999991</v>
      </c>
      <c r="V62" s="565"/>
      <c r="W62" s="565"/>
      <c r="X62" s="564"/>
      <c r="Y62" s="519"/>
      <c r="Z62" s="519"/>
      <c r="AA62" s="409">
        <v>74.7</v>
      </c>
      <c r="AB62" s="557">
        <f t="shared" si="0"/>
        <v>18.824399999999997</v>
      </c>
      <c r="AC62" s="565"/>
      <c r="AD62" s="565"/>
      <c r="AE62" s="564"/>
      <c r="AF62" s="519"/>
      <c r="AG62" s="519"/>
    </row>
    <row r="63" spans="2:33" x14ac:dyDescent="0.25">
      <c r="B63" s="231">
        <v>8</v>
      </c>
      <c r="C63" s="538">
        <v>1</v>
      </c>
      <c r="D63" s="539" t="s">
        <v>298</v>
      </c>
      <c r="E63" s="540" t="s">
        <v>131</v>
      </c>
      <c r="F63" s="540" t="s">
        <v>136</v>
      </c>
      <c r="G63" s="541">
        <v>2</v>
      </c>
      <c r="H63" s="540" t="s">
        <v>691</v>
      </c>
      <c r="I63" s="540" t="s">
        <v>321</v>
      </c>
      <c r="J63" s="540" t="s">
        <v>709</v>
      </c>
      <c r="K63" s="542" t="s">
        <v>664</v>
      </c>
      <c r="L63" s="540" t="s">
        <v>122</v>
      </c>
      <c r="M63" s="542" t="s">
        <v>264</v>
      </c>
      <c r="N63" s="543">
        <v>98</v>
      </c>
      <c r="O63" s="543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08">
        <v>513</v>
      </c>
      <c r="U63" s="557">
        <f t="shared" si="2"/>
        <v>129.27599999999998</v>
      </c>
      <c r="V63" s="565"/>
      <c r="W63" s="565"/>
      <c r="X63" s="564"/>
      <c r="Y63" s="519"/>
      <c r="Z63" s="570">
        <f>AVERAGE(Z64:Z67)</f>
        <v>0.43222893301571558</v>
      </c>
      <c r="AA63" s="409">
        <v>74.7</v>
      </c>
      <c r="AB63" s="557">
        <f t="shared" si="0"/>
        <v>18.824399999999997</v>
      </c>
      <c r="AC63" s="565"/>
      <c r="AD63" s="565"/>
      <c r="AE63" s="564"/>
      <c r="AF63" s="519"/>
      <c r="AG63" s="570">
        <f>AVERAGE(AG64:AG67)</f>
        <v>0.51464991800996263</v>
      </c>
    </row>
    <row r="64" spans="2:33" x14ac:dyDescent="0.25">
      <c r="B64" s="231">
        <v>9</v>
      </c>
      <c r="C64" s="500">
        <v>1</v>
      </c>
      <c r="D64" s="501" t="s">
        <v>298</v>
      </c>
      <c r="E64" s="502" t="s">
        <v>131</v>
      </c>
      <c r="F64" s="502" t="s">
        <v>136</v>
      </c>
      <c r="G64" s="503">
        <v>2</v>
      </c>
      <c r="H64" s="502" t="s">
        <v>663</v>
      </c>
      <c r="I64" s="502" t="s">
        <v>674</v>
      </c>
      <c r="J64" s="502" t="s">
        <v>709</v>
      </c>
      <c r="K64" s="504" t="s">
        <v>664</v>
      </c>
      <c r="L64" s="502" t="s">
        <v>122</v>
      </c>
      <c r="M64" s="504" t="s">
        <v>264</v>
      </c>
      <c r="N64" s="505">
        <v>98</v>
      </c>
      <c r="O64" s="505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08">
        <v>301.95</v>
      </c>
      <c r="U64" s="557">
        <f t="shared" si="2"/>
        <v>76.091399999999993</v>
      </c>
      <c r="V64" s="565">
        <v>3448.29</v>
      </c>
      <c r="W64" s="564">
        <v>172.4145</v>
      </c>
      <c r="X64" s="564">
        <v>34.482900000000001</v>
      </c>
      <c r="Y64" s="519">
        <v>137.9316</v>
      </c>
      <c r="Z64" s="569">
        <f>(Y64-U64)/Y64</f>
        <v>0.44833961180759163</v>
      </c>
      <c r="AA64" s="409">
        <v>74.7</v>
      </c>
      <c r="AB64" s="557">
        <f t="shared" si="0"/>
        <v>18.824399999999997</v>
      </c>
      <c r="AC64" s="565">
        <v>969.63</v>
      </c>
      <c r="AD64" s="564">
        <v>48.481499999999997</v>
      </c>
      <c r="AE64" s="564">
        <v>9.6963000000000008</v>
      </c>
      <c r="AF64" s="519">
        <v>38.785199999999996</v>
      </c>
      <c r="AG64" s="569">
        <f>(AF64-AB64)/AF64</f>
        <v>0.51464991800996263</v>
      </c>
    </row>
    <row r="65" spans="2:33" x14ac:dyDescent="0.25">
      <c r="B65" s="231">
        <v>10</v>
      </c>
      <c r="C65" s="500">
        <v>1</v>
      </c>
      <c r="D65" s="501" t="s">
        <v>298</v>
      </c>
      <c r="E65" s="502" t="s">
        <v>131</v>
      </c>
      <c r="F65" s="502" t="s">
        <v>136</v>
      </c>
      <c r="G65" s="503">
        <v>2</v>
      </c>
      <c r="H65" s="502" t="s">
        <v>663</v>
      </c>
      <c r="I65" s="502" t="s">
        <v>675</v>
      </c>
      <c r="J65" s="502" t="s">
        <v>709</v>
      </c>
      <c r="K65" s="504" t="s">
        <v>664</v>
      </c>
      <c r="L65" s="502" t="s">
        <v>122</v>
      </c>
      <c r="M65" s="504" t="s">
        <v>264</v>
      </c>
      <c r="N65" s="505">
        <v>98</v>
      </c>
      <c r="O65" s="505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08">
        <v>419.5</v>
      </c>
      <c r="U65" s="557">
        <f t="shared" si="2"/>
        <v>105.71399999999998</v>
      </c>
      <c r="V65" s="565">
        <v>4988.5200000000004</v>
      </c>
      <c r="W65" s="564">
        <v>249.42600000000002</v>
      </c>
      <c r="X65" s="564">
        <v>49.885200000000005</v>
      </c>
      <c r="Y65" s="519">
        <v>199.54080000000002</v>
      </c>
      <c r="Z65" s="569">
        <f>(Y65-U65)/Y65</f>
        <v>0.47021361044959237</v>
      </c>
      <c r="AA65" s="409">
        <v>74.7</v>
      </c>
      <c r="AB65" s="557">
        <f t="shared" si="0"/>
        <v>18.824399999999997</v>
      </c>
      <c r="AC65" s="565">
        <v>969.63</v>
      </c>
      <c r="AD65" s="564">
        <v>48.481499999999997</v>
      </c>
      <c r="AE65" s="564">
        <v>9.6963000000000008</v>
      </c>
      <c r="AF65" s="519">
        <v>38.785199999999996</v>
      </c>
      <c r="AG65" s="569">
        <f>(AF65-AB65)/AF65</f>
        <v>0.51464991800996263</v>
      </c>
    </row>
    <row r="66" spans="2:33" x14ac:dyDescent="0.25">
      <c r="B66" s="231">
        <v>11</v>
      </c>
      <c r="C66" s="500">
        <v>1</v>
      </c>
      <c r="D66" s="501" t="s">
        <v>298</v>
      </c>
      <c r="E66" s="502" t="s">
        <v>131</v>
      </c>
      <c r="F66" s="502" t="s">
        <v>136</v>
      </c>
      <c r="G66" s="503">
        <v>2</v>
      </c>
      <c r="H66" s="502" t="s">
        <v>663</v>
      </c>
      <c r="I66" s="502" t="s">
        <v>676</v>
      </c>
      <c r="J66" s="502" t="s">
        <v>709</v>
      </c>
      <c r="K66" s="504" t="s">
        <v>664</v>
      </c>
      <c r="L66" s="502" t="s">
        <v>122</v>
      </c>
      <c r="M66" s="504" t="s">
        <v>264</v>
      </c>
      <c r="N66" s="505">
        <v>98</v>
      </c>
      <c r="O66" s="505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08">
        <v>449.1</v>
      </c>
      <c r="U66" s="557">
        <f t="shared" si="2"/>
        <v>113.17319999999999</v>
      </c>
      <c r="V66" s="565">
        <v>5205.22</v>
      </c>
      <c r="W66" s="564">
        <v>260.26100000000002</v>
      </c>
      <c r="X66" s="564">
        <v>52.052200000000006</v>
      </c>
      <c r="Y66" s="519">
        <v>208.20880000000002</v>
      </c>
      <c r="Z66" s="569">
        <f>(Y66-U66)/Y66</f>
        <v>0.45644372380033899</v>
      </c>
      <c r="AA66" s="409">
        <v>74.7</v>
      </c>
      <c r="AB66" s="557">
        <f t="shared" si="0"/>
        <v>18.824399999999997</v>
      </c>
      <c r="AC66" s="565">
        <v>969.63</v>
      </c>
      <c r="AD66" s="564">
        <v>48.481499999999997</v>
      </c>
      <c r="AE66" s="564">
        <v>9.6963000000000008</v>
      </c>
      <c r="AF66" s="519">
        <v>38.785199999999996</v>
      </c>
      <c r="AG66" s="569">
        <f>(AF66-AB66)/AF66</f>
        <v>0.51464991800996263</v>
      </c>
    </row>
    <row r="67" spans="2:33" x14ac:dyDescent="0.25">
      <c r="B67" s="231">
        <v>12</v>
      </c>
      <c r="C67" s="500">
        <v>1</v>
      </c>
      <c r="D67" s="501" t="s">
        <v>298</v>
      </c>
      <c r="E67" s="502" t="s">
        <v>131</v>
      </c>
      <c r="F67" s="502" t="s">
        <v>136</v>
      </c>
      <c r="G67" s="503">
        <v>2</v>
      </c>
      <c r="H67" s="502" t="s">
        <v>663</v>
      </c>
      <c r="I67" s="502" t="s">
        <v>677</v>
      </c>
      <c r="J67" s="502" t="s">
        <v>709</v>
      </c>
      <c r="K67" s="504" t="s">
        <v>664</v>
      </c>
      <c r="L67" s="502" t="s">
        <v>122</v>
      </c>
      <c r="M67" s="504" t="s">
        <v>264</v>
      </c>
      <c r="N67" s="505">
        <v>98</v>
      </c>
      <c r="O67" s="505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08">
        <v>547.4</v>
      </c>
      <c r="U67" s="557">
        <f t="shared" si="2"/>
        <v>137.94479999999996</v>
      </c>
      <c r="V67" s="565">
        <v>5337.75</v>
      </c>
      <c r="W67" s="564">
        <v>266.88749999999999</v>
      </c>
      <c r="X67" s="564">
        <v>53.377499999999998</v>
      </c>
      <c r="Y67" s="519">
        <v>213.51</v>
      </c>
      <c r="Z67" s="569">
        <f>(Y67-U67)/Y67</f>
        <v>0.35391878600533949</v>
      </c>
      <c r="AA67" s="409">
        <v>74.7</v>
      </c>
      <c r="AB67" s="557">
        <f t="shared" si="0"/>
        <v>18.824399999999997</v>
      </c>
      <c r="AC67" s="565">
        <v>969.63</v>
      </c>
      <c r="AD67" s="564">
        <v>48.481499999999997</v>
      </c>
      <c r="AE67" s="564">
        <v>9.6963000000000008</v>
      </c>
      <c r="AF67" s="519">
        <v>38.785199999999996</v>
      </c>
      <c r="AG67" s="569">
        <f>(AF67-AB67)/AF67</f>
        <v>0.51464991800996263</v>
      </c>
    </row>
    <row r="68" spans="2:33" x14ac:dyDescent="0.25">
      <c r="B68" s="231">
        <v>13</v>
      </c>
      <c r="C68" s="544">
        <v>1</v>
      </c>
      <c r="D68" s="545" t="s">
        <v>298</v>
      </c>
      <c r="E68" s="546" t="s">
        <v>131</v>
      </c>
      <c r="F68" s="546" t="s">
        <v>136</v>
      </c>
      <c r="G68" s="547">
        <v>2</v>
      </c>
      <c r="H68" s="546" t="s">
        <v>187</v>
      </c>
      <c r="I68" s="546" t="s">
        <v>321</v>
      </c>
      <c r="J68" s="546" t="s">
        <v>709</v>
      </c>
      <c r="K68" s="548" t="s">
        <v>664</v>
      </c>
      <c r="L68" s="546" t="s">
        <v>122</v>
      </c>
      <c r="M68" s="548" t="s">
        <v>264</v>
      </c>
      <c r="N68" s="549">
        <v>124</v>
      </c>
      <c r="O68" s="549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08">
        <v>314.65000000000003</v>
      </c>
      <c r="U68" s="557">
        <f t="shared" si="2"/>
        <v>79.291800000000009</v>
      </c>
      <c r="V68" s="565"/>
      <c r="W68" s="565"/>
      <c r="X68" s="564"/>
      <c r="Y68" s="519"/>
      <c r="Z68" s="519"/>
      <c r="AA68" s="409">
        <v>92.7</v>
      </c>
      <c r="AB68" s="557">
        <f t="shared" si="0"/>
        <v>23.360399999999998</v>
      </c>
      <c r="AC68" s="565"/>
      <c r="AD68" s="565"/>
      <c r="AE68" s="564"/>
      <c r="AF68" s="519"/>
      <c r="AG68" s="519"/>
    </row>
    <row r="69" spans="2:33" x14ac:dyDescent="0.25">
      <c r="B69" s="231">
        <v>14</v>
      </c>
      <c r="C69" s="538">
        <v>1</v>
      </c>
      <c r="D69" s="539" t="s">
        <v>298</v>
      </c>
      <c r="E69" s="540" t="s">
        <v>131</v>
      </c>
      <c r="F69" s="540" t="s">
        <v>136</v>
      </c>
      <c r="G69" s="541">
        <v>2</v>
      </c>
      <c r="H69" s="540" t="s">
        <v>691</v>
      </c>
      <c r="I69" s="540" t="s">
        <v>321</v>
      </c>
      <c r="J69" s="540" t="s">
        <v>709</v>
      </c>
      <c r="K69" s="542" t="s">
        <v>664</v>
      </c>
      <c r="L69" s="540" t="s">
        <v>122</v>
      </c>
      <c r="M69" s="542" t="s">
        <v>264</v>
      </c>
      <c r="N69" s="543">
        <v>124</v>
      </c>
      <c r="O69" s="543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08">
        <v>635.1</v>
      </c>
      <c r="U69" s="557">
        <f t="shared" si="2"/>
        <v>160.04519999999997</v>
      </c>
      <c r="V69" s="565"/>
      <c r="W69" s="565"/>
      <c r="X69" s="564"/>
      <c r="Y69" s="519"/>
      <c r="Z69" s="570">
        <f>AVERAGE(Z70:Z73)</f>
        <v>0.41299272687270872</v>
      </c>
      <c r="AA69" s="409">
        <v>92.7</v>
      </c>
      <c r="AB69" s="557">
        <f t="shared" si="0"/>
        <v>23.360399999999998</v>
      </c>
      <c r="AC69" s="565"/>
      <c r="AD69" s="565"/>
      <c r="AE69" s="564"/>
      <c r="AF69" s="519"/>
      <c r="AG69" s="570">
        <f>AVERAGE(AG70:AG73)</f>
        <v>0.45357834560577848</v>
      </c>
    </row>
    <row r="70" spans="2:33" x14ac:dyDescent="0.25">
      <c r="B70" s="231">
        <v>15</v>
      </c>
      <c r="C70" s="500">
        <v>1</v>
      </c>
      <c r="D70" s="501" t="s">
        <v>298</v>
      </c>
      <c r="E70" s="502" t="s">
        <v>131</v>
      </c>
      <c r="F70" s="502" t="s">
        <v>136</v>
      </c>
      <c r="G70" s="503">
        <v>2</v>
      </c>
      <c r="H70" s="502" t="s">
        <v>663</v>
      </c>
      <c r="I70" s="502" t="s">
        <v>674</v>
      </c>
      <c r="J70" s="502" t="s">
        <v>709</v>
      </c>
      <c r="K70" s="504" t="s">
        <v>664</v>
      </c>
      <c r="L70" s="502" t="s">
        <v>122</v>
      </c>
      <c r="M70" s="504" t="s">
        <v>264</v>
      </c>
      <c r="N70" s="505">
        <v>124</v>
      </c>
      <c r="O70" s="505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08">
        <v>374.15000000000003</v>
      </c>
      <c r="U70" s="557">
        <f t="shared" si="2"/>
        <v>94.285799999999995</v>
      </c>
      <c r="V70" s="565">
        <v>4127.3</v>
      </c>
      <c r="W70" s="564">
        <v>206.36500000000001</v>
      </c>
      <c r="X70" s="564">
        <v>41.273000000000003</v>
      </c>
      <c r="Y70" s="519">
        <v>165.09200000000001</v>
      </c>
      <c r="Z70" s="569">
        <f>(Y70-U70)/Y70</f>
        <v>0.42888934654616828</v>
      </c>
      <c r="AA70" s="409">
        <v>92.7</v>
      </c>
      <c r="AB70" s="557">
        <f t="shared" si="0"/>
        <v>23.360399999999998</v>
      </c>
      <c r="AC70" s="565">
        <v>1068.79</v>
      </c>
      <c r="AD70" s="564">
        <v>53.439499999999995</v>
      </c>
      <c r="AE70" s="564">
        <v>10.687899999999999</v>
      </c>
      <c r="AF70" s="519">
        <v>42.751599999999996</v>
      </c>
      <c r="AG70" s="569">
        <f>(AF70-AB70)/AF70</f>
        <v>0.45357834560577848</v>
      </c>
    </row>
    <row r="71" spans="2:33" x14ac:dyDescent="0.25">
      <c r="B71" s="231">
        <v>16</v>
      </c>
      <c r="C71" s="500">
        <v>1</v>
      </c>
      <c r="D71" s="501" t="s">
        <v>298</v>
      </c>
      <c r="E71" s="502" t="s">
        <v>131</v>
      </c>
      <c r="F71" s="502" t="s">
        <v>136</v>
      </c>
      <c r="G71" s="503">
        <v>2</v>
      </c>
      <c r="H71" s="502" t="s">
        <v>663</v>
      </c>
      <c r="I71" s="502" t="s">
        <v>675</v>
      </c>
      <c r="J71" s="502" t="s">
        <v>709</v>
      </c>
      <c r="K71" s="504" t="s">
        <v>664</v>
      </c>
      <c r="L71" s="502" t="s">
        <v>122</v>
      </c>
      <c r="M71" s="504" t="s">
        <v>264</v>
      </c>
      <c r="N71" s="505">
        <v>124</v>
      </c>
      <c r="O71" s="505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08">
        <v>519.5</v>
      </c>
      <c r="U71" s="557">
        <f t="shared" si="2"/>
        <v>130.91399999999999</v>
      </c>
      <c r="V71" s="565">
        <v>5979.96</v>
      </c>
      <c r="W71" s="564">
        <v>298.99799999999999</v>
      </c>
      <c r="X71" s="564">
        <v>59.799599999999998</v>
      </c>
      <c r="Y71" s="519">
        <v>239.19839999999999</v>
      </c>
      <c r="Z71" s="569">
        <f>(Y71-U71)/Y71</f>
        <v>0.45269700800674256</v>
      </c>
      <c r="AA71" s="409">
        <v>92.7</v>
      </c>
      <c r="AB71" s="557">
        <f t="shared" si="0"/>
        <v>23.360399999999998</v>
      </c>
      <c r="AC71" s="565">
        <v>1068.79</v>
      </c>
      <c r="AD71" s="564">
        <v>53.439499999999995</v>
      </c>
      <c r="AE71" s="564">
        <v>10.687899999999999</v>
      </c>
      <c r="AF71" s="519">
        <v>42.751599999999996</v>
      </c>
      <c r="AG71" s="569">
        <f>(AF71-AB71)/AF71</f>
        <v>0.45357834560577848</v>
      </c>
    </row>
    <row r="72" spans="2:33" x14ac:dyDescent="0.25">
      <c r="B72" s="231">
        <v>17</v>
      </c>
      <c r="C72" s="500">
        <v>1</v>
      </c>
      <c r="D72" s="501" t="s">
        <v>298</v>
      </c>
      <c r="E72" s="502" t="s">
        <v>131</v>
      </c>
      <c r="F72" s="502" t="s">
        <v>136</v>
      </c>
      <c r="G72" s="503">
        <v>2</v>
      </c>
      <c r="H72" s="502" t="s">
        <v>663</v>
      </c>
      <c r="I72" s="502" t="s">
        <v>676</v>
      </c>
      <c r="J72" s="502" t="s">
        <v>709</v>
      </c>
      <c r="K72" s="504" t="s">
        <v>664</v>
      </c>
      <c r="L72" s="502" t="s">
        <v>122</v>
      </c>
      <c r="M72" s="504" t="s">
        <v>264</v>
      </c>
      <c r="N72" s="505">
        <v>124</v>
      </c>
      <c r="O72" s="505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08">
        <v>556.05000000000007</v>
      </c>
      <c r="U72" s="557">
        <f t="shared" si="2"/>
        <v>140.12459999999999</v>
      </c>
      <c r="V72" s="565">
        <v>6235.34</v>
      </c>
      <c r="W72" s="564">
        <v>311.767</v>
      </c>
      <c r="X72" s="564">
        <v>62.353400000000001</v>
      </c>
      <c r="Y72" s="519">
        <v>249.4136</v>
      </c>
      <c r="Z72" s="569">
        <f>(Y72-U72)/Y72</f>
        <v>0.43818380393049944</v>
      </c>
      <c r="AA72" s="409">
        <v>92.7</v>
      </c>
      <c r="AB72" s="557">
        <f t="shared" ref="AB72:AB103" si="3">AA72*0.7*0.6*0.6</f>
        <v>23.360399999999998</v>
      </c>
      <c r="AC72" s="565">
        <v>1068.79</v>
      </c>
      <c r="AD72" s="564">
        <v>53.439499999999995</v>
      </c>
      <c r="AE72" s="564">
        <v>10.687899999999999</v>
      </c>
      <c r="AF72" s="519">
        <v>42.751599999999996</v>
      </c>
      <c r="AG72" s="569">
        <f>(AF72-AB72)/AF72</f>
        <v>0.45357834560577848</v>
      </c>
    </row>
    <row r="73" spans="2:33" x14ac:dyDescent="0.25">
      <c r="B73" s="231">
        <v>18</v>
      </c>
      <c r="C73" s="500">
        <v>1</v>
      </c>
      <c r="D73" s="501" t="s">
        <v>298</v>
      </c>
      <c r="E73" s="502" t="s">
        <v>131</v>
      </c>
      <c r="F73" s="502" t="s">
        <v>136</v>
      </c>
      <c r="G73" s="503">
        <v>2</v>
      </c>
      <c r="H73" s="502" t="s">
        <v>663</v>
      </c>
      <c r="I73" s="502" t="s">
        <v>677</v>
      </c>
      <c r="J73" s="502" t="s">
        <v>709</v>
      </c>
      <c r="K73" s="504" t="s">
        <v>664</v>
      </c>
      <c r="L73" s="502" t="s">
        <v>122</v>
      </c>
      <c r="M73" s="504" t="s">
        <v>264</v>
      </c>
      <c r="N73" s="505">
        <v>124</v>
      </c>
      <c r="O73" s="505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08">
        <v>677.6</v>
      </c>
      <c r="U73" s="557">
        <f t="shared" si="2"/>
        <v>170.75519999999997</v>
      </c>
      <c r="V73" s="565">
        <v>6392.46</v>
      </c>
      <c r="W73" s="564">
        <v>319.62299999999999</v>
      </c>
      <c r="X73" s="564">
        <v>63.924599999999998</v>
      </c>
      <c r="Y73" s="519">
        <v>255.69839999999999</v>
      </c>
      <c r="Z73" s="569">
        <f>(Y73-U73)/Y73</f>
        <v>0.33220074900742447</v>
      </c>
      <c r="AA73" s="409">
        <v>92.7</v>
      </c>
      <c r="AB73" s="557">
        <f t="shared" si="3"/>
        <v>23.360399999999998</v>
      </c>
      <c r="AC73" s="565">
        <v>1068.79</v>
      </c>
      <c r="AD73" s="564">
        <v>53.439499999999995</v>
      </c>
      <c r="AE73" s="564">
        <v>10.687899999999999</v>
      </c>
      <c r="AF73" s="519">
        <v>42.751599999999996</v>
      </c>
      <c r="AG73" s="569">
        <f>(AF73-AB73)/AF73</f>
        <v>0.45357834560577848</v>
      </c>
    </row>
    <row r="74" spans="2:33" x14ac:dyDescent="0.25">
      <c r="B74" s="231">
        <v>19</v>
      </c>
      <c r="C74" s="544">
        <v>1</v>
      </c>
      <c r="D74" s="545" t="s">
        <v>298</v>
      </c>
      <c r="E74" s="546" t="s">
        <v>131</v>
      </c>
      <c r="F74" s="546" t="s">
        <v>136</v>
      </c>
      <c r="G74" s="547">
        <v>2</v>
      </c>
      <c r="H74" s="546" t="s">
        <v>187</v>
      </c>
      <c r="I74" s="546" t="s">
        <v>321</v>
      </c>
      <c r="J74" s="546" t="s">
        <v>709</v>
      </c>
      <c r="K74" s="548" t="s">
        <v>664</v>
      </c>
      <c r="L74" s="546" t="s">
        <v>122</v>
      </c>
      <c r="M74" s="548" t="s">
        <v>264</v>
      </c>
      <c r="N74" s="549">
        <v>150</v>
      </c>
      <c r="O74" s="549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08">
        <v>379</v>
      </c>
      <c r="U74" s="557">
        <f t="shared" si="2"/>
        <v>95.507999999999996</v>
      </c>
      <c r="V74" s="565"/>
      <c r="W74" s="565"/>
      <c r="X74" s="564"/>
      <c r="Y74" s="519"/>
      <c r="Z74" s="519"/>
      <c r="AA74" s="409">
        <v>110.7</v>
      </c>
      <c r="AB74" s="557">
        <f t="shared" si="3"/>
        <v>27.896399999999996</v>
      </c>
      <c r="AC74" s="565"/>
      <c r="AD74" s="565"/>
      <c r="AE74" s="564"/>
      <c r="AF74" s="519"/>
      <c r="AG74" s="519"/>
    </row>
    <row r="75" spans="2:33" x14ac:dyDescent="0.25">
      <c r="B75" s="231">
        <v>20</v>
      </c>
      <c r="C75" s="538">
        <v>1</v>
      </c>
      <c r="D75" s="539" t="s">
        <v>298</v>
      </c>
      <c r="E75" s="540" t="s">
        <v>131</v>
      </c>
      <c r="F75" s="540" t="s">
        <v>136</v>
      </c>
      <c r="G75" s="541">
        <v>2</v>
      </c>
      <c r="H75" s="540" t="s">
        <v>691</v>
      </c>
      <c r="I75" s="540" t="s">
        <v>321</v>
      </c>
      <c r="J75" s="540" t="s">
        <v>709</v>
      </c>
      <c r="K75" s="542" t="s">
        <v>664</v>
      </c>
      <c r="L75" s="540" t="s">
        <v>122</v>
      </c>
      <c r="M75" s="542" t="s">
        <v>264</v>
      </c>
      <c r="N75" s="543">
        <v>150</v>
      </c>
      <c r="O75" s="543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08">
        <v>765.40000000000009</v>
      </c>
      <c r="U75" s="557">
        <f t="shared" si="2"/>
        <v>192.88079999999999</v>
      </c>
      <c r="V75" s="565"/>
      <c r="W75" s="565"/>
      <c r="X75" s="564"/>
      <c r="Y75" s="519"/>
      <c r="Z75" s="570">
        <f>AVERAGE(Z76:Z79)</f>
        <v>0.39717230710724089</v>
      </c>
      <c r="AA75" s="409">
        <v>110.7</v>
      </c>
      <c r="AB75" s="557">
        <f t="shared" si="3"/>
        <v>27.896399999999996</v>
      </c>
      <c r="AC75" s="565"/>
      <c r="AD75" s="565"/>
      <c r="AE75" s="564"/>
      <c r="AF75" s="519"/>
      <c r="AG75" s="570">
        <f>AVERAGE(AG76:AG79)</f>
        <v>0.42523838172393047</v>
      </c>
    </row>
    <row r="76" spans="2:33" x14ac:dyDescent="0.25">
      <c r="B76" s="231">
        <v>21</v>
      </c>
      <c r="C76" s="500">
        <v>1</v>
      </c>
      <c r="D76" s="501" t="s">
        <v>298</v>
      </c>
      <c r="E76" s="502" t="s">
        <v>131</v>
      </c>
      <c r="F76" s="502" t="s">
        <v>136</v>
      </c>
      <c r="G76" s="503">
        <v>2</v>
      </c>
      <c r="H76" s="502" t="s">
        <v>663</v>
      </c>
      <c r="I76" s="502" t="s">
        <v>674</v>
      </c>
      <c r="J76" s="502" t="s">
        <v>709</v>
      </c>
      <c r="K76" s="504" t="s">
        <v>664</v>
      </c>
      <c r="L76" s="502" t="s">
        <v>122</v>
      </c>
      <c r="M76" s="504" t="s">
        <v>264</v>
      </c>
      <c r="N76" s="505">
        <v>150</v>
      </c>
      <c r="O76" s="505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08">
        <v>450.75</v>
      </c>
      <c r="U76" s="557">
        <f t="shared" si="2"/>
        <v>113.58899999999998</v>
      </c>
      <c r="V76" s="565">
        <v>4847.28</v>
      </c>
      <c r="W76" s="564">
        <v>242.36399999999998</v>
      </c>
      <c r="X76" s="564">
        <v>48.472799999999999</v>
      </c>
      <c r="Y76" s="519">
        <v>193.89119999999997</v>
      </c>
      <c r="Z76" s="569">
        <f>(Y76-U76)/Y76</f>
        <v>0.4141611377927415</v>
      </c>
      <c r="AA76" s="409">
        <v>110.7</v>
      </c>
      <c r="AB76" s="557">
        <f t="shared" si="3"/>
        <v>27.896399999999996</v>
      </c>
      <c r="AC76" s="565">
        <v>1213.3899999999999</v>
      </c>
      <c r="AD76" s="564">
        <v>60.669499999999992</v>
      </c>
      <c r="AE76" s="564">
        <v>12.133899999999999</v>
      </c>
      <c r="AF76" s="519">
        <v>48.535599999999995</v>
      </c>
      <c r="AG76" s="569">
        <f>(AF76-AB76)/AF76</f>
        <v>0.42523838172393047</v>
      </c>
    </row>
    <row r="77" spans="2:33" x14ac:dyDescent="0.25">
      <c r="B77" s="231">
        <v>22</v>
      </c>
      <c r="C77" s="500">
        <v>1</v>
      </c>
      <c r="D77" s="501" t="s">
        <v>298</v>
      </c>
      <c r="E77" s="502" t="s">
        <v>131</v>
      </c>
      <c r="F77" s="502" t="s">
        <v>136</v>
      </c>
      <c r="G77" s="503">
        <v>2</v>
      </c>
      <c r="H77" s="502" t="s">
        <v>663</v>
      </c>
      <c r="I77" s="502" t="s">
        <v>675</v>
      </c>
      <c r="J77" s="502" t="s">
        <v>709</v>
      </c>
      <c r="K77" s="504" t="s">
        <v>664</v>
      </c>
      <c r="L77" s="502" t="s">
        <v>122</v>
      </c>
      <c r="M77" s="504" t="s">
        <v>264</v>
      </c>
      <c r="N77" s="505">
        <v>150</v>
      </c>
      <c r="O77" s="505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08">
        <v>626</v>
      </c>
      <c r="U77" s="557">
        <f t="shared" si="2"/>
        <v>157.75199999999998</v>
      </c>
      <c r="V77" s="565">
        <v>7028.64</v>
      </c>
      <c r="W77" s="564">
        <v>351.43200000000002</v>
      </c>
      <c r="X77" s="564">
        <v>70.2864</v>
      </c>
      <c r="Y77" s="519">
        <v>281.1456</v>
      </c>
      <c r="Z77" s="569">
        <f>(Y77-U77)/Y77</f>
        <v>0.43889571809055528</v>
      </c>
      <c r="AA77" s="409">
        <v>110.7</v>
      </c>
      <c r="AB77" s="557">
        <f t="shared" si="3"/>
        <v>27.896399999999996</v>
      </c>
      <c r="AC77" s="565">
        <v>1213.3899999999999</v>
      </c>
      <c r="AD77" s="564">
        <v>60.669499999999992</v>
      </c>
      <c r="AE77" s="564">
        <v>12.133899999999999</v>
      </c>
      <c r="AF77" s="519">
        <v>48.535599999999995</v>
      </c>
      <c r="AG77" s="569">
        <f>(AF77-AB77)/AF77</f>
        <v>0.42523838172393047</v>
      </c>
    </row>
    <row r="78" spans="2:33" x14ac:dyDescent="0.25">
      <c r="B78" s="231">
        <v>23</v>
      </c>
      <c r="C78" s="500">
        <v>1</v>
      </c>
      <c r="D78" s="501" t="s">
        <v>298</v>
      </c>
      <c r="E78" s="502" t="s">
        <v>131</v>
      </c>
      <c r="F78" s="502" t="s">
        <v>136</v>
      </c>
      <c r="G78" s="503">
        <v>2</v>
      </c>
      <c r="H78" s="502" t="s">
        <v>663</v>
      </c>
      <c r="I78" s="502" t="s">
        <v>676</v>
      </c>
      <c r="J78" s="502" t="s">
        <v>709</v>
      </c>
      <c r="K78" s="504" t="s">
        <v>664</v>
      </c>
      <c r="L78" s="502" t="s">
        <v>122</v>
      </c>
      <c r="M78" s="504" t="s">
        <v>264</v>
      </c>
      <c r="N78" s="505">
        <v>150</v>
      </c>
      <c r="O78" s="505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08">
        <v>670.1</v>
      </c>
      <c r="U78" s="557">
        <f t="shared" si="2"/>
        <v>168.86519999999999</v>
      </c>
      <c r="V78" s="565">
        <v>7306.44</v>
      </c>
      <c r="W78" s="564">
        <v>365.322</v>
      </c>
      <c r="X78" s="564">
        <v>73.064400000000006</v>
      </c>
      <c r="Y78" s="519">
        <v>292.25760000000002</v>
      </c>
      <c r="Z78" s="569">
        <f>(Y78-U78)/Y78</f>
        <v>0.42220424721204863</v>
      </c>
      <c r="AA78" s="409">
        <v>110.7</v>
      </c>
      <c r="AB78" s="557">
        <f t="shared" si="3"/>
        <v>27.896399999999996</v>
      </c>
      <c r="AC78" s="565">
        <v>1213.3899999999999</v>
      </c>
      <c r="AD78" s="564">
        <v>60.669499999999992</v>
      </c>
      <c r="AE78" s="564">
        <v>12.133899999999999</v>
      </c>
      <c r="AF78" s="519">
        <v>48.535599999999995</v>
      </c>
      <c r="AG78" s="569">
        <f>(AF78-AB78)/AF78</f>
        <v>0.42523838172393047</v>
      </c>
    </row>
    <row r="79" spans="2:33" x14ac:dyDescent="0.25">
      <c r="B79" s="231">
        <v>24</v>
      </c>
      <c r="C79" s="500">
        <v>1</v>
      </c>
      <c r="D79" s="501" t="s">
        <v>298</v>
      </c>
      <c r="E79" s="502" t="s">
        <v>131</v>
      </c>
      <c r="F79" s="502" t="s">
        <v>136</v>
      </c>
      <c r="G79" s="503">
        <v>2</v>
      </c>
      <c r="H79" s="502" t="s">
        <v>663</v>
      </c>
      <c r="I79" s="502" t="s">
        <v>677</v>
      </c>
      <c r="J79" s="502" t="s">
        <v>709</v>
      </c>
      <c r="K79" s="504" t="s">
        <v>664</v>
      </c>
      <c r="L79" s="502" t="s">
        <v>122</v>
      </c>
      <c r="M79" s="504" t="s">
        <v>264</v>
      </c>
      <c r="N79" s="505">
        <v>150</v>
      </c>
      <c r="O79" s="505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08">
        <v>816.65000000000009</v>
      </c>
      <c r="U79" s="557">
        <f t="shared" si="2"/>
        <v>205.79579999999999</v>
      </c>
      <c r="V79" s="565">
        <v>7493.6</v>
      </c>
      <c r="W79" s="564">
        <v>374.68</v>
      </c>
      <c r="X79" s="564">
        <v>74.936000000000007</v>
      </c>
      <c r="Y79" s="519">
        <v>299.74400000000003</v>
      </c>
      <c r="Z79" s="569">
        <f>(Y79-U79)/Y79</f>
        <v>0.31342812533361813</v>
      </c>
      <c r="AA79" s="409">
        <v>110.7</v>
      </c>
      <c r="AB79" s="557">
        <f t="shared" si="3"/>
        <v>27.896399999999996</v>
      </c>
      <c r="AC79" s="565">
        <v>1213.3899999999999</v>
      </c>
      <c r="AD79" s="564">
        <v>60.669499999999992</v>
      </c>
      <c r="AE79" s="564">
        <v>12.133899999999999</v>
      </c>
      <c r="AF79" s="519">
        <v>48.535599999999995</v>
      </c>
      <c r="AG79" s="569">
        <f>(AF79-AB79)/AF79</f>
        <v>0.42523838172393047</v>
      </c>
    </row>
    <row r="80" spans="2:33" x14ac:dyDescent="0.25">
      <c r="B80" s="231">
        <v>25</v>
      </c>
      <c r="C80" s="550">
        <v>1</v>
      </c>
      <c r="D80" s="551" t="s">
        <v>298</v>
      </c>
      <c r="E80" s="552" t="s">
        <v>131</v>
      </c>
      <c r="F80" s="552" t="s">
        <v>116</v>
      </c>
      <c r="G80" s="553">
        <v>2</v>
      </c>
      <c r="H80" s="552" t="s">
        <v>187</v>
      </c>
      <c r="I80" s="552" t="s">
        <v>323</v>
      </c>
      <c r="J80" s="552" t="s">
        <v>709</v>
      </c>
      <c r="K80" s="554" t="s">
        <v>665</v>
      </c>
      <c r="L80" s="552" t="s">
        <v>122</v>
      </c>
      <c r="M80" s="554" t="s">
        <v>264</v>
      </c>
      <c r="N80" s="555">
        <v>72</v>
      </c>
      <c r="O80" s="555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08">
        <v>122.9</v>
      </c>
      <c r="U80" s="557">
        <f t="shared" si="2"/>
        <v>30.970800000000001</v>
      </c>
      <c r="V80" s="565"/>
      <c r="W80" s="565"/>
      <c r="X80" s="564"/>
      <c r="Y80" s="519"/>
      <c r="Z80" s="631">
        <f>AVERAGE(Z82:Z85,Z88:Z91,Z94:Z97,Z100:Z103)</f>
        <v>0.41042536550038256</v>
      </c>
      <c r="AA80" s="409">
        <v>56.650000000000006</v>
      </c>
      <c r="AB80" s="557">
        <f t="shared" si="3"/>
        <v>14.275799999999998</v>
      </c>
      <c r="AC80" s="565"/>
      <c r="AD80" s="565"/>
      <c r="AE80" s="564"/>
      <c r="AF80" s="519"/>
      <c r="AG80" s="631">
        <f>AVERAGE(AG82:AG85,AG88:AG91,AG94:AG97,AG100:AG103)</f>
        <v>0.49423306267942457</v>
      </c>
    </row>
    <row r="81" spans="2:33" x14ac:dyDescent="0.25">
      <c r="B81" s="231">
        <v>26</v>
      </c>
      <c r="C81" s="506">
        <v>1</v>
      </c>
      <c r="D81" s="507" t="s">
        <v>298</v>
      </c>
      <c r="E81" s="508" t="s">
        <v>131</v>
      </c>
      <c r="F81" s="508" t="s">
        <v>116</v>
      </c>
      <c r="G81" s="509">
        <v>2</v>
      </c>
      <c r="H81" s="508" t="s">
        <v>691</v>
      </c>
      <c r="I81" s="508" t="s">
        <v>323</v>
      </c>
      <c r="J81" s="508" t="s">
        <v>709</v>
      </c>
      <c r="K81" s="510" t="s">
        <v>665</v>
      </c>
      <c r="L81" s="508" t="s">
        <v>122</v>
      </c>
      <c r="M81" s="510" t="s">
        <v>264</v>
      </c>
      <c r="N81" s="511">
        <v>72</v>
      </c>
      <c r="O81" s="511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08">
        <v>221.15</v>
      </c>
      <c r="U81" s="557">
        <f t="shared" si="2"/>
        <v>55.729799999999997</v>
      </c>
      <c r="V81" s="567">
        <v>3251.56</v>
      </c>
      <c r="W81" s="567" t="s">
        <v>698</v>
      </c>
      <c r="X81" s="565"/>
      <c r="Y81" s="519"/>
      <c r="Z81" s="570">
        <f>AVERAGE(Z82:Z85)</f>
        <v>0.43847829266145277</v>
      </c>
      <c r="AA81" s="409">
        <v>56.650000000000006</v>
      </c>
      <c r="AB81" s="557">
        <f t="shared" si="3"/>
        <v>14.275799999999998</v>
      </c>
      <c r="AC81" s="565"/>
      <c r="AD81" s="565"/>
      <c r="AE81" s="564"/>
      <c r="AF81" s="519"/>
      <c r="AG81" s="570">
        <f>AVERAGE(AG82:AG85)</f>
        <v>0.58346560537802583</v>
      </c>
    </row>
    <row r="82" spans="2:33" x14ac:dyDescent="0.25">
      <c r="B82" s="231">
        <v>27</v>
      </c>
      <c r="C82" s="512">
        <v>1</v>
      </c>
      <c r="D82" s="513" t="s">
        <v>298</v>
      </c>
      <c r="E82" s="514" t="s">
        <v>131</v>
      </c>
      <c r="F82" s="514" t="s">
        <v>116</v>
      </c>
      <c r="G82" s="515">
        <v>2</v>
      </c>
      <c r="H82" s="514" t="s">
        <v>663</v>
      </c>
      <c r="I82" s="514" t="s">
        <v>681</v>
      </c>
      <c r="J82" s="514" t="s">
        <v>709</v>
      </c>
      <c r="K82" s="516" t="s">
        <v>665</v>
      </c>
      <c r="L82" s="514" t="s">
        <v>122</v>
      </c>
      <c r="M82" s="516" t="s">
        <v>264</v>
      </c>
      <c r="N82" s="517">
        <v>72</v>
      </c>
      <c r="O82" s="517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08">
        <v>182.4</v>
      </c>
      <c r="U82" s="557">
        <f t="shared" si="2"/>
        <v>45.96479999999999</v>
      </c>
      <c r="V82" s="565">
        <v>2289.6</v>
      </c>
      <c r="W82" s="564">
        <v>114.47999999999999</v>
      </c>
      <c r="X82" s="564">
        <v>22.896000000000001</v>
      </c>
      <c r="Y82" s="519">
        <v>91.583999999999989</v>
      </c>
      <c r="Z82" s="569">
        <f>(Y82-U82)/Y82</f>
        <v>0.49811320754716987</v>
      </c>
      <c r="AA82" s="409">
        <v>56.650000000000006</v>
      </c>
      <c r="AB82" s="557">
        <f t="shared" si="3"/>
        <v>14.275799999999998</v>
      </c>
      <c r="AC82" s="565">
        <v>856.81999999999994</v>
      </c>
      <c r="AD82" s="564">
        <v>42.840999999999994</v>
      </c>
      <c r="AE82" s="564">
        <v>8.5681999999999992</v>
      </c>
      <c r="AF82" s="519">
        <v>34.272799999999997</v>
      </c>
      <c r="AG82" s="569">
        <f>(AF82-AB82)/AF82</f>
        <v>0.58346560537802583</v>
      </c>
    </row>
    <row r="83" spans="2:33" x14ac:dyDescent="0.25">
      <c r="B83" s="231">
        <v>28</v>
      </c>
      <c r="C83" s="512">
        <v>1</v>
      </c>
      <c r="D83" s="513" t="s">
        <v>298</v>
      </c>
      <c r="E83" s="514" t="s">
        <v>131</v>
      </c>
      <c r="F83" s="514" t="s">
        <v>116</v>
      </c>
      <c r="G83" s="515">
        <v>2</v>
      </c>
      <c r="H83" s="514" t="s">
        <v>663</v>
      </c>
      <c r="I83" s="514" t="s">
        <v>685</v>
      </c>
      <c r="J83" s="514" t="s">
        <v>709</v>
      </c>
      <c r="K83" s="516" t="s">
        <v>665</v>
      </c>
      <c r="L83" s="514" t="s">
        <v>122</v>
      </c>
      <c r="M83" s="516" t="s">
        <v>264</v>
      </c>
      <c r="N83" s="517">
        <v>72</v>
      </c>
      <c r="O83" s="517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08">
        <v>217.65</v>
      </c>
      <c r="U83" s="557">
        <f t="shared" si="2"/>
        <v>54.847799999999999</v>
      </c>
      <c r="V83" s="565">
        <v>2550.69</v>
      </c>
      <c r="W83" s="564">
        <v>127.53450000000001</v>
      </c>
      <c r="X83" s="564">
        <v>25.506900000000002</v>
      </c>
      <c r="Y83" s="519">
        <v>102.02760000000001</v>
      </c>
      <c r="Z83" s="569">
        <f>(Y83-U83)/Y83</f>
        <v>0.46242193288874778</v>
      </c>
      <c r="AA83" s="409">
        <v>56.650000000000006</v>
      </c>
      <c r="AB83" s="557">
        <f t="shared" si="3"/>
        <v>14.275799999999998</v>
      </c>
      <c r="AC83" s="565">
        <v>856.81999999999994</v>
      </c>
      <c r="AD83" s="564">
        <v>42.840999999999994</v>
      </c>
      <c r="AE83" s="564">
        <v>8.5681999999999992</v>
      </c>
      <c r="AF83" s="519">
        <v>34.272799999999997</v>
      </c>
      <c r="AG83" s="569">
        <f>(AF83-AB83)/AF83</f>
        <v>0.58346560537802583</v>
      </c>
    </row>
    <row r="84" spans="2:33" x14ac:dyDescent="0.25">
      <c r="B84" s="231">
        <v>29</v>
      </c>
      <c r="C84" s="512">
        <v>1</v>
      </c>
      <c r="D84" s="513" t="s">
        <v>298</v>
      </c>
      <c r="E84" s="514" t="s">
        <v>131</v>
      </c>
      <c r="F84" s="514" t="s">
        <v>116</v>
      </c>
      <c r="G84" s="515">
        <v>2</v>
      </c>
      <c r="H84" s="514" t="s">
        <v>663</v>
      </c>
      <c r="I84" s="514" t="s">
        <v>687</v>
      </c>
      <c r="J84" s="514" t="s">
        <v>709</v>
      </c>
      <c r="K84" s="516" t="s">
        <v>665</v>
      </c>
      <c r="L84" s="514" t="s">
        <v>122</v>
      </c>
      <c r="M84" s="516" t="s">
        <v>264</v>
      </c>
      <c r="N84" s="517">
        <v>72</v>
      </c>
      <c r="O84" s="517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08">
        <v>259.90000000000003</v>
      </c>
      <c r="U84" s="557">
        <f t="shared" si="2"/>
        <v>65.494799999999998</v>
      </c>
      <c r="V84" s="565">
        <v>2547.9699999999998</v>
      </c>
      <c r="W84" s="564">
        <v>127.39849999999998</v>
      </c>
      <c r="X84" s="564">
        <v>25.479699999999998</v>
      </c>
      <c r="Y84" s="519">
        <v>101.91879999999999</v>
      </c>
      <c r="Z84" s="569">
        <f>(Y84-U84)/Y84</f>
        <v>0.35738254375051509</v>
      </c>
      <c r="AA84" s="409">
        <v>56.650000000000006</v>
      </c>
      <c r="AB84" s="557">
        <f t="shared" si="3"/>
        <v>14.275799999999998</v>
      </c>
      <c r="AC84" s="565">
        <v>856.81999999999994</v>
      </c>
      <c r="AD84" s="564">
        <v>42.840999999999994</v>
      </c>
      <c r="AE84" s="564">
        <v>8.5681999999999992</v>
      </c>
      <c r="AF84" s="519">
        <v>34.272799999999997</v>
      </c>
      <c r="AG84" s="569">
        <f>(AF84-AB84)/AF84</f>
        <v>0.58346560537802583</v>
      </c>
    </row>
    <row r="85" spans="2:33" x14ac:dyDescent="0.25">
      <c r="B85" s="231">
        <v>30</v>
      </c>
      <c r="C85" s="512">
        <v>1</v>
      </c>
      <c r="D85" s="513" t="s">
        <v>298</v>
      </c>
      <c r="E85" s="514" t="s">
        <v>131</v>
      </c>
      <c r="F85" s="514" t="s">
        <v>116</v>
      </c>
      <c r="G85" s="515">
        <v>2</v>
      </c>
      <c r="H85" s="514" t="s">
        <v>663</v>
      </c>
      <c r="I85" s="514" t="s">
        <v>689</v>
      </c>
      <c r="J85" s="514" t="s">
        <v>709</v>
      </c>
      <c r="K85" s="516" t="s">
        <v>665</v>
      </c>
      <c r="L85" s="514" t="s">
        <v>122</v>
      </c>
      <c r="M85" s="516" t="s">
        <v>264</v>
      </c>
      <c r="N85" s="517">
        <v>72</v>
      </c>
      <c r="O85" s="517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08">
        <v>299.90000000000003</v>
      </c>
      <c r="U85" s="557">
        <f t="shared" si="2"/>
        <v>75.574799999999996</v>
      </c>
      <c r="V85" s="565">
        <v>3349.92</v>
      </c>
      <c r="W85" s="564">
        <v>167.49600000000001</v>
      </c>
      <c r="X85" s="564">
        <v>33.499200000000002</v>
      </c>
      <c r="Y85" s="519">
        <v>133.99680000000001</v>
      </c>
      <c r="Z85" s="569">
        <f>(Y85-U85)/Y85</f>
        <v>0.43599548645937819</v>
      </c>
      <c r="AA85" s="409">
        <v>56.650000000000006</v>
      </c>
      <c r="AB85" s="557">
        <f t="shared" si="3"/>
        <v>14.275799999999998</v>
      </c>
      <c r="AC85" s="565">
        <v>856.81999999999994</v>
      </c>
      <c r="AD85" s="564">
        <v>42.840999999999994</v>
      </c>
      <c r="AE85" s="564">
        <v>8.5681999999999992</v>
      </c>
      <c r="AF85" s="519">
        <v>34.272799999999997</v>
      </c>
      <c r="AG85" s="569">
        <f>(AF85-AB85)/AF85</f>
        <v>0.58346560537802583</v>
      </c>
    </row>
    <row r="86" spans="2:33" x14ac:dyDescent="0.25">
      <c r="B86" s="231">
        <v>31</v>
      </c>
      <c r="C86" s="550">
        <v>1</v>
      </c>
      <c r="D86" s="551" t="s">
        <v>298</v>
      </c>
      <c r="E86" s="552" t="s">
        <v>131</v>
      </c>
      <c r="F86" s="552" t="s">
        <v>116</v>
      </c>
      <c r="G86" s="553">
        <v>2</v>
      </c>
      <c r="H86" s="552" t="s">
        <v>187</v>
      </c>
      <c r="I86" s="552" t="s">
        <v>323</v>
      </c>
      <c r="J86" s="552" t="s">
        <v>709</v>
      </c>
      <c r="K86" s="554" t="s">
        <v>665</v>
      </c>
      <c r="L86" s="552" t="s">
        <v>122</v>
      </c>
      <c r="M86" s="554" t="s">
        <v>264</v>
      </c>
      <c r="N86" s="555">
        <v>98</v>
      </c>
      <c r="O86" s="555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08">
        <v>161.20000000000002</v>
      </c>
      <c r="U86" s="557">
        <f t="shared" si="2"/>
        <v>40.622399999999992</v>
      </c>
      <c r="V86" s="565"/>
      <c r="W86" s="565"/>
      <c r="X86" s="564"/>
      <c r="Y86" s="519"/>
      <c r="Z86" s="519"/>
      <c r="AA86" s="409">
        <v>74.7</v>
      </c>
      <c r="AB86" s="557">
        <f t="shared" si="3"/>
        <v>18.824399999999997</v>
      </c>
      <c r="AC86" s="565"/>
      <c r="AD86" s="565"/>
      <c r="AE86" s="564"/>
      <c r="AF86" s="519"/>
      <c r="AG86" s="519"/>
    </row>
    <row r="87" spans="2:33" x14ac:dyDescent="0.25">
      <c r="B87" s="231">
        <v>32</v>
      </c>
      <c r="C87" s="506">
        <v>1</v>
      </c>
      <c r="D87" s="507" t="s">
        <v>298</v>
      </c>
      <c r="E87" s="508" t="s">
        <v>131</v>
      </c>
      <c r="F87" s="508" t="s">
        <v>116</v>
      </c>
      <c r="G87" s="509">
        <v>2</v>
      </c>
      <c r="H87" s="508" t="s">
        <v>691</v>
      </c>
      <c r="I87" s="508" t="s">
        <v>323</v>
      </c>
      <c r="J87" s="508" t="s">
        <v>709</v>
      </c>
      <c r="K87" s="510" t="s">
        <v>665</v>
      </c>
      <c r="L87" s="508" t="s">
        <v>122</v>
      </c>
      <c r="M87" s="510" t="s">
        <v>264</v>
      </c>
      <c r="N87" s="511">
        <v>98</v>
      </c>
      <c r="O87" s="511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08">
        <v>288.95</v>
      </c>
      <c r="U87" s="557">
        <f t="shared" si="2"/>
        <v>72.815399999999983</v>
      </c>
      <c r="V87" s="567">
        <v>4056.24</v>
      </c>
      <c r="W87" s="567" t="s">
        <v>698</v>
      </c>
      <c r="X87" s="565"/>
      <c r="Y87" s="519"/>
      <c r="Z87" s="570">
        <f>AVERAGE(Z88:Z91)</f>
        <v>0.41195247288138198</v>
      </c>
      <c r="AA87" s="409">
        <v>74.7</v>
      </c>
      <c r="AB87" s="557">
        <f t="shared" si="3"/>
        <v>18.824399999999997</v>
      </c>
      <c r="AC87" s="565"/>
      <c r="AD87" s="565"/>
      <c r="AE87" s="564"/>
      <c r="AF87" s="519"/>
      <c r="AG87" s="570">
        <f>AVERAGE(AG88:AG91)</f>
        <v>0.51464991800996263</v>
      </c>
    </row>
    <row r="88" spans="2:33" x14ac:dyDescent="0.25">
      <c r="B88" s="231">
        <v>33</v>
      </c>
      <c r="C88" s="512">
        <v>1</v>
      </c>
      <c r="D88" s="513" t="s">
        <v>298</v>
      </c>
      <c r="E88" s="514" t="s">
        <v>131</v>
      </c>
      <c r="F88" s="514" t="s">
        <v>116</v>
      </c>
      <c r="G88" s="515">
        <v>2</v>
      </c>
      <c r="H88" s="514" t="s">
        <v>663</v>
      </c>
      <c r="I88" s="514" t="s">
        <v>681</v>
      </c>
      <c r="J88" s="514" t="s">
        <v>709</v>
      </c>
      <c r="K88" s="516" t="s">
        <v>665</v>
      </c>
      <c r="L88" s="514" t="s">
        <v>122</v>
      </c>
      <c r="M88" s="516" t="s">
        <v>264</v>
      </c>
      <c r="N88" s="517">
        <v>98</v>
      </c>
      <c r="O88" s="517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08">
        <v>238.55</v>
      </c>
      <c r="U88" s="557">
        <f t="shared" si="2"/>
        <v>60.114599999999989</v>
      </c>
      <c r="V88" s="565">
        <v>2854.44</v>
      </c>
      <c r="W88" s="564">
        <v>142.72200000000001</v>
      </c>
      <c r="X88" s="564">
        <v>28.544400000000003</v>
      </c>
      <c r="Y88" s="519">
        <v>114.17760000000001</v>
      </c>
      <c r="Z88" s="569">
        <f>(Y88-U88)/Y88</f>
        <v>0.4734991802244925</v>
      </c>
      <c r="AA88" s="409">
        <v>74.7</v>
      </c>
      <c r="AB88" s="557">
        <f t="shared" si="3"/>
        <v>18.824399999999997</v>
      </c>
      <c r="AC88" s="565">
        <v>969.63</v>
      </c>
      <c r="AD88" s="564">
        <v>48.481499999999997</v>
      </c>
      <c r="AE88" s="564">
        <v>9.6963000000000008</v>
      </c>
      <c r="AF88" s="519">
        <v>38.785199999999996</v>
      </c>
      <c r="AG88" s="569">
        <f>(AF88-AB88)/AF88</f>
        <v>0.51464991800996263</v>
      </c>
    </row>
    <row r="89" spans="2:33" x14ac:dyDescent="0.25">
      <c r="B89" s="231">
        <v>34</v>
      </c>
      <c r="C89" s="512">
        <v>1</v>
      </c>
      <c r="D89" s="513" t="s">
        <v>298</v>
      </c>
      <c r="E89" s="514" t="s">
        <v>131</v>
      </c>
      <c r="F89" s="514" t="s">
        <v>116</v>
      </c>
      <c r="G89" s="515">
        <v>2</v>
      </c>
      <c r="H89" s="514" t="s">
        <v>663</v>
      </c>
      <c r="I89" s="514" t="s">
        <v>685</v>
      </c>
      <c r="J89" s="514" t="s">
        <v>709</v>
      </c>
      <c r="K89" s="516" t="s">
        <v>665</v>
      </c>
      <c r="L89" s="514" t="s">
        <v>122</v>
      </c>
      <c r="M89" s="516" t="s">
        <v>264</v>
      </c>
      <c r="N89" s="517">
        <v>98</v>
      </c>
      <c r="O89" s="517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08">
        <v>284.40000000000003</v>
      </c>
      <c r="U89" s="557">
        <f t="shared" si="2"/>
        <v>71.668800000000005</v>
      </c>
      <c r="V89" s="565">
        <v>3180.51</v>
      </c>
      <c r="W89" s="564">
        <v>159.02550000000002</v>
      </c>
      <c r="X89" s="564">
        <v>31.805100000000007</v>
      </c>
      <c r="Y89" s="519">
        <v>127.22040000000001</v>
      </c>
      <c r="Z89" s="569">
        <f>(Y89-U89)/Y89</f>
        <v>0.4366563852966977</v>
      </c>
      <c r="AA89" s="409">
        <v>74.7</v>
      </c>
      <c r="AB89" s="557">
        <f t="shared" si="3"/>
        <v>18.824399999999997</v>
      </c>
      <c r="AC89" s="565">
        <v>969.63</v>
      </c>
      <c r="AD89" s="564">
        <v>48.481499999999997</v>
      </c>
      <c r="AE89" s="564">
        <v>9.6963000000000008</v>
      </c>
      <c r="AF89" s="519">
        <v>38.785199999999996</v>
      </c>
      <c r="AG89" s="569">
        <f>(AF89-AB89)/AF89</f>
        <v>0.51464991800996263</v>
      </c>
    </row>
    <row r="90" spans="2:33" x14ac:dyDescent="0.25">
      <c r="B90" s="231">
        <v>35</v>
      </c>
      <c r="C90" s="512">
        <v>1</v>
      </c>
      <c r="D90" s="513" t="s">
        <v>298</v>
      </c>
      <c r="E90" s="514" t="s">
        <v>131</v>
      </c>
      <c r="F90" s="514" t="s">
        <v>116</v>
      </c>
      <c r="G90" s="515">
        <v>2</v>
      </c>
      <c r="H90" s="514" t="s">
        <v>663</v>
      </c>
      <c r="I90" s="514" t="s">
        <v>687</v>
      </c>
      <c r="J90" s="514" t="s">
        <v>709</v>
      </c>
      <c r="K90" s="516" t="s">
        <v>665</v>
      </c>
      <c r="L90" s="514" t="s">
        <v>122</v>
      </c>
      <c r="M90" s="516" t="s">
        <v>264</v>
      </c>
      <c r="N90" s="517">
        <v>98</v>
      </c>
      <c r="O90" s="517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08">
        <v>339.3</v>
      </c>
      <c r="U90" s="557">
        <f t="shared" si="2"/>
        <v>85.503599999999992</v>
      </c>
      <c r="V90" s="565">
        <v>3177.78</v>
      </c>
      <c r="W90" s="564">
        <v>158.88900000000001</v>
      </c>
      <c r="X90" s="564">
        <v>31.777800000000003</v>
      </c>
      <c r="Y90" s="519">
        <v>127.11120000000001</v>
      </c>
      <c r="Z90" s="569">
        <f>(Y90-U90)/Y90</f>
        <v>0.3273322885788193</v>
      </c>
      <c r="AA90" s="409">
        <v>74.7</v>
      </c>
      <c r="AB90" s="557">
        <f t="shared" si="3"/>
        <v>18.824399999999997</v>
      </c>
      <c r="AC90" s="565">
        <v>969.63</v>
      </c>
      <c r="AD90" s="564">
        <v>48.481499999999997</v>
      </c>
      <c r="AE90" s="564">
        <v>9.6963000000000008</v>
      </c>
      <c r="AF90" s="519">
        <v>38.785199999999996</v>
      </c>
      <c r="AG90" s="569">
        <f>(AF90-AB90)/AF90</f>
        <v>0.51464991800996263</v>
      </c>
    </row>
    <row r="91" spans="2:33" x14ac:dyDescent="0.25">
      <c r="B91" s="231">
        <v>36</v>
      </c>
      <c r="C91" s="512">
        <v>1</v>
      </c>
      <c r="D91" s="513" t="s">
        <v>298</v>
      </c>
      <c r="E91" s="514" t="s">
        <v>131</v>
      </c>
      <c r="F91" s="514" t="s">
        <v>116</v>
      </c>
      <c r="G91" s="515">
        <v>2</v>
      </c>
      <c r="H91" s="514" t="s">
        <v>663</v>
      </c>
      <c r="I91" s="514" t="s">
        <v>689</v>
      </c>
      <c r="J91" s="514" t="s">
        <v>709</v>
      </c>
      <c r="K91" s="516" t="s">
        <v>665</v>
      </c>
      <c r="L91" s="514" t="s">
        <v>122</v>
      </c>
      <c r="M91" s="516" t="s">
        <v>264</v>
      </c>
      <c r="N91" s="517">
        <v>98</v>
      </c>
      <c r="O91" s="517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08">
        <v>391.3</v>
      </c>
      <c r="U91" s="557">
        <f t="shared" si="2"/>
        <v>98.607599999999977</v>
      </c>
      <c r="V91" s="565">
        <v>4180.57</v>
      </c>
      <c r="W91" s="564">
        <v>209.02849999999998</v>
      </c>
      <c r="X91" s="564">
        <v>41.805700000000002</v>
      </c>
      <c r="Y91" s="519">
        <v>167.22279999999998</v>
      </c>
      <c r="Z91" s="569">
        <f>(Y91-U91)/Y91</f>
        <v>0.41032203742551859</v>
      </c>
      <c r="AA91" s="409">
        <v>74.7</v>
      </c>
      <c r="AB91" s="557">
        <f t="shared" si="3"/>
        <v>18.824399999999997</v>
      </c>
      <c r="AC91" s="565">
        <v>969.63</v>
      </c>
      <c r="AD91" s="564">
        <v>48.481499999999997</v>
      </c>
      <c r="AE91" s="564">
        <v>9.6963000000000008</v>
      </c>
      <c r="AF91" s="519">
        <v>38.785199999999996</v>
      </c>
      <c r="AG91" s="569">
        <f>(AF91-AB91)/AF91</f>
        <v>0.51464991800996263</v>
      </c>
    </row>
    <row r="92" spans="2:33" x14ac:dyDescent="0.25">
      <c r="B92" s="231">
        <v>37</v>
      </c>
      <c r="C92" s="550">
        <v>1</v>
      </c>
      <c r="D92" s="551" t="s">
        <v>298</v>
      </c>
      <c r="E92" s="552" t="s">
        <v>131</v>
      </c>
      <c r="F92" s="552" t="s">
        <v>116</v>
      </c>
      <c r="G92" s="553">
        <v>2</v>
      </c>
      <c r="H92" s="552" t="s">
        <v>187</v>
      </c>
      <c r="I92" s="552" t="s">
        <v>323</v>
      </c>
      <c r="J92" s="552" t="s">
        <v>709</v>
      </c>
      <c r="K92" s="554" t="s">
        <v>665</v>
      </c>
      <c r="L92" s="552" t="s">
        <v>122</v>
      </c>
      <c r="M92" s="554" t="s">
        <v>264</v>
      </c>
      <c r="N92" s="555">
        <v>124</v>
      </c>
      <c r="O92" s="555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08">
        <v>199.5</v>
      </c>
      <c r="U92" s="557">
        <f t="shared" si="2"/>
        <v>50.273999999999987</v>
      </c>
      <c r="V92" s="565"/>
      <c r="W92" s="565"/>
      <c r="X92" s="564"/>
      <c r="Y92" s="519"/>
      <c r="Z92" s="519"/>
      <c r="AA92" s="409">
        <v>92.7</v>
      </c>
      <c r="AB92" s="557">
        <f t="shared" si="3"/>
        <v>23.360399999999998</v>
      </c>
      <c r="AC92" s="565"/>
      <c r="AD92" s="565"/>
      <c r="AE92" s="564"/>
      <c r="AF92" s="519"/>
      <c r="AG92" s="519"/>
    </row>
    <row r="93" spans="2:33" x14ac:dyDescent="0.25">
      <c r="B93" s="231">
        <v>38</v>
      </c>
      <c r="C93" s="506">
        <v>1</v>
      </c>
      <c r="D93" s="507" t="s">
        <v>298</v>
      </c>
      <c r="E93" s="508" t="s">
        <v>131</v>
      </c>
      <c r="F93" s="508" t="s">
        <v>116</v>
      </c>
      <c r="G93" s="509">
        <v>2</v>
      </c>
      <c r="H93" s="508" t="s">
        <v>691</v>
      </c>
      <c r="I93" s="508" t="s">
        <v>323</v>
      </c>
      <c r="J93" s="508" t="s">
        <v>709</v>
      </c>
      <c r="K93" s="510" t="s">
        <v>665</v>
      </c>
      <c r="L93" s="508" t="s">
        <v>122</v>
      </c>
      <c r="M93" s="510" t="s">
        <v>264</v>
      </c>
      <c r="N93" s="511">
        <v>124</v>
      </c>
      <c r="O93" s="511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08">
        <v>356.70000000000005</v>
      </c>
      <c r="U93" s="557">
        <f t="shared" si="2"/>
        <v>89.888400000000004</v>
      </c>
      <c r="V93" s="567">
        <v>4289.87</v>
      </c>
      <c r="W93" s="567" t="s">
        <v>698</v>
      </c>
      <c r="X93" s="565"/>
      <c r="Y93" s="519"/>
      <c r="Z93" s="570">
        <f>AVERAGE(Z94:Z97)</f>
        <v>0.39433777170630135</v>
      </c>
      <c r="AA93" s="409">
        <v>92.7</v>
      </c>
      <c r="AB93" s="557">
        <f t="shared" si="3"/>
        <v>23.360399999999998</v>
      </c>
      <c r="AC93" s="565"/>
      <c r="AD93" s="565"/>
      <c r="AE93" s="564"/>
      <c r="AF93" s="519"/>
      <c r="AG93" s="570">
        <f>AVERAGE(AG94:AG97)</f>
        <v>0.45357834560577848</v>
      </c>
    </row>
    <row r="94" spans="2:33" x14ac:dyDescent="0.25">
      <c r="B94" s="231">
        <v>39</v>
      </c>
      <c r="C94" s="512">
        <v>1</v>
      </c>
      <c r="D94" s="513" t="s">
        <v>298</v>
      </c>
      <c r="E94" s="514" t="s">
        <v>131</v>
      </c>
      <c r="F94" s="514" t="s">
        <v>116</v>
      </c>
      <c r="G94" s="515">
        <v>2</v>
      </c>
      <c r="H94" s="514" t="s">
        <v>663</v>
      </c>
      <c r="I94" s="514" t="s">
        <v>681</v>
      </c>
      <c r="J94" s="514" t="s">
        <v>709</v>
      </c>
      <c r="K94" s="516" t="s">
        <v>665</v>
      </c>
      <c r="L94" s="514" t="s">
        <v>122</v>
      </c>
      <c r="M94" s="516" t="s">
        <v>264</v>
      </c>
      <c r="N94" s="517">
        <v>124</v>
      </c>
      <c r="O94" s="517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08">
        <v>294.7</v>
      </c>
      <c r="U94" s="557">
        <f t="shared" si="2"/>
        <v>74.264399999999995</v>
      </c>
      <c r="V94" s="565">
        <v>3419.28</v>
      </c>
      <c r="W94" s="564">
        <v>170.964</v>
      </c>
      <c r="X94" s="564">
        <v>34.192799999999998</v>
      </c>
      <c r="Y94" s="519">
        <v>136.77119999999999</v>
      </c>
      <c r="Z94" s="569">
        <f>(Y94-U94)/Y94</f>
        <v>0.45701726679300908</v>
      </c>
      <c r="AA94" s="409">
        <v>92.7</v>
      </c>
      <c r="AB94" s="557">
        <f t="shared" si="3"/>
        <v>23.360399999999998</v>
      </c>
      <c r="AC94" s="565">
        <v>1068.79</v>
      </c>
      <c r="AD94" s="564">
        <v>53.439499999999995</v>
      </c>
      <c r="AE94" s="564">
        <v>10.687899999999999</v>
      </c>
      <c r="AF94" s="519">
        <v>42.751599999999996</v>
      </c>
      <c r="AG94" s="569">
        <f>(AF94-AB94)/AF94</f>
        <v>0.45357834560577848</v>
      </c>
    </row>
    <row r="95" spans="2:33" x14ac:dyDescent="0.25">
      <c r="B95" s="231">
        <v>40</v>
      </c>
      <c r="C95" s="512">
        <v>1</v>
      </c>
      <c r="D95" s="513" t="s">
        <v>298</v>
      </c>
      <c r="E95" s="514" t="s">
        <v>131</v>
      </c>
      <c r="F95" s="514" t="s">
        <v>116</v>
      </c>
      <c r="G95" s="515">
        <v>2</v>
      </c>
      <c r="H95" s="514" t="s">
        <v>663</v>
      </c>
      <c r="I95" s="514" t="s">
        <v>685</v>
      </c>
      <c r="J95" s="514" t="s">
        <v>709</v>
      </c>
      <c r="K95" s="516" t="s">
        <v>665</v>
      </c>
      <c r="L95" s="514" t="s">
        <v>122</v>
      </c>
      <c r="M95" s="516" t="s">
        <v>264</v>
      </c>
      <c r="N95" s="517">
        <v>124</v>
      </c>
      <c r="O95" s="517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08">
        <v>351.1</v>
      </c>
      <c r="U95" s="557">
        <f t="shared" si="2"/>
        <v>88.477199999999996</v>
      </c>
      <c r="V95" s="565">
        <v>3811.7</v>
      </c>
      <c r="W95" s="564">
        <v>190.58499999999998</v>
      </c>
      <c r="X95" s="564">
        <v>38.116999999999997</v>
      </c>
      <c r="Y95" s="519">
        <v>152.46799999999999</v>
      </c>
      <c r="Z95" s="569">
        <f>(Y95-U95)/Y95</f>
        <v>0.41969987144843507</v>
      </c>
      <c r="AA95" s="409">
        <v>92.7</v>
      </c>
      <c r="AB95" s="557">
        <f t="shared" si="3"/>
        <v>23.360399999999998</v>
      </c>
      <c r="AC95" s="565">
        <v>1068.79</v>
      </c>
      <c r="AD95" s="564">
        <v>53.439499999999995</v>
      </c>
      <c r="AE95" s="564">
        <v>10.687899999999999</v>
      </c>
      <c r="AF95" s="519">
        <v>42.751599999999996</v>
      </c>
      <c r="AG95" s="569">
        <f>(AF95-AB95)/AF95</f>
        <v>0.45357834560577848</v>
      </c>
    </row>
    <row r="96" spans="2:33" x14ac:dyDescent="0.25">
      <c r="B96" s="231">
        <v>41</v>
      </c>
      <c r="C96" s="512">
        <v>1</v>
      </c>
      <c r="D96" s="513" t="s">
        <v>298</v>
      </c>
      <c r="E96" s="514" t="s">
        <v>131</v>
      </c>
      <c r="F96" s="514" t="s">
        <v>116</v>
      </c>
      <c r="G96" s="515">
        <v>2</v>
      </c>
      <c r="H96" s="514" t="s">
        <v>663</v>
      </c>
      <c r="I96" s="514" t="s">
        <v>687</v>
      </c>
      <c r="J96" s="514" t="s">
        <v>709</v>
      </c>
      <c r="K96" s="516" t="s">
        <v>665</v>
      </c>
      <c r="L96" s="514" t="s">
        <v>122</v>
      </c>
      <c r="M96" s="516" t="s">
        <v>264</v>
      </c>
      <c r="N96" s="517">
        <v>124</v>
      </c>
      <c r="O96" s="517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08">
        <v>418.70000000000005</v>
      </c>
      <c r="U96" s="557">
        <f t="shared" si="2"/>
        <v>105.5124</v>
      </c>
      <c r="V96" s="565">
        <v>3808.97</v>
      </c>
      <c r="W96" s="564">
        <v>190.4485</v>
      </c>
      <c r="X96" s="564">
        <v>38.089700000000001</v>
      </c>
      <c r="Y96" s="519">
        <v>152.3588</v>
      </c>
      <c r="Z96" s="569">
        <f>(Y96-U96)/Y96</f>
        <v>0.3074741990616886</v>
      </c>
      <c r="AA96" s="409">
        <v>92.7</v>
      </c>
      <c r="AB96" s="557">
        <f t="shared" si="3"/>
        <v>23.360399999999998</v>
      </c>
      <c r="AC96" s="565">
        <v>1068.79</v>
      </c>
      <c r="AD96" s="564">
        <v>53.439499999999995</v>
      </c>
      <c r="AE96" s="564">
        <v>10.687899999999999</v>
      </c>
      <c r="AF96" s="519">
        <v>42.751599999999996</v>
      </c>
      <c r="AG96" s="569">
        <f>(AF96-AB96)/AF96</f>
        <v>0.45357834560577848</v>
      </c>
    </row>
    <row r="97" spans="2:33" x14ac:dyDescent="0.25">
      <c r="B97" s="231">
        <v>42</v>
      </c>
      <c r="C97" s="512">
        <v>1</v>
      </c>
      <c r="D97" s="513" t="s">
        <v>298</v>
      </c>
      <c r="E97" s="514" t="s">
        <v>131</v>
      </c>
      <c r="F97" s="514" t="s">
        <v>116</v>
      </c>
      <c r="G97" s="515">
        <v>2</v>
      </c>
      <c r="H97" s="514" t="s">
        <v>663</v>
      </c>
      <c r="I97" s="514" t="s">
        <v>689</v>
      </c>
      <c r="J97" s="514" t="s">
        <v>709</v>
      </c>
      <c r="K97" s="516" t="s">
        <v>665</v>
      </c>
      <c r="L97" s="514" t="s">
        <v>122</v>
      </c>
      <c r="M97" s="516" t="s">
        <v>264</v>
      </c>
      <c r="N97" s="517">
        <v>124</v>
      </c>
      <c r="O97" s="517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08">
        <v>482.70000000000005</v>
      </c>
      <c r="U97" s="557">
        <f t="shared" si="2"/>
        <v>121.64039999999999</v>
      </c>
      <c r="V97" s="565">
        <v>5011.22</v>
      </c>
      <c r="W97" s="564">
        <v>250.56100000000001</v>
      </c>
      <c r="X97" s="564">
        <v>50.112200000000001</v>
      </c>
      <c r="Y97" s="519">
        <v>200.44880000000001</v>
      </c>
      <c r="Z97" s="569">
        <f>(Y97-U97)/Y97</f>
        <v>0.39315974952207255</v>
      </c>
      <c r="AA97" s="409">
        <v>92.7</v>
      </c>
      <c r="AB97" s="557">
        <f t="shared" si="3"/>
        <v>23.360399999999998</v>
      </c>
      <c r="AC97" s="565">
        <v>1068.79</v>
      </c>
      <c r="AD97" s="564">
        <v>53.439499999999995</v>
      </c>
      <c r="AE97" s="564">
        <v>10.687899999999999</v>
      </c>
      <c r="AF97" s="519">
        <v>42.751599999999996</v>
      </c>
      <c r="AG97" s="569">
        <f>(AF97-AB97)/AF97</f>
        <v>0.45357834560577848</v>
      </c>
    </row>
    <row r="98" spans="2:33" x14ac:dyDescent="0.25">
      <c r="B98" s="231">
        <v>43</v>
      </c>
      <c r="C98" s="550">
        <v>1</v>
      </c>
      <c r="D98" s="551" t="s">
        <v>298</v>
      </c>
      <c r="E98" s="552" t="s">
        <v>131</v>
      </c>
      <c r="F98" s="552" t="s">
        <v>116</v>
      </c>
      <c r="G98" s="553">
        <v>2</v>
      </c>
      <c r="H98" s="552" t="s">
        <v>187</v>
      </c>
      <c r="I98" s="552" t="s">
        <v>323</v>
      </c>
      <c r="J98" s="552" t="s">
        <v>709</v>
      </c>
      <c r="K98" s="554" t="s">
        <v>665</v>
      </c>
      <c r="L98" s="552" t="s">
        <v>122</v>
      </c>
      <c r="M98" s="554" t="s">
        <v>264</v>
      </c>
      <c r="N98" s="555">
        <v>150</v>
      </c>
      <c r="O98" s="555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08">
        <v>241.8</v>
      </c>
      <c r="U98" s="557">
        <f t="shared" si="2"/>
        <v>60.933599999999998</v>
      </c>
      <c r="V98" s="565"/>
      <c r="W98" s="565"/>
      <c r="X98" s="564"/>
      <c r="Y98" s="519"/>
      <c r="Z98" s="519"/>
      <c r="AA98" s="409">
        <v>110.7</v>
      </c>
      <c r="AB98" s="557">
        <f t="shared" si="3"/>
        <v>27.896399999999996</v>
      </c>
      <c r="AC98" s="565"/>
      <c r="AD98" s="565"/>
      <c r="AE98" s="564"/>
      <c r="AF98" s="519"/>
      <c r="AG98" s="519"/>
    </row>
    <row r="99" spans="2:33" x14ac:dyDescent="0.25">
      <c r="B99" s="231">
        <v>44</v>
      </c>
      <c r="C99" s="506">
        <v>1</v>
      </c>
      <c r="D99" s="507" t="s">
        <v>298</v>
      </c>
      <c r="E99" s="508" t="s">
        <v>131</v>
      </c>
      <c r="F99" s="508" t="s">
        <v>116</v>
      </c>
      <c r="G99" s="509">
        <v>2</v>
      </c>
      <c r="H99" s="508" t="s">
        <v>691</v>
      </c>
      <c r="I99" s="508" t="s">
        <v>323</v>
      </c>
      <c r="J99" s="508" t="s">
        <v>709</v>
      </c>
      <c r="K99" s="510" t="s">
        <v>665</v>
      </c>
      <c r="L99" s="508" t="s">
        <v>122</v>
      </c>
      <c r="M99" s="510" t="s">
        <v>264</v>
      </c>
      <c r="N99" s="511">
        <v>150</v>
      </c>
      <c r="O99" s="511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08">
        <v>433.40000000000003</v>
      </c>
      <c r="U99" s="557">
        <f t="shared" si="2"/>
        <v>109.21679999999999</v>
      </c>
      <c r="V99" s="567">
        <v>5743.5</v>
      </c>
      <c r="W99" s="567" t="s">
        <v>698</v>
      </c>
      <c r="X99" s="565"/>
      <c r="Y99" s="519"/>
      <c r="Z99" s="570">
        <f>AVERAGE(Z100:Z103)</f>
        <v>0.39693292475239411</v>
      </c>
      <c r="AA99" s="409">
        <v>110.7</v>
      </c>
      <c r="AB99" s="557">
        <f t="shared" si="3"/>
        <v>27.896399999999996</v>
      </c>
      <c r="AC99" s="565"/>
      <c r="AD99" s="565"/>
      <c r="AE99" s="564"/>
      <c r="AF99" s="519"/>
      <c r="AG99" s="570">
        <f>AVERAGE(AG100:AG103)</f>
        <v>0.42523838172393047</v>
      </c>
    </row>
    <row r="100" spans="2:33" x14ac:dyDescent="0.25">
      <c r="B100" s="231">
        <v>45</v>
      </c>
      <c r="C100" s="512">
        <v>1</v>
      </c>
      <c r="D100" s="513" t="s">
        <v>298</v>
      </c>
      <c r="E100" s="514" t="s">
        <v>131</v>
      </c>
      <c r="F100" s="514" t="s">
        <v>116</v>
      </c>
      <c r="G100" s="515">
        <v>2</v>
      </c>
      <c r="H100" s="514" t="s">
        <v>663</v>
      </c>
      <c r="I100" s="514" t="s">
        <v>681</v>
      </c>
      <c r="J100" s="514" t="s">
        <v>709</v>
      </c>
      <c r="K100" s="516" t="s">
        <v>665</v>
      </c>
      <c r="L100" s="514" t="s">
        <v>122</v>
      </c>
      <c r="M100" s="516" t="s">
        <v>264</v>
      </c>
      <c r="N100" s="517">
        <v>150</v>
      </c>
      <c r="O100" s="517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08">
        <v>357.85</v>
      </c>
      <c r="U100" s="557">
        <f t="shared" si="2"/>
        <v>90.17819999999999</v>
      </c>
      <c r="V100" s="565">
        <v>4172.04</v>
      </c>
      <c r="W100" s="564">
        <v>208.602</v>
      </c>
      <c r="X100" s="564">
        <v>41.720400000000005</v>
      </c>
      <c r="Y100" s="519">
        <v>166.88159999999999</v>
      </c>
      <c r="Z100" s="569">
        <f>(Y100-U100)/Y100</f>
        <v>0.45962766416429374</v>
      </c>
      <c r="AA100" s="409">
        <v>110.7</v>
      </c>
      <c r="AB100" s="557">
        <f t="shared" si="3"/>
        <v>27.896399999999996</v>
      </c>
      <c r="AC100" s="565">
        <v>1213.3899999999999</v>
      </c>
      <c r="AD100" s="564">
        <v>60.669499999999992</v>
      </c>
      <c r="AE100" s="564">
        <v>12.133899999999999</v>
      </c>
      <c r="AF100" s="519">
        <v>48.535599999999995</v>
      </c>
      <c r="AG100" s="569">
        <f>(AF100-AB100)/AF100</f>
        <v>0.42523838172393047</v>
      </c>
    </row>
    <row r="101" spans="2:33" x14ac:dyDescent="0.25">
      <c r="B101" s="231">
        <v>46</v>
      </c>
      <c r="C101" s="512">
        <v>1</v>
      </c>
      <c r="D101" s="513" t="s">
        <v>298</v>
      </c>
      <c r="E101" s="514" t="s">
        <v>131</v>
      </c>
      <c r="F101" s="514" t="s">
        <v>116</v>
      </c>
      <c r="G101" s="515">
        <v>2</v>
      </c>
      <c r="H101" s="514" t="s">
        <v>663</v>
      </c>
      <c r="I101" s="514" t="s">
        <v>685</v>
      </c>
      <c r="J101" s="514" t="s">
        <v>709</v>
      </c>
      <c r="K101" s="516" t="s">
        <v>665</v>
      </c>
      <c r="L101" s="514" t="s">
        <v>122</v>
      </c>
      <c r="M101" s="516" t="s">
        <v>264</v>
      </c>
      <c r="N101" s="517">
        <v>150</v>
      </c>
      <c r="O101" s="517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08">
        <v>426.6</v>
      </c>
      <c r="U101" s="557">
        <f t="shared" si="2"/>
        <v>107.50319999999999</v>
      </c>
      <c r="V101" s="565">
        <v>4651.92</v>
      </c>
      <c r="W101" s="564">
        <v>232.596</v>
      </c>
      <c r="X101" s="564">
        <v>46.519200000000005</v>
      </c>
      <c r="Y101" s="519">
        <v>186.07679999999999</v>
      </c>
      <c r="Z101" s="569">
        <f>(Y101-U101)/Y101</f>
        <v>0.42226435536294693</v>
      </c>
      <c r="AA101" s="409">
        <v>110.7</v>
      </c>
      <c r="AB101" s="557">
        <f t="shared" si="3"/>
        <v>27.896399999999996</v>
      </c>
      <c r="AC101" s="565">
        <v>1213.3899999999999</v>
      </c>
      <c r="AD101" s="564">
        <v>60.669499999999992</v>
      </c>
      <c r="AE101" s="564">
        <v>12.133899999999999</v>
      </c>
      <c r="AF101" s="519">
        <v>48.535599999999995</v>
      </c>
      <c r="AG101" s="569">
        <f>(AF101-AB101)/AF101</f>
        <v>0.42523838172393047</v>
      </c>
    </row>
    <row r="102" spans="2:33" x14ac:dyDescent="0.25">
      <c r="B102" s="231">
        <v>47</v>
      </c>
      <c r="C102" s="512">
        <v>1</v>
      </c>
      <c r="D102" s="513" t="s">
        <v>298</v>
      </c>
      <c r="E102" s="514" t="s">
        <v>131</v>
      </c>
      <c r="F102" s="514" t="s">
        <v>116</v>
      </c>
      <c r="G102" s="515">
        <v>2</v>
      </c>
      <c r="H102" s="514" t="s">
        <v>663</v>
      </c>
      <c r="I102" s="514" t="s">
        <v>687</v>
      </c>
      <c r="J102" s="514" t="s">
        <v>709</v>
      </c>
      <c r="K102" s="516" t="s">
        <v>665</v>
      </c>
      <c r="L102" s="514" t="s">
        <v>122</v>
      </c>
      <c r="M102" s="516" t="s">
        <v>264</v>
      </c>
      <c r="N102" s="517">
        <v>150</v>
      </c>
      <c r="O102" s="517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08">
        <v>508.95000000000005</v>
      </c>
      <c r="U102" s="557">
        <f t="shared" si="2"/>
        <v>128.25539999999998</v>
      </c>
      <c r="V102" s="565">
        <v>4647.8100000000004</v>
      </c>
      <c r="W102" s="564">
        <v>232.39050000000003</v>
      </c>
      <c r="X102" s="564">
        <v>46.478100000000012</v>
      </c>
      <c r="Y102" s="519">
        <v>185.91240000000002</v>
      </c>
      <c r="Z102" s="569">
        <f>(Y102-U102)/Y102</f>
        <v>0.31012993216159884</v>
      </c>
      <c r="AA102" s="409">
        <v>110.7</v>
      </c>
      <c r="AB102" s="557">
        <f t="shared" si="3"/>
        <v>27.896399999999996</v>
      </c>
      <c r="AC102" s="565">
        <v>1213.3899999999999</v>
      </c>
      <c r="AD102" s="564">
        <v>60.669499999999992</v>
      </c>
      <c r="AE102" s="564">
        <v>12.133899999999999</v>
      </c>
      <c r="AF102" s="519">
        <v>48.535599999999995</v>
      </c>
      <c r="AG102" s="569">
        <f>(AF102-AB102)/AF102</f>
        <v>0.42523838172393047</v>
      </c>
    </row>
    <row r="103" spans="2:33" x14ac:dyDescent="0.25">
      <c r="B103" s="231">
        <v>48</v>
      </c>
      <c r="C103" s="512">
        <v>1</v>
      </c>
      <c r="D103" s="513" t="s">
        <v>298</v>
      </c>
      <c r="E103" s="514" t="s">
        <v>131</v>
      </c>
      <c r="F103" s="514" t="s">
        <v>116</v>
      </c>
      <c r="G103" s="515">
        <v>2</v>
      </c>
      <c r="H103" s="514" t="s">
        <v>663</v>
      </c>
      <c r="I103" s="514" t="s">
        <v>689</v>
      </c>
      <c r="J103" s="514" t="s">
        <v>709</v>
      </c>
      <c r="K103" s="516" t="s">
        <v>665</v>
      </c>
      <c r="L103" s="514" t="s">
        <v>122</v>
      </c>
      <c r="M103" s="516" t="s">
        <v>264</v>
      </c>
      <c r="N103" s="517">
        <v>150</v>
      </c>
      <c r="O103" s="517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08">
        <v>586.95000000000005</v>
      </c>
      <c r="U103" s="557">
        <f t="shared" si="2"/>
        <v>147.91139999999999</v>
      </c>
      <c r="V103" s="565">
        <v>6119.22</v>
      </c>
      <c r="W103" s="564">
        <v>305.96100000000001</v>
      </c>
      <c r="X103" s="564">
        <v>61.192200000000007</v>
      </c>
      <c r="Y103" s="519">
        <v>244.7688</v>
      </c>
      <c r="Z103" s="569">
        <f>(Y103-U103)/Y103</f>
        <v>0.39570974732073699</v>
      </c>
      <c r="AA103" s="409">
        <v>110.7</v>
      </c>
      <c r="AB103" s="557">
        <f t="shared" si="3"/>
        <v>27.896399999999996</v>
      </c>
      <c r="AC103" s="565">
        <v>1213.3899999999999</v>
      </c>
      <c r="AD103" s="564">
        <v>60.669499999999992</v>
      </c>
      <c r="AE103" s="564">
        <v>12.133899999999999</v>
      </c>
      <c r="AF103" s="519">
        <v>48.535599999999995</v>
      </c>
      <c r="AG103" s="569">
        <f>(AF103-AB103)/AF103</f>
        <v>0.42523838172393047</v>
      </c>
    </row>
    <row r="105" spans="2:33" x14ac:dyDescent="0.25">
      <c r="B105" s="230">
        <v>1</v>
      </c>
      <c r="C105" s="544">
        <v>1</v>
      </c>
      <c r="D105" s="545" t="s">
        <v>298</v>
      </c>
      <c r="E105" s="546" t="s">
        <v>132</v>
      </c>
      <c r="F105" s="546" t="s">
        <v>136</v>
      </c>
      <c r="G105" s="547">
        <v>2</v>
      </c>
      <c r="H105" s="546" t="s">
        <v>187</v>
      </c>
      <c r="I105" s="546" t="s">
        <v>321</v>
      </c>
      <c r="J105" s="546" t="s">
        <v>709</v>
      </c>
      <c r="K105" s="548" t="s">
        <v>664</v>
      </c>
      <c r="L105" s="546" t="s">
        <v>122</v>
      </c>
      <c r="M105" s="548" t="s">
        <v>264</v>
      </c>
      <c r="N105" s="549">
        <v>72</v>
      </c>
      <c r="O105" s="549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08">
        <v>189.5</v>
      </c>
      <c r="U105" s="557">
        <f>T105*0.7*0.6*0.6</f>
        <v>47.753999999999998</v>
      </c>
      <c r="V105" s="564"/>
      <c r="W105" s="564"/>
      <c r="X105" s="564"/>
      <c r="Y105" s="519"/>
      <c r="Z105" s="631">
        <f>AVERAGE(Z107:Z110,Z113:Z116,Z119:Z122,Z125:Z128)</f>
        <v>0.46117011109019035</v>
      </c>
      <c r="AA105" s="409">
        <v>175.3</v>
      </c>
      <c r="AB105" s="557">
        <f t="shared" ref="AB105:AB152" si="4">AA105*0.7*0.6*0.6</f>
        <v>44.175599999999996</v>
      </c>
      <c r="AC105" s="564"/>
      <c r="AD105" s="564"/>
      <c r="AE105" s="564"/>
      <c r="AF105" s="519"/>
      <c r="AG105" s="631">
        <f>AVERAGE(AG107:AG110,AG113:AG116,AG119:AG122,AG125:AG128)</f>
        <v>0.78625950721922311</v>
      </c>
    </row>
    <row r="106" spans="2:33" x14ac:dyDescent="0.25">
      <c r="B106" s="231">
        <v>2</v>
      </c>
      <c r="C106" s="538">
        <v>1</v>
      </c>
      <c r="D106" s="539" t="s">
        <v>298</v>
      </c>
      <c r="E106" s="540" t="s">
        <v>132</v>
      </c>
      <c r="F106" s="540" t="s">
        <v>136</v>
      </c>
      <c r="G106" s="541">
        <v>2</v>
      </c>
      <c r="H106" s="540" t="s">
        <v>691</v>
      </c>
      <c r="I106" s="540" t="s">
        <v>321</v>
      </c>
      <c r="J106" s="540" t="s">
        <v>709</v>
      </c>
      <c r="K106" s="542" t="s">
        <v>664</v>
      </c>
      <c r="L106" s="540" t="s">
        <v>122</v>
      </c>
      <c r="M106" s="542" t="s">
        <v>264</v>
      </c>
      <c r="N106" s="543">
        <v>72</v>
      </c>
      <c r="O106" s="543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08">
        <v>382.70000000000005</v>
      </c>
      <c r="U106" s="557">
        <f t="shared" ref="U106:U152" si="5">T106*0.7*0.6*0.6</f>
        <v>96.440399999999997</v>
      </c>
      <c r="V106" s="564"/>
      <c r="W106" s="564"/>
      <c r="X106" s="564"/>
      <c r="Y106" s="519"/>
      <c r="Z106" s="570">
        <f>AVERAGE(Z107:Z110)</f>
        <v>0.49950137578629744</v>
      </c>
      <c r="AA106" s="409">
        <v>175.3</v>
      </c>
      <c r="AB106" s="557">
        <f t="shared" si="4"/>
        <v>44.175599999999996</v>
      </c>
      <c r="AC106" s="564"/>
      <c r="AD106" s="564"/>
      <c r="AE106" s="564"/>
      <c r="AF106" s="519"/>
      <c r="AG106" s="570">
        <f>AVERAGE(AG107:AG110)</f>
        <v>0.80962042685817415</v>
      </c>
    </row>
    <row r="107" spans="2:33" x14ac:dyDescent="0.25">
      <c r="B107" s="231">
        <v>3</v>
      </c>
      <c r="C107" s="500">
        <v>1</v>
      </c>
      <c r="D107" s="501" t="s">
        <v>298</v>
      </c>
      <c r="E107" s="502" t="s">
        <v>132</v>
      </c>
      <c r="F107" s="502" t="s">
        <v>136</v>
      </c>
      <c r="G107" s="503">
        <v>2</v>
      </c>
      <c r="H107" s="502" t="s">
        <v>663</v>
      </c>
      <c r="I107" s="502" t="s">
        <v>674</v>
      </c>
      <c r="J107" s="502" t="s">
        <v>709</v>
      </c>
      <c r="K107" s="504" t="s">
        <v>664</v>
      </c>
      <c r="L107" s="502" t="s">
        <v>122</v>
      </c>
      <c r="M107" s="504" t="s">
        <v>264</v>
      </c>
      <c r="N107" s="505">
        <v>72</v>
      </c>
      <c r="O107" s="505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08">
        <v>225.4</v>
      </c>
      <c r="U107" s="557">
        <f t="shared" si="5"/>
        <v>56.800799999999995</v>
      </c>
      <c r="V107" s="565">
        <v>2981.05</v>
      </c>
      <c r="W107" s="564">
        <v>149.05250000000001</v>
      </c>
      <c r="X107" s="564">
        <v>29.810500000000005</v>
      </c>
      <c r="Y107" s="519">
        <v>119.242</v>
      </c>
      <c r="Z107" s="569">
        <f>(Y107-U107)/Y107</f>
        <v>0.52365106254507643</v>
      </c>
      <c r="AA107" s="409">
        <v>175.3</v>
      </c>
      <c r="AB107" s="557">
        <f t="shared" si="4"/>
        <v>44.175599999999996</v>
      </c>
      <c r="AC107" s="565">
        <v>5800.99</v>
      </c>
      <c r="AD107" s="564">
        <v>290.04949999999997</v>
      </c>
      <c r="AE107" s="564">
        <v>58.009899999999995</v>
      </c>
      <c r="AF107" s="519">
        <v>232.03959999999998</v>
      </c>
      <c r="AG107" s="569">
        <f>(AF107-AB107)/AF107</f>
        <v>0.80962042685817415</v>
      </c>
    </row>
    <row r="108" spans="2:33" x14ac:dyDescent="0.25">
      <c r="B108" s="231">
        <v>4</v>
      </c>
      <c r="C108" s="500">
        <v>1</v>
      </c>
      <c r="D108" s="501" t="s">
        <v>298</v>
      </c>
      <c r="E108" s="502" t="s">
        <v>132</v>
      </c>
      <c r="F108" s="502" t="s">
        <v>136</v>
      </c>
      <c r="G108" s="503">
        <v>2</v>
      </c>
      <c r="H108" s="502" t="s">
        <v>663</v>
      </c>
      <c r="I108" s="502" t="s">
        <v>675</v>
      </c>
      <c r="J108" s="502" t="s">
        <v>709</v>
      </c>
      <c r="K108" s="504" t="s">
        <v>664</v>
      </c>
      <c r="L108" s="502" t="s">
        <v>122</v>
      </c>
      <c r="M108" s="504" t="s">
        <v>264</v>
      </c>
      <c r="N108" s="505">
        <v>72</v>
      </c>
      <c r="O108" s="505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08">
        <v>313</v>
      </c>
      <c r="U108" s="557">
        <f t="shared" si="5"/>
        <v>78.875999999999991</v>
      </c>
      <c r="V108" s="565">
        <v>4206.6000000000004</v>
      </c>
      <c r="W108" s="564">
        <v>210.33</v>
      </c>
      <c r="X108" s="564">
        <v>42.066000000000003</v>
      </c>
      <c r="Y108" s="519">
        <v>168.26400000000001</v>
      </c>
      <c r="Z108" s="569">
        <f>(Y108-U108)/Y108</f>
        <v>0.53123662815575534</v>
      </c>
      <c r="AA108" s="409">
        <v>175.3</v>
      </c>
      <c r="AB108" s="557">
        <f t="shared" si="4"/>
        <v>44.175599999999996</v>
      </c>
      <c r="AC108" s="565">
        <v>5800.99</v>
      </c>
      <c r="AD108" s="564">
        <v>290.04949999999997</v>
      </c>
      <c r="AE108" s="564">
        <v>58.009899999999995</v>
      </c>
      <c r="AF108" s="519">
        <v>232.03959999999998</v>
      </c>
      <c r="AG108" s="569">
        <f>(AF108-AB108)/AF108</f>
        <v>0.80962042685817415</v>
      </c>
    </row>
    <row r="109" spans="2:33" x14ac:dyDescent="0.25">
      <c r="B109" s="231">
        <v>5</v>
      </c>
      <c r="C109" s="500">
        <v>1</v>
      </c>
      <c r="D109" s="501" t="s">
        <v>298</v>
      </c>
      <c r="E109" s="502" t="s">
        <v>132</v>
      </c>
      <c r="F109" s="502" t="s">
        <v>136</v>
      </c>
      <c r="G109" s="503">
        <v>2</v>
      </c>
      <c r="H109" s="502" t="s">
        <v>663</v>
      </c>
      <c r="I109" s="502" t="s">
        <v>676</v>
      </c>
      <c r="J109" s="502" t="s">
        <v>709</v>
      </c>
      <c r="K109" s="504" t="s">
        <v>664</v>
      </c>
      <c r="L109" s="502" t="s">
        <v>122</v>
      </c>
      <c r="M109" s="504" t="s">
        <v>264</v>
      </c>
      <c r="N109" s="505">
        <v>72</v>
      </c>
      <c r="O109" s="505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08">
        <v>335.05</v>
      </c>
      <c r="U109" s="557">
        <f t="shared" si="5"/>
        <v>84.432599999999994</v>
      </c>
      <c r="V109" s="565">
        <v>4359.54</v>
      </c>
      <c r="W109" s="564">
        <v>217.977</v>
      </c>
      <c r="X109" s="564">
        <v>43.595400000000005</v>
      </c>
      <c r="Y109" s="519">
        <v>174.38159999999999</v>
      </c>
      <c r="Z109" s="569">
        <f>(Y109-U109)/Y109</f>
        <v>0.51581703574230309</v>
      </c>
      <c r="AA109" s="409">
        <v>175.3</v>
      </c>
      <c r="AB109" s="557">
        <f t="shared" si="4"/>
        <v>44.175599999999996</v>
      </c>
      <c r="AC109" s="565">
        <v>5800.99</v>
      </c>
      <c r="AD109" s="564">
        <v>290.04949999999997</v>
      </c>
      <c r="AE109" s="564">
        <v>58.009899999999995</v>
      </c>
      <c r="AF109" s="519">
        <v>232.03959999999998</v>
      </c>
      <c r="AG109" s="569">
        <f>(AF109-AB109)/AF109</f>
        <v>0.80962042685817415</v>
      </c>
    </row>
    <row r="110" spans="2:33" x14ac:dyDescent="0.25">
      <c r="B110" s="231">
        <v>6</v>
      </c>
      <c r="C110" s="500">
        <v>1</v>
      </c>
      <c r="D110" s="501" t="s">
        <v>298</v>
      </c>
      <c r="E110" s="502" t="s">
        <v>132</v>
      </c>
      <c r="F110" s="502" t="s">
        <v>136</v>
      </c>
      <c r="G110" s="503">
        <v>2</v>
      </c>
      <c r="H110" s="502" t="s">
        <v>663</v>
      </c>
      <c r="I110" s="502" t="s">
        <v>677</v>
      </c>
      <c r="J110" s="502" t="s">
        <v>709</v>
      </c>
      <c r="K110" s="504" t="s">
        <v>664</v>
      </c>
      <c r="L110" s="502" t="s">
        <v>122</v>
      </c>
      <c r="M110" s="504" t="s">
        <v>264</v>
      </c>
      <c r="N110" s="505">
        <v>72</v>
      </c>
      <c r="O110" s="505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08">
        <v>408.35</v>
      </c>
      <c r="U110" s="557">
        <f t="shared" si="5"/>
        <v>102.90419999999999</v>
      </c>
      <c r="V110" s="565">
        <v>4492.07</v>
      </c>
      <c r="W110" s="564">
        <v>224.6035</v>
      </c>
      <c r="X110" s="564">
        <v>44.920700000000004</v>
      </c>
      <c r="Y110" s="519">
        <v>179.68279999999999</v>
      </c>
      <c r="Z110" s="569">
        <f>(Y110-U110)/Y110</f>
        <v>0.42730077670205496</v>
      </c>
      <c r="AA110" s="409">
        <v>175.3</v>
      </c>
      <c r="AB110" s="557">
        <f t="shared" si="4"/>
        <v>44.175599999999996</v>
      </c>
      <c r="AC110" s="565">
        <v>5800.99</v>
      </c>
      <c r="AD110" s="564">
        <v>290.04949999999997</v>
      </c>
      <c r="AE110" s="564">
        <v>58.009899999999995</v>
      </c>
      <c r="AF110" s="519">
        <v>232.03959999999998</v>
      </c>
      <c r="AG110" s="569">
        <f>(AF110-AB110)/AF110</f>
        <v>0.80962042685817415</v>
      </c>
    </row>
    <row r="111" spans="2:33" x14ac:dyDescent="0.25">
      <c r="B111" s="231">
        <v>7</v>
      </c>
      <c r="C111" s="544">
        <v>1</v>
      </c>
      <c r="D111" s="545" t="s">
        <v>298</v>
      </c>
      <c r="E111" s="546" t="s">
        <v>132</v>
      </c>
      <c r="F111" s="546" t="s">
        <v>136</v>
      </c>
      <c r="G111" s="547">
        <v>2</v>
      </c>
      <c r="H111" s="546" t="s">
        <v>187</v>
      </c>
      <c r="I111" s="546" t="s">
        <v>321</v>
      </c>
      <c r="J111" s="546" t="s">
        <v>709</v>
      </c>
      <c r="K111" s="548" t="s">
        <v>664</v>
      </c>
      <c r="L111" s="546" t="s">
        <v>122</v>
      </c>
      <c r="M111" s="548" t="s">
        <v>264</v>
      </c>
      <c r="N111" s="549">
        <v>98</v>
      </c>
      <c r="O111" s="549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08">
        <v>253.85000000000002</v>
      </c>
      <c r="U111" s="557">
        <f t="shared" si="5"/>
        <v>63.970199999999991</v>
      </c>
      <c r="V111" s="565"/>
      <c r="W111" s="565"/>
      <c r="X111" s="564"/>
      <c r="Y111" s="519"/>
      <c r="Z111" s="519"/>
      <c r="AA111" s="409">
        <v>218.65</v>
      </c>
      <c r="AB111" s="557">
        <f t="shared" si="4"/>
        <v>55.099799999999995</v>
      </c>
      <c r="AC111" s="565"/>
      <c r="AD111" s="565"/>
      <c r="AE111" s="564"/>
      <c r="AF111" s="519"/>
      <c r="AG111" s="519"/>
    </row>
    <row r="112" spans="2:33" x14ac:dyDescent="0.25">
      <c r="B112" s="231">
        <v>8</v>
      </c>
      <c r="C112" s="538">
        <v>1</v>
      </c>
      <c r="D112" s="539" t="s">
        <v>298</v>
      </c>
      <c r="E112" s="540" t="s">
        <v>132</v>
      </c>
      <c r="F112" s="540" t="s">
        <v>136</v>
      </c>
      <c r="G112" s="541">
        <v>2</v>
      </c>
      <c r="H112" s="540" t="s">
        <v>691</v>
      </c>
      <c r="I112" s="540" t="s">
        <v>321</v>
      </c>
      <c r="J112" s="540" t="s">
        <v>709</v>
      </c>
      <c r="K112" s="542" t="s">
        <v>664</v>
      </c>
      <c r="L112" s="540" t="s">
        <v>122</v>
      </c>
      <c r="M112" s="542" t="s">
        <v>264</v>
      </c>
      <c r="N112" s="543">
        <v>98</v>
      </c>
      <c r="O112" s="543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08">
        <v>513</v>
      </c>
      <c r="U112" s="557">
        <f t="shared" si="5"/>
        <v>129.27599999999998</v>
      </c>
      <c r="V112" s="565"/>
      <c r="W112" s="565"/>
      <c r="X112" s="564"/>
      <c r="Y112" s="519"/>
      <c r="Z112" s="570">
        <f>AVERAGE(Z113:Z116)</f>
        <v>0.4637214602727881</v>
      </c>
      <c r="AA112" s="409">
        <v>218.65</v>
      </c>
      <c r="AB112" s="557">
        <f t="shared" si="4"/>
        <v>55.099799999999995</v>
      </c>
      <c r="AC112" s="565"/>
      <c r="AD112" s="565"/>
      <c r="AE112" s="564"/>
      <c r="AF112" s="519"/>
      <c r="AG112" s="570">
        <f>AVERAGE(AG113:AG116)</f>
        <v>0.79836687554616803</v>
      </c>
    </row>
    <row r="113" spans="2:33" x14ac:dyDescent="0.25">
      <c r="B113" s="231">
        <v>9</v>
      </c>
      <c r="C113" s="500">
        <v>1</v>
      </c>
      <c r="D113" s="501" t="s">
        <v>298</v>
      </c>
      <c r="E113" s="502" t="s">
        <v>132</v>
      </c>
      <c r="F113" s="502" t="s">
        <v>136</v>
      </c>
      <c r="G113" s="503">
        <v>2</v>
      </c>
      <c r="H113" s="502" t="s">
        <v>663</v>
      </c>
      <c r="I113" s="502" t="s">
        <v>674</v>
      </c>
      <c r="J113" s="502" t="s">
        <v>709</v>
      </c>
      <c r="K113" s="504" t="s">
        <v>664</v>
      </c>
      <c r="L113" s="502" t="s">
        <v>122</v>
      </c>
      <c r="M113" s="504" t="s">
        <v>264</v>
      </c>
      <c r="N113" s="505">
        <v>98</v>
      </c>
      <c r="O113" s="505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08">
        <v>301.95</v>
      </c>
      <c r="U113" s="557">
        <f t="shared" si="5"/>
        <v>76.091399999999993</v>
      </c>
      <c r="V113" s="565">
        <v>3725.63</v>
      </c>
      <c r="W113" s="564">
        <v>186.28149999999999</v>
      </c>
      <c r="X113" s="564">
        <v>37.256300000000003</v>
      </c>
      <c r="Y113" s="519">
        <v>149.02519999999998</v>
      </c>
      <c r="Z113" s="569">
        <f>(Y113-U113)/Y113</f>
        <v>0.48940581861322779</v>
      </c>
      <c r="AA113" s="409">
        <v>218.65</v>
      </c>
      <c r="AB113" s="557">
        <f t="shared" si="4"/>
        <v>55.099799999999995</v>
      </c>
      <c r="AC113" s="565">
        <v>6831.69</v>
      </c>
      <c r="AD113" s="564">
        <v>341.58449999999999</v>
      </c>
      <c r="AE113" s="564">
        <v>68.316900000000004</v>
      </c>
      <c r="AF113" s="519">
        <v>273.26760000000002</v>
      </c>
      <c r="AG113" s="569">
        <f>(AF113-AB113)/AF113</f>
        <v>0.79836687554616803</v>
      </c>
    </row>
    <row r="114" spans="2:33" x14ac:dyDescent="0.25">
      <c r="B114" s="231">
        <v>10</v>
      </c>
      <c r="C114" s="500">
        <v>1</v>
      </c>
      <c r="D114" s="501" t="s">
        <v>298</v>
      </c>
      <c r="E114" s="502" t="s">
        <v>132</v>
      </c>
      <c r="F114" s="502" t="s">
        <v>136</v>
      </c>
      <c r="G114" s="503">
        <v>2</v>
      </c>
      <c r="H114" s="502" t="s">
        <v>663</v>
      </c>
      <c r="I114" s="502" t="s">
        <v>675</v>
      </c>
      <c r="J114" s="502" t="s">
        <v>709</v>
      </c>
      <c r="K114" s="504" t="s">
        <v>664</v>
      </c>
      <c r="L114" s="502" t="s">
        <v>122</v>
      </c>
      <c r="M114" s="504" t="s">
        <v>264</v>
      </c>
      <c r="N114" s="505">
        <v>98</v>
      </c>
      <c r="O114" s="505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08">
        <v>419.5</v>
      </c>
      <c r="U114" s="557">
        <f t="shared" si="5"/>
        <v>105.71399999999998</v>
      </c>
      <c r="V114" s="565">
        <v>5262.84</v>
      </c>
      <c r="W114" s="564">
        <v>263.142</v>
      </c>
      <c r="X114" s="564">
        <v>52.628399999999999</v>
      </c>
      <c r="Y114" s="519">
        <v>210.5136</v>
      </c>
      <c r="Z114" s="569">
        <f>(Y114-U114)/Y114</f>
        <v>0.49782816882139685</v>
      </c>
      <c r="AA114" s="409">
        <v>218.65</v>
      </c>
      <c r="AB114" s="557">
        <f t="shared" si="4"/>
        <v>55.099799999999995</v>
      </c>
      <c r="AC114" s="565">
        <v>6831.69</v>
      </c>
      <c r="AD114" s="564">
        <v>341.58449999999999</v>
      </c>
      <c r="AE114" s="564">
        <v>68.316900000000004</v>
      </c>
      <c r="AF114" s="519">
        <v>273.26760000000002</v>
      </c>
      <c r="AG114" s="569">
        <f>(AF114-AB114)/AF114</f>
        <v>0.79836687554616803</v>
      </c>
    </row>
    <row r="115" spans="2:33" x14ac:dyDescent="0.25">
      <c r="B115" s="231">
        <v>11</v>
      </c>
      <c r="C115" s="500">
        <v>1</v>
      </c>
      <c r="D115" s="501" t="s">
        <v>298</v>
      </c>
      <c r="E115" s="502" t="s">
        <v>132</v>
      </c>
      <c r="F115" s="502" t="s">
        <v>136</v>
      </c>
      <c r="G115" s="503">
        <v>2</v>
      </c>
      <c r="H115" s="502" t="s">
        <v>663</v>
      </c>
      <c r="I115" s="502" t="s">
        <v>676</v>
      </c>
      <c r="J115" s="502" t="s">
        <v>709</v>
      </c>
      <c r="K115" s="504" t="s">
        <v>664</v>
      </c>
      <c r="L115" s="502" t="s">
        <v>122</v>
      </c>
      <c r="M115" s="504" t="s">
        <v>264</v>
      </c>
      <c r="N115" s="505">
        <v>98</v>
      </c>
      <c r="O115" s="505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08">
        <v>449.1</v>
      </c>
      <c r="U115" s="557">
        <f t="shared" si="5"/>
        <v>113.17319999999999</v>
      </c>
      <c r="V115" s="565">
        <v>5453.87</v>
      </c>
      <c r="W115" s="564">
        <v>272.69349999999997</v>
      </c>
      <c r="X115" s="564">
        <v>54.538699999999999</v>
      </c>
      <c r="Y115" s="519">
        <v>218.15479999999997</v>
      </c>
      <c r="Z115" s="569">
        <f>(Y115-U115)/Y115</f>
        <v>0.48122525839449781</v>
      </c>
      <c r="AA115" s="409">
        <v>218.65</v>
      </c>
      <c r="AB115" s="557">
        <f t="shared" si="4"/>
        <v>55.099799999999995</v>
      </c>
      <c r="AC115" s="565">
        <v>6831.69</v>
      </c>
      <c r="AD115" s="564">
        <v>341.58449999999999</v>
      </c>
      <c r="AE115" s="564">
        <v>68.316900000000004</v>
      </c>
      <c r="AF115" s="519">
        <v>273.26760000000002</v>
      </c>
      <c r="AG115" s="569">
        <f>(AF115-AB115)/AF115</f>
        <v>0.79836687554616803</v>
      </c>
    </row>
    <row r="116" spans="2:33" x14ac:dyDescent="0.25">
      <c r="B116" s="231">
        <v>12</v>
      </c>
      <c r="C116" s="500">
        <v>1</v>
      </c>
      <c r="D116" s="501" t="s">
        <v>298</v>
      </c>
      <c r="E116" s="502" t="s">
        <v>132</v>
      </c>
      <c r="F116" s="502" t="s">
        <v>136</v>
      </c>
      <c r="G116" s="503">
        <v>2</v>
      </c>
      <c r="H116" s="502" t="s">
        <v>663</v>
      </c>
      <c r="I116" s="502" t="s">
        <v>677</v>
      </c>
      <c r="J116" s="502" t="s">
        <v>709</v>
      </c>
      <c r="K116" s="504" t="s">
        <v>664</v>
      </c>
      <c r="L116" s="502" t="s">
        <v>122</v>
      </c>
      <c r="M116" s="504" t="s">
        <v>264</v>
      </c>
      <c r="N116" s="505">
        <v>98</v>
      </c>
      <c r="O116" s="505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08">
        <v>547.4</v>
      </c>
      <c r="U116" s="557">
        <f t="shared" si="5"/>
        <v>137.94479999999996</v>
      </c>
      <c r="V116" s="565">
        <v>5620.55</v>
      </c>
      <c r="W116" s="564">
        <v>281.02750000000003</v>
      </c>
      <c r="X116" s="564">
        <v>56.205500000000008</v>
      </c>
      <c r="Y116" s="519">
        <v>224.82200000000003</v>
      </c>
      <c r="Z116" s="569">
        <f>(Y116-U116)/Y116</f>
        <v>0.38642659526202977</v>
      </c>
      <c r="AA116" s="409">
        <v>218.65</v>
      </c>
      <c r="AB116" s="557">
        <f t="shared" si="4"/>
        <v>55.099799999999995</v>
      </c>
      <c r="AC116" s="565">
        <v>6831.69</v>
      </c>
      <c r="AD116" s="564">
        <v>341.58449999999999</v>
      </c>
      <c r="AE116" s="564">
        <v>68.316900000000004</v>
      </c>
      <c r="AF116" s="519">
        <v>273.26760000000002</v>
      </c>
      <c r="AG116" s="569">
        <f>(AF116-AB116)/AF116</f>
        <v>0.79836687554616803</v>
      </c>
    </row>
    <row r="117" spans="2:33" x14ac:dyDescent="0.25">
      <c r="B117" s="231">
        <v>13</v>
      </c>
      <c r="C117" s="544">
        <v>1</v>
      </c>
      <c r="D117" s="545" t="s">
        <v>298</v>
      </c>
      <c r="E117" s="546" t="s">
        <v>132</v>
      </c>
      <c r="F117" s="546" t="s">
        <v>136</v>
      </c>
      <c r="G117" s="547">
        <v>2</v>
      </c>
      <c r="H117" s="546" t="s">
        <v>187</v>
      </c>
      <c r="I117" s="546" t="s">
        <v>321</v>
      </c>
      <c r="J117" s="546" t="s">
        <v>709</v>
      </c>
      <c r="K117" s="548" t="s">
        <v>664</v>
      </c>
      <c r="L117" s="546" t="s">
        <v>122</v>
      </c>
      <c r="M117" s="548" t="s">
        <v>264</v>
      </c>
      <c r="N117" s="549">
        <v>124</v>
      </c>
      <c r="O117" s="549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08">
        <v>314.65000000000003</v>
      </c>
      <c r="U117" s="557">
        <f t="shared" si="5"/>
        <v>79.291800000000009</v>
      </c>
      <c r="V117" s="565"/>
      <c r="W117" s="565"/>
      <c r="X117" s="564"/>
      <c r="Y117" s="519"/>
      <c r="Z117" s="519"/>
      <c r="AA117" s="409">
        <v>262</v>
      </c>
      <c r="AB117" s="557">
        <f t="shared" si="4"/>
        <v>66.023999999999987</v>
      </c>
      <c r="AC117" s="565"/>
      <c r="AD117" s="565"/>
      <c r="AE117" s="564"/>
      <c r="AF117" s="519"/>
      <c r="AG117" s="519"/>
    </row>
    <row r="118" spans="2:33" x14ac:dyDescent="0.25">
      <c r="B118" s="231">
        <v>14</v>
      </c>
      <c r="C118" s="538">
        <v>1</v>
      </c>
      <c r="D118" s="539" t="s">
        <v>298</v>
      </c>
      <c r="E118" s="540" t="s">
        <v>132</v>
      </c>
      <c r="F118" s="540" t="s">
        <v>136</v>
      </c>
      <c r="G118" s="541">
        <v>2</v>
      </c>
      <c r="H118" s="540" t="s">
        <v>691</v>
      </c>
      <c r="I118" s="540" t="s">
        <v>321</v>
      </c>
      <c r="J118" s="540" t="s">
        <v>709</v>
      </c>
      <c r="K118" s="542" t="s">
        <v>664</v>
      </c>
      <c r="L118" s="540" t="s">
        <v>122</v>
      </c>
      <c r="M118" s="542" t="s">
        <v>264</v>
      </c>
      <c r="N118" s="543">
        <v>124</v>
      </c>
      <c r="O118" s="543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08">
        <v>635.1</v>
      </c>
      <c r="U118" s="557">
        <f t="shared" si="5"/>
        <v>160.04519999999997</v>
      </c>
      <c r="V118" s="565"/>
      <c r="W118" s="565"/>
      <c r="X118" s="564"/>
      <c r="Y118" s="519"/>
      <c r="Z118" s="570">
        <f>AVERAGE(Z119:Z122)</f>
        <v>0.44687900560297045</v>
      </c>
      <c r="AA118" s="409">
        <v>262</v>
      </c>
      <c r="AB118" s="557">
        <f t="shared" si="4"/>
        <v>66.023999999999987</v>
      </c>
      <c r="AC118" s="565"/>
      <c r="AD118" s="565"/>
      <c r="AE118" s="564"/>
      <c r="AF118" s="519"/>
      <c r="AG118" s="570">
        <f>AVERAGE(AG119:AG122)</f>
        <v>0.77588503415492527</v>
      </c>
    </row>
    <row r="119" spans="2:33" x14ac:dyDescent="0.25">
      <c r="B119" s="231">
        <v>15</v>
      </c>
      <c r="C119" s="500">
        <v>1</v>
      </c>
      <c r="D119" s="501" t="s">
        <v>298</v>
      </c>
      <c r="E119" s="502" t="s">
        <v>132</v>
      </c>
      <c r="F119" s="502" t="s">
        <v>136</v>
      </c>
      <c r="G119" s="503">
        <v>2</v>
      </c>
      <c r="H119" s="502" t="s">
        <v>663</v>
      </c>
      <c r="I119" s="502" t="s">
        <v>674</v>
      </c>
      <c r="J119" s="502" t="s">
        <v>709</v>
      </c>
      <c r="K119" s="504" t="s">
        <v>664</v>
      </c>
      <c r="L119" s="502" t="s">
        <v>122</v>
      </c>
      <c r="M119" s="504" t="s">
        <v>264</v>
      </c>
      <c r="N119" s="505">
        <v>124</v>
      </c>
      <c r="O119" s="505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08">
        <v>374.15000000000003</v>
      </c>
      <c r="U119" s="557">
        <f t="shared" si="5"/>
        <v>94.285799999999995</v>
      </c>
      <c r="V119" s="565">
        <v>4470.21</v>
      </c>
      <c r="W119" s="564">
        <v>223.51050000000001</v>
      </c>
      <c r="X119" s="564">
        <v>44.702100000000002</v>
      </c>
      <c r="Y119" s="519">
        <v>178.80840000000001</v>
      </c>
      <c r="Z119" s="569">
        <f>(Y119-U119)/Y119</f>
        <v>0.47269926916185151</v>
      </c>
      <c r="AA119" s="409">
        <v>262</v>
      </c>
      <c r="AB119" s="557">
        <f t="shared" si="4"/>
        <v>66.023999999999987</v>
      </c>
      <c r="AC119" s="565">
        <v>7364.9699999999993</v>
      </c>
      <c r="AD119" s="564">
        <v>368.24849999999998</v>
      </c>
      <c r="AE119" s="564">
        <v>73.649699999999996</v>
      </c>
      <c r="AF119" s="519">
        <v>294.59879999999998</v>
      </c>
      <c r="AG119" s="569">
        <f>(AF119-AB119)/AF119</f>
        <v>0.77588503415492527</v>
      </c>
    </row>
    <row r="120" spans="2:33" x14ac:dyDescent="0.25">
      <c r="B120" s="231">
        <v>16</v>
      </c>
      <c r="C120" s="500">
        <v>1</v>
      </c>
      <c r="D120" s="501" t="s">
        <v>298</v>
      </c>
      <c r="E120" s="502" t="s">
        <v>132</v>
      </c>
      <c r="F120" s="502" t="s">
        <v>136</v>
      </c>
      <c r="G120" s="503">
        <v>2</v>
      </c>
      <c r="H120" s="502" t="s">
        <v>663</v>
      </c>
      <c r="I120" s="502" t="s">
        <v>675</v>
      </c>
      <c r="J120" s="502" t="s">
        <v>709</v>
      </c>
      <c r="K120" s="504" t="s">
        <v>664</v>
      </c>
      <c r="L120" s="502" t="s">
        <v>122</v>
      </c>
      <c r="M120" s="504" t="s">
        <v>264</v>
      </c>
      <c r="N120" s="505">
        <v>124</v>
      </c>
      <c r="O120" s="505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08">
        <v>519.5</v>
      </c>
      <c r="U120" s="557">
        <f t="shared" si="5"/>
        <v>130.91399999999999</v>
      </c>
      <c r="V120" s="565">
        <v>6319.08</v>
      </c>
      <c r="W120" s="564">
        <v>315.95400000000001</v>
      </c>
      <c r="X120" s="564">
        <v>63.190800000000003</v>
      </c>
      <c r="Y120" s="519">
        <v>252.76320000000001</v>
      </c>
      <c r="Z120" s="569">
        <f>(Y120-U120)/Y120</f>
        <v>0.48206859226343085</v>
      </c>
      <c r="AA120" s="409">
        <v>262</v>
      </c>
      <c r="AB120" s="557">
        <f t="shared" si="4"/>
        <v>66.023999999999987</v>
      </c>
      <c r="AC120" s="565">
        <v>7364.9699999999993</v>
      </c>
      <c r="AD120" s="564">
        <v>368.24849999999998</v>
      </c>
      <c r="AE120" s="564">
        <v>73.649699999999996</v>
      </c>
      <c r="AF120" s="519">
        <v>294.59879999999998</v>
      </c>
      <c r="AG120" s="569">
        <f>(AF120-AB120)/AF120</f>
        <v>0.77588503415492527</v>
      </c>
    </row>
    <row r="121" spans="2:33" x14ac:dyDescent="0.25">
      <c r="B121" s="231">
        <v>17</v>
      </c>
      <c r="C121" s="500">
        <v>1</v>
      </c>
      <c r="D121" s="501" t="s">
        <v>298</v>
      </c>
      <c r="E121" s="502" t="s">
        <v>132</v>
      </c>
      <c r="F121" s="502" t="s">
        <v>136</v>
      </c>
      <c r="G121" s="503">
        <v>2</v>
      </c>
      <c r="H121" s="502" t="s">
        <v>663</v>
      </c>
      <c r="I121" s="502" t="s">
        <v>676</v>
      </c>
      <c r="J121" s="502" t="s">
        <v>709</v>
      </c>
      <c r="K121" s="504" t="s">
        <v>664</v>
      </c>
      <c r="L121" s="502" t="s">
        <v>122</v>
      </c>
      <c r="M121" s="504" t="s">
        <v>264</v>
      </c>
      <c r="N121" s="505">
        <v>124</v>
      </c>
      <c r="O121" s="505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08">
        <v>556.05000000000007</v>
      </c>
      <c r="U121" s="557">
        <f t="shared" si="5"/>
        <v>140.12459999999999</v>
      </c>
      <c r="V121" s="565">
        <v>6549.56</v>
      </c>
      <c r="W121" s="564">
        <v>327.47800000000001</v>
      </c>
      <c r="X121" s="564">
        <v>65.49560000000001</v>
      </c>
      <c r="Y121" s="519">
        <v>261.98239999999998</v>
      </c>
      <c r="Z121" s="569">
        <f>(Y121-U121)/Y121</f>
        <v>0.46513735273819923</v>
      </c>
      <c r="AA121" s="409">
        <v>262</v>
      </c>
      <c r="AB121" s="557">
        <f t="shared" si="4"/>
        <v>66.023999999999987</v>
      </c>
      <c r="AC121" s="565">
        <v>7364.9699999999993</v>
      </c>
      <c r="AD121" s="564">
        <v>368.24849999999998</v>
      </c>
      <c r="AE121" s="564">
        <v>73.649699999999996</v>
      </c>
      <c r="AF121" s="519">
        <v>294.59879999999998</v>
      </c>
      <c r="AG121" s="569">
        <f>(AF121-AB121)/AF121</f>
        <v>0.77588503415492527</v>
      </c>
    </row>
    <row r="122" spans="2:33" x14ac:dyDescent="0.25">
      <c r="B122" s="231">
        <v>18</v>
      </c>
      <c r="C122" s="500">
        <v>1</v>
      </c>
      <c r="D122" s="501" t="s">
        <v>298</v>
      </c>
      <c r="E122" s="502" t="s">
        <v>132</v>
      </c>
      <c r="F122" s="502" t="s">
        <v>136</v>
      </c>
      <c r="G122" s="503">
        <v>2</v>
      </c>
      <c r="H122" s="502" t="s">
        <v>663</v>
      </c>
      <c r="I122" s="502" t="s">
        <v>677</v>
      </c>
      <c r="J122" s="502" t="s">
        <v>709</v>
      </c>
      <c r="K122" s="504" t="s">
        <v>664</v>
      </c>
      <c r="L122" s="502" t="s">
        <v>122</v>
      </c>
      <c r="M122" s="504" t="s">
        <v>264</v>
      </c>
      <c r="N122" s="505">
        <v>124</v>
      </c>
      <c r="O122" s="505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08">
        <v>677.6</v>
      </c>
      <c r="U122" s="557">
        <f t="shared" si="5"/>
        <v>170.75519999999997</v>
      </c>
      <c r="V122" s="565">
        <v>6750.4</v>
      </c>
      <c r="W122" s="564">
        <v>337.52</v>
      </c>
      <c r="X122" s="564">
        <v>67.504000000000005</v>
      </c>
      <c r="Y122" s="519">
        <v>270.01599999999996</v>
      </c>
      <c r="Z122" s="569">
        <f>(Y122-U122)/Y122</f>
        <v>0.36761080824840009</v>
      </c>
      <c r="AA122" s="409">
        <v>262</v>
      </c>
      <c r="AB122" s="557">
        <f t="shared" si="4"/>
        <v>66.023999999999987</v>
      </c>
      <c r="AC122" s="565">
        <v>7364.9699999999993</v>
      </c>
      <c r="AD122" s="564">
        <v>368.24849999999998</v>
      </c>
      <c r="AE122" s="564">
        <v>73.649699999999996</v>
      </c>
      <c r="AF122" s="519">
        <v>294.59879999999998</v>
      </c>
      <c r="AG122" s="569">
        <f>(AF122-AB122)/AF122</f>
        <v>0.77588503415492527</v>
      </c>
    </row>
    <row r="123" spans="2:33" x14ac:dyDescent="0.25">
      <c r="B123" s="231">
        <v>19</v>
      </c>
      <c r="C123" s="544">
        <v>1</v>
      </c>
      <c r="D123" s="545" t="s">
        <v>298</v>
      </c>
      <c r="E123" s="546" t="s">
        <v>132</v>
      </c>
      <c r="F123" s="546" t="s">
        <v>136</v>
      </c>
      <c r="G123" s="547">
        <v>2</v>
      </c>
      <c r="H123" s="546" t="s">
        <v>187</v>
      </c>
      <c r="I123" s="546" t="s">
        <v>321</v>
      </c>
      <c r="J123" s="546" t="s">
        <v>709</v>
      </c>
      <c r="K123" s="548" t="s">
        <v>664</v>
      </c>
      <c r="L123" s="546" t="s">
        <v>122</v>
      </c>
      <c r="M123" s="548" t="s">
        <v>264</v>
      </c>
      <c r="N123" s="549">
        <v>150</v>
      </c>
      <c r="O123" s="549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08">
        <v>379</v>
      </c>
      <c r="U123" s="557">
        <f t="shared" si="5"/>
        <v>95.507999999999996</v>
      </c>
      <c r="V123" s="565"/>
      <c r="W123" s="565"/>
      <c r="X123" s="564"/>
      <c r="Y123" s="519"/>
      <c r="Z123" s="519"/>
      <c r="AA123" s="409">
        <v>305.3</v>
      </c>
      <c r="AB123" s="557">
        <f t="shared" si="4"/>
        <v>76.935599999999994</v>
      </c>
      <c r="AC123" s="565"/>
      <c r="AD123" s="565"/>
      <c r="AE123" s="564"/>
      <c r="AF123" s="519"/>
      <c r="AG123" s="519"/>
    </row>
    <row r="124" spans="2:33" x14ac:dyDescent="0.25">
      <c r="B124" s="231">
        <v>20</v>
      </c>
      <c r="C124" s="538">
        <v>1</v>
      </c>
      <c r="D124" s="539" t="s">
        <v>298</v>
      </c>
      <c r="E124" s="540" t="s">
        <v>132</v>
      </c>
      <c r="F124" s="540" t="s">
        <v>136</v>
      </c>
      <c r="G124" s="541">
        <v>2</v>
      </c>
      <c r="H124" s="540" t="s">
        <v>691</v>
      </c>
      <c r="I124" s="540" t="s">
        <v>321</v>
      </c>
      <c r="J124" s="540" t="s">
        <v>709</v>
      </c>
      <c r="K124" s="542" t="s">
        <v>664</v>
      </c>
      <c r="L124" s="540" t="s">
        <v>122</v>
      </c>
      <c r="M124" s="542" t="s">
        <v>264</v>
      </c>
      <c r="N124" s="543">
        <v>150</v>
      </c>
      <c r="O124" s="543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08">
        <v>765.40000000000009</v>
      </c>
      <c r="U124" s="557">
        <f t="shared" si="5"/>
        <v>192.88079999999999</v>
      </c>
      <c r="V124" s="565"/>
      <c r="W124" s="565"/>
      <c r="X124" s="564"/>
      <c r="Y124" s="519"/>
      <c r="Z124" s="570">
        <f>AVERAGE(Z125:Z128)</f>
        <v>0.43457860269870535</v>
      </c>
      <c r="AA124" s="409">
        <v>305.3</v>
      </c>
      <c r="AB124" s="557">
        <f t="shared" si="4"/>
        <v>76.935599999999994</v>
      </c>
      <c r="AC124" s="565"/>
      <c r="AD124" s="565"/>
      <c r="AE124" s="564"/>
      <c r="AF124" s="519"/>
      <c r="AG124" s="570">
        <f>AVERAGE(AG125:AG128)</f>
        <v>0.76116569231762621</v>
      </c>
    </row>
    <row r="125" spans="2:33" x14ac:dyDescent="0.25">
      <c r="B125" s="231">
        <v>21</v>
      </c>
      <c r="C125" s="500">
        <v>1</v>
      </c>
      <c r="D125" s="501" t="s">
        <v>298</v>
      </c>
      <c r="E125" s="502" t="s">
        <v>132</v>
      </c>
      <c r="F125" s="502" t="s">
        <v>136</v>
      </c>
      <c r="G125" s="503">
        <v>2</v>
      </c>
      <c r="H125" s="502" t="s">
        <v>663</v>
      </c>
      <c r="I125" s="502" t="s">
        <v>674</v>
      </c>
      <c r="J125" s="502" t="s">
        <v>709</v>
      </c>
      <c r="K125" s="504" t="s">
        <v>664</v>
      </c>
      <c r="L125" s="502" t="s">
        <v>122</v>
      </c>
      <c r="M125" s="504" t="s">
        <v>264</v>
      </c>
      <c r="N125" s="505">
        <v>150</v>
      </c>
      <c r="O125" s="505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08">
        <v>450.75</v>
      </c>
      <c r="U125" s="557">
        <f t="shared" si="5"/>
        <v>113.58899999999998</v>
      </c>
      <c r="V125" s="565">
        <v>5279</v>
      </c>
      <c r="W125" s="564">
        <v>263.95</v>
      </c>
      <c r="X125" s="564">
        <v>52.79</v>
      </c>
      <c r="Y125" s="519">
        <v>211.16</v>
      </c>
      <c r="Z125" s="569">
        <f>(Y125-U125)/Y125</f>
        <v>0.46207141504072746</v>
      </c>
      <c r="AA125" s="409">
        <v>305.3</v>
      </c>
      <c r="AB125" s="557">
        <f t="shared" si="4"/>
        <v>76.935599999999994</v>
      </c>
      <c r="AC125" s="565">
        <v>8053.24</v>
      </c>
      <c r="AD125" s="564">
        <v>402.66199999999998</v>
      </c>
      <c r="AE125" s="564">
        <v>80.532399999999996</v>
      </c>
      <c r="AF125" s="519">
        <v>322.12959999999998</v>
      </c>
      <c r="AG125" s="569">
        <f>(AF125-AB125)/AF125</f>
        <v>0.76116569231762621</v>
      </c>
    </row>
    <row r="126" spans="2:33" x14ac:dyDescent="0.25">
      <c r="B126" s="231">
        <v>22</v>
      </c>
      <c r="C126" s="500">
        <v>1</v>
      </c>
      <c r="D126" s="501" t="s">
        <v>298</v>
      </c>
      <c r="E126" s="502" t="s">
        <v>132</v>
      </c>
      <c r="F126" s="502" t="s">
        <v>136</v>
      </c>
      <c r="G126" s="503">
        <v>2</v>
      </c>
      <c r="H126" s="502" t="s">
        <v>663</v>
      </c>
      <c r="I126" s="502" t="s">
        <v>675</v>
      </c>
      <c r="J126" s="502" t="s">
        <v>709</v>
      </c>
      <c r="K126" s="504" t="s">
        <v>664</v>
      </c>
      <c r="L126" s="502" t="s">
        <v>122</v>
      </c>
      <c r="M126" s="504" t="s">
        <v>264</v>
      </c>
      <c r="N126" s="505">
        <v>150</v>
      </c>
      <c r="O126" s="505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08">
        <v>626</v>
      </c>
      <c r="U126" s="557">
        <f t="shared" si="5"/>
        <v>157.75199999999998</v>
      </c>
      <c r="V126" s="565">
        <v>7456.32</v>
      </c>
      <c r="W126" s="564">
        <v>372.81599999999997</v>
      </c>
      <c r="X126" s="564">
        <v>74.563199999999995</v>
      </c>
      <c r="Y126" s="519">
        <v>298.25279999999998</v>
      </c>
      <c r="Z126" s="569">
        <f>(Y126-U126)/Y126</f>
        <v>0.4710795674005408</v>
      </c>
      <c r="AA126" s="409">
        <v>305.3</v>
      </c>
      <c r="AB126" s="557">
        <f t="shared" si="4"/>
        <v>76.935599999999994</v>
      </c>
      <c r="AC126" s="565">
        <v>8053.24</v>
      </c>
      <c r="AD126" s="564">
        <v>402.66199999999998</v>
      </c>
      <c r="AE126" s="564">
        <v>80.532399999999996</v>
      </c>
      <c r="AF126" s="519">
        <v>322.12959999999998</v>
      </c>
      <c r="AG126" s="569">
        <f>(AF126-AB126)/AF126</f>
        <v>0.76116569231762621</v>
      </c>
    </row>
    <row r="127" spans="2:33" x14ac:dyDescent="0.25">
      <c r="B127" s="231">
        <v>23</v>
      </c>
      <c r="C127" s="500">
        <v>1</v>
      </c>
      <c r="D127" s="501" t="s">
        <v>298</v>
      </c>
      <c r="E127" s="502" t="s">
        <v>132</v>
      </c>
      <c r="F127" s="502" t="s">
        <v>136</v>
      </c>
      <c r="G127" s="503">
        <v>2</v>
      </c>
      <c r="H127" s="502" t="s">
        <v>663</v>
      </c>
      <c r="I127" s="502" t="s">
        <v>676</v>
      </c>
      <c r="J127" s="502" t="s">
        <v>709</v>
      </c>
      <c r="K127" s="504" t="s">
        <v>664</v>
      </c>
      <c r="L127" s="502" t="s">
        <v>122</v>
      </c>
      <c r="M127" s="504" t="s">
        <v>264</v>
      </c>
      <c r="N127" s="505">
        <v>150</v>
      </c>
      <c r="O127" s="505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08">
        <v>670.1</v>
      </c>
      <c r="U127" s="557">
        <f t="shared" si="5"/>
        <v>168.86519999999999</v>
      </c>
      <c r="V127" s="565">
        <v>7706.74</v>
      </c>
      <c r="W127" s="564">
        <v>385.33699999999999</v>
      </c>
      <c r="X127" s="564">
        <v>77.067400000000006</v>
      </c>
      <c r="Y127" s="519">
        <v>308.26959999999997</v>
      </c>
      <c r="Z127" s="569">
        <f>(Y127-U127)/Y127</f>
        <v>0.45221585261731939</v>
      </c>
      <c r="AA127" s="409">
        <v>305.3</v>
      </c>
      <c r="AB127" s="557">
        <f t="shared" si="4"/>
        <v>76.935599999999994</v>
      </c>
      <c r="AC127" s="565">
        <v>8053.24</v>
      </c>
      <c r="AD127" s="564">
        <v>402.66199999999998</v>
      </c>
      <c r="AE127" s="564">
        <v>80.532399999999996</v>
      </c>
      <c r="AF127" s="519">
        <v>322.12959999999998</v>
      </c>
      <c r="AG127" s="569">
        <f>(AF127-AB127)/AF127</f>
        <v>0.76116569231762621</v>
      </c>
    </row>
    <row r="128" spans="2:33" x14ac:dyDescent="0.25">
      <c r="B128" s="231">
        <v>24</v>
      </c>
      <c r="C128" s="500">
        <v>1</v>
      </c>
      <c r="D128" s="501" t="s">
        <v>298</v>
      </c>
      <c r="E128" s="502" t="s">
        <v>132</v>
      </c>
      <c r="F128" s="502" t="s">
        <v>136</v>
      </c>
      <c r="G128" s="503">
        <v>2</v>
      </c>
      <c r="H128" s="502" t="s">
        <v>663</v>
      </c>
      <c r="I128" s="502" t="s">
        <v>677</v>
      </c>
      <c r="J128" s="502" t="s">
        <v>709</v>
      </c>
      <c r="K128" s="504" t="s">
        <v>664</v>
      </c>
      <c r="L128" s="502" t="s">
        <v>122</v>
      </c>
      <c r="M128" s="504" t="s">
        <v>264</v>
      </c>
      <c r="N128" s="505">
        <v>150</v>
      </c>
      <c r="O128" s="505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08">
        <v>816.65000000000009</v>
      </c>
      <c r="U128" s="557">
        <f t="shared" si="5"/>
        <v>205.79579999999999</v>
      </c>
      <c r="V128" s="565">
        <v>7951.28</v>
      </c>
      <c r="W128" s="564">
        <v>397.56399999999996</v>
      </c>
      <c r="X128" s="564">
        <v>79.512799999999999</v>
      </c>
      <c r="Y128" s="519">
        <v>318.05119999999999</v>
      </c>
      <c r="Z128" s="569">
        <f>(Y128-U128)/Y128</f>
        <v>0.3529475757362337</v>
      </c>
      <c r="AA128" s="409">
        <v>305.3</v>
      </c>
      <c r="AB128" s="557">
        <f t="shared" si="4"/>
        <v>76.935599999999994</v>
      </c>
      <c r="AC128" s="565">
        <v>8053.24</v>
      </c>
      <c r="AD128" s="564">
        <v>402.66199999999998</v>
      </c>
      <c r="AE128" s="564">
        <v>80.532399999999996</v>
      </c>
      <c r="AF128" s="519">
        <v>322.12959999999998</v>
      </c>
      <c r="AG128" s="569">
        <f>(AF128-AB128)/AF128</f>
        <v>0.76116569231762621</v>
      </c>
    </row>
    <row r="129" spans="2:33" x14ac:dyDescent="0.25">
      <c r="B129" s="231">
        <v>25</v>
      </c>
      <c r="C129" s="550">
        <v>1</v>
      </c>
      <c r="D129" s="551" t="s">
        <v>298</v>
      </c>
      <c r="E129" s="552" t="s">
        <v>132</v>
      </c>
      <c r="F129" s="552" t="s">
        <v>116</v>
      </c>
      <c r="G129" s="553">
        <v>2</v>
      </c>
      <c r="H129" s="552" t="s">
        <v>187</v>
      </c>
      <c r="I129" s="552" t="s">
        <v>323</v>
      </c>
      <c r="J129" s="552" t="s">
        <v>709</v>
      </c>
      <c r="K129" s="554" t="s">
        <v>665</v>
      </c>
      <c r="L129" s="552" t="s">
        <v>122</v>
      </c>
      <c r="M129" s="554" t="s">
        <v>264</v>
      </c>
      <c r="N129" s="555">
        <v>72</v>
      </c>
      <c r="O129" s="555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08">
        <v>122.9</v>
      </c>
      <c r="U129" s="557">
        <f t="shared" si="5"/>
        <v>30.970800000000001</v>
      </c>
      <c r="V129" s="565"/>
      <c r="W129" s="565"/>
      <c r="X129" s="564"/>
      <c r="Y129" s="519"/>
      <c r="Z129" s="631">
        <f>AVERAGE(Z131:Z134,Z137:Z140,Z143:Z146,Z149:Z152)</f>
        <v>0.43465689702216354</v>
      </c>
      <c r="AA129" s="409">
        <v>175.3</v>
      </c>
      <c r="AB129" s="557">
        <f t="shared" si="4"/>
        <v>44.175599999999996</v>
      </c>
      <c r="AC129" s="565"/>
      <c r="AD129" s="565"/>
      <c r="AE129" s="564"/>
      <c r="AF129" s="519"/>
      <c r="AG129" s="631">
        <f>AVERAGE(AG131:AG134,AG137:AG140,AG143:AG146,AG149:AG152)</f>
        <v>0.78625950721922311</v>
      </c>
    </row>
    <row r="130" spans="2:33" x14ac:dyDescent="0.25">
      <c r="B130" s="231">
        <v>26</v>
      </c>
      <c r="C130" s="506">
        <v>1</v>
      </c>
      <c r="D130" s="507" t="s">
        <v>298</v>
      </c>
      <c r="E130" s="508" t="s">
        <v>132</v>
      </c>
      <c r="F130" s="508" t="s">
        <v>116</v>
      </c>
      <c r="G130" s="509">
        <v>2</v>
      </c>
      <c r="H130" s="508" t="s">
        <v>691</v>
      </c>
      <c r="I130" s="508" t="s">
        <v>323</v>
      </c>
      <c r="J130" s="508" t="s">
        <v>709</v>
      </c>
      <c r="K130" s="510" t="s">
        <v>665</v>
      </c>
      <c r="L130" s="508" t="s">
        <v>122</v>
      </c>
      <c r="M130" s="510" t="s">
        <v>264</v>
      </c>
      <c r="N130" s="511">
        <v>72</v>
      </c>
      <c r="O130" s="511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08">
        <v>221.15</v>
      </c>
      <c r="U130" s="557">
        <f t="shared" si="5"/>
        <v>55.729799999999997</v>
      </c>
      <c r="V130" s="565"/>
      <c r="W130" s="565"/>
      <c r="X130" s="564"/>
      <c r="Y130" s="519"/>
      <c r="Z130" s="570">
        <f>AVERAGE(Z131:Z134)</f>
        <v>0.4589927964883061</v>
      </c>
      <c r="AA130" s="409">
        <v>175.3</v>
      </c>
      <c r="AB130" s="557">
        <f t="shared" si="4"/>
        <v>44.175599999999996</v>
      </c>
      <c r="AC130" s="565"/>
      <c r="AD130" s="565"/>
      <c r="AE130" s="564"/>
      <c r="AF130" s="519"/>
      <c r="AG130" s="570">
        <f>AVERAGE(AG131:AG134)</f>
        <v>0.80962042685817415</v>
      </c>
    </row>
    <row r="131" spans="2:33" x14ac:dyDescent="0.25">
      <c r="B131" s="231">
        <v>27</v>
      </c>
      <c r="C131" s="512">
        <v>1</v>
      </c>
      <c r="D131" s="513" t="s">
        <v>298</v>
      </c>
      <c r="E131" s="514" t="s">
        <v>132</v>
      </c>
      <c r="F131" s="514" t="s">
        <v>116</v>
      </c>
      <c r="G131" s="515">
        <v>2</v>
      </c>
      <c r="H131" s="514" t="s">
        <v>663</v>
      </c>
      <c r="I131" s="514" t="s">
        <v>681</v>
      </c>
      <c r="J131" s="514" t="s">
        <v>709</v>
      </c>
      <c r="K131" s="516" t="s">
        <v>665</v>
      </c>
      <c r="L131" s="514" t="s">
        <v>122</v>
      </c>
      <c r="M131" s="516" t="s">
        <v>264</v>
      </c>
      <c r="N131" s="517">
        <v>72</v>
      </c>
      <c r="O131" s="517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08">
        <v>182.4</v>
      </c>
      <c r="U131" s="557">
        <f t="shared" si="5"/>
        <v>45.96479999999999</v>
      </c>
      <c r="V131" s="565">
        <v>2498.04</v>
      </c>
      <c r="W131" s="564">
        <v>124.902</v>
      </c>
      <c r="X131" s="564">
        <v>24.980400000000003</v>
      </c>
      <c r="Y131" s="519">
        <v>99.921599999999998</v>
      </c>
      <c r="Z131" s="569">
        <f>(Y131-U131)/Y131</f>
        <v>0.53999135322092529</v>
      </c>
      <c r="AA131" s="409">
        <v>175.3</v>
      </c>
      <c r="AB131" s="557">
        <f t="shared" si="4"/>
        <v>44.175599999999996</v>
      </c>
      <c r="AC131" s="565">
        <v>5800.99</v>
      </c>
      <c r="AD131" s="564">
        <v>290.04949999999997</v>
      </c>
      <c r="AE131" s="564">
        <v>58.009899999999995</v>
      </c>
      <c r="AF131" s="519">
        <v>232.03959999999998</v>
      </c>
      <c r="AG131" s="569">
        <f>(AF131-AB131)/AF131</f>
        <v>0.80962042685817415</v>
      </c>
    </row>
    <row r="132" spans="2:33" x14ac:dyDescent="0.25">
      <c r="B132" s="231">
        <v>28</v>
      </c>
      <c r="C132" s="512">
        <v>1</v>
      </c>
      <c r="D132" s="513" t="s">
        <v>298</v>
      </c>
      <c r="E132" s="514" t="s">
        <v>132</v>
      </c>
      <c r="F132" s="514" t="s">
        <v>116</v>
      </c>
      <c r="G132" s="515">
        <v>2</v>
      </c>
      <c r="H132" s="514" t="s">
        <v>663</v>
      </c>
      <c r="I132" s="514" t="s">
        <v>685</v>
      </c>
      <c r="J132" s="514" t="s">
        <v>709</v>
      </c>
      <c r="K132" s="516" t="s">
        <v>665</v>
      </c>
      <c r="L132" s="514" t="s">
        <v>122</v>
      </c>
      <c r="M132" s="516" t="s">
        <v>264</v>
      </c>
      <c r="N132" s="517">
        <v>72</v>
      </c>
      <c r="O132" s="517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08">
        <v>217.65</v>
      </c>
      <c r="U132" s="557">
        <f t="shared" si="5"/>
        <v>54.847799999999999</v>
      </c>
      <c r="V132" s="565">
        <v>2762.46</v>
      </c>
      <c r="W132" s="564">
        <v>138.12299999999999</v>
      </c>
      <c r="X132" s="564">
        <v>27.624600000000001</v>
      </c>
      <c r="Y132" s="519">
        <v>110.49839999999999</v>
      </c>
      <c r="Z132" s="569">
        <f>(Y132-U132)/Y132</f>
        <v>0.50363263178471362</v>
      </c>
      <c r="AA132" s="409">
        <v>175.3</v>
      </c>
      <c r="AB132" s="557">
        <f t="shared" si="4"/>
        <v>44.175599999999996</v>
      </c>
      <c r="AC132" s="565">
        <v>5800.99</v>
      </c>
      <c r="AD132" s="564">
        <v>290.04949999999997</v>
      </c>
      <c r="AE132" s="564">
        <v>58.009899999999995</v>
      </c>
      <c r="AF132" s="519">
        <v>232.03959999999998</v>
      </c>
      <c r="AG132" s="569">
        <f>(AF132-AB132)/AF132</f>
        <v>0.80962042685817415</v>
      </c>
    </row>
    <row r="133" spans="2:33" x14ac:dyDescent="0.25">
      <c r="B133" s="231">
        <v>29</v>
      </c>
      <c r="C133" s="512">
        <v>1</v>
      </c>
      <c r="D133" s="513" t="s">
        <v>298</v>
      </c>
      <c r="E133" s="514" t="s">
        <v>132</v>
      </c>
      <c r="F133" s="514" t="s">
        <v>116</v>
      </c>
      <c r="G133" s="515">
        <v>2</v>
      </c>
      <c r="H133" s="514" t="s">
        <v>663</v>
      </c>
      <c r="I133" s="514" t="s">
        <v>687</v>
      </c>
      <c r="J133" s="514" t="s">
        <v>709</v>
      </c>
      <c r="K133" s="516" t="s">
        <v>665</v>
      </c>
      <c r="L133" s="514" t="s">
        <v>122</v>
      </c>
      <c r="M133" s="516" t="s">
        <v>264</v>
      </c>
      <c r="N133" s="517">
        <v>72</v>
      </c>
      <c r="O133" s="517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08">
        <v>259.90000000000003</v>
      </c>
      <c r="U133" s="557">
        <f t="shared" si="5"/>
        <v>65.494799999999998</v>
      </c>
      <c r="V133" s="565">
        <v>2761.1</v>
      </c>
      <c r="W133" s="564">
        <v>138.05500000000001</v>
      </c>
      <c r="X133" s="564">
        <v>27.611000000000004</v>
      </c>
      <c r="Y133" s="519">
        <v>110.444</v>
      </c>
      <c r="Z133" s="569">
        <f>(Y133-U133)/Y133</f>
        <v>0.40698634602151318</v>
      </c>
      <c r="AA133" s="409">
        <v>175.3</v>
      </c>
      <c r="AB133" s="557">
        <f t="shared" si="4"/>
        <v>44.175599999999996</v>
      </c>
      <c r="AC133" s="565">
        <v>5800.99</v>
      </c>
      <c r="AD133" s="564">
        <v>290.04949999999997</v>
      </c>
      <c r="AE133" s="564">
        <v>58.009899999999995</v>
      </c>
      <c r="AF133" s="519">
        <v>232.03959999999998</v>
      </c>
      <c r="AG133" s="569">
        <f>(AF133-AB133)/AF133</f>
        <v>0.80962042685817415</v>
      </c>
    </row>
    <row r="134" spans="2:33" x14ac:dyDescent="0.25">
      <c r="B134" s="231">
        <v>30</v>
      </c>
      <c r="C134" s="512">
        <v>1</v>
      </c>
      <c r="D134" s="513" t="s">
        <v>298</v>
      </c>
      <c r="E134" s="514" t="s">
        <v>132</v>
      </c>
      <c r="F134" s="514" t="s">
        <v>116</v>
      </c>
      <c r="G134" s="515">
        <v>2</v>
      </c>
      <c r="H134" s="514" t="s">
        <v>663</v>
      </c>
      <c r="I134" s="514" t="s">
        <v>689</v>
      </c>
      <c r="J134" s="514" t="s">
        <v>709</v>
      </c>
      <c r="K134" s="516" t="s">
        <v>665</v>
      </c>
      <c r="L134" s="514" t="s">
        <v>122</v>
      </c>
      <c r="M134" s="516" t="s">
        <v>264</v>
      </c>
      <c r="N134" s="517">
        <v>72</v>
      </c>
      <c r="O134" s="517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08">
        <v>299.90000000000003</v>
      </c>
      <c r="U134" s="557">
        <f t="shared" si="5"/>
        <v>75.574799999999996</v>
      </c>
      <c r="V134" s="565">
        <v>3073.95</v>
      </c>
      <c r="W134" s="564">
        <v>153.69749999999999</v>
      </c>
      <c r="X134" s="564">
        <v>30.7395</v>
      </c>
      <c r="Y134" s="519">
        <v>122.958</v>
      </c>
      <c r="Z134" s="569">
        <f>(Y134-U134)/Y134</f>
        <v>0.38536085492607236</v>
      </c>
      <c r="AA134" s="409">
        <v>175.3</v>
      </c>
      <c r="AB134" s="557">
        <f t="shared" si="4"/>
        <v>44.175599999999996</v>
      </c>
      <c r="AC134" s="565">
        <v>5800.99</v>
      </c>
      <c r="AD134" s="564">
        <v>290.04949999999997</v>
      </c>
      <c r="AE134" s="564">
        <v>58.009899999999995</v>
      </c>
      <c r="AF134" s="519">
        <v>232.03959999999998</v>
      </c>
      <c r="AG134" s="569">
        <f>(AF134-AB134)/AF134</f>
        <v>0.80962042685817415</v>
      </c>
    </row>
    <row r="135" spans="2:33" x14ac:dyDescent="0.25">
      <c r="B135" s="231">
        <v>31</v>
      </c>
      <c r="C135" s="550">
        <v>1</v>
      </c>
      <c r="D135" s="551" t="s">
        <v>298</v>
      </c>
      <c r="E135" s="552" t="s">
        <v>132</v>
      </c>
      <c r="F135" s="552" t="s">
        <v>116</v>
      </c>
      <c r="G135" s="553">
        <v>2</v>
      </c>
      <c r="H135" s="552" t="s">
        <v>187</v>
      </c>
      <c r="I135" s="552" t="s">
        <v>323</v>
      </c>
      <c r="J135" s="552" t="s">
        <v>709</v>
      </c>
      <c r="K135" s="554" t="s">
        <v>665</v>
      </c>
      <c r="L135" s="552" t="s">
        <v>122</v>
      </c>
      <c r="M135" s="554" t="s">
        <v>264</v>
      </c>
      <c r="N135" s="555">
        <v>98</v>
      </c>
      <c r="O135" s="555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08">
        <v>161.20000000000002</v>
      </c>
      <c r="U135" s="557">
        <f t="shared" si="5"/>
        <v>40.622399999999992</v>
      </c>
      <c r="V135" s="565"/>
      <c r="W135" s="565"/>
      <c r="X135" s="564"/>
      <c r="Y135" s="519"/>
      <c r="Z135" s="519"/>
      <c r="AA135" s="409">
        <v>218.65</v>
      </c>
      <c r="AB135" s="557">
        <f t="shared" si="4"/>
        <v>55.099799999999995</v>
      </c>
      <c r="AC135" s="565"/>
      <c r="AD135" s="565"/>
      <c r="AE135" s="564"/>
      <c r="AF135" s="519"/>
      <c r="AG135" s="519"/>
    </row>
    <row r="136" spans="2:33" x14ac:dyDescent="0.25">
      <c r="B136" s="231">
        <v>32</v>
      </c>
      <c r="C136" s="506">
        <v>1</v>
      </c>
      <c r="D136" s="507" t="s">
        <v>298</v>
      </c>
      <c r="E136" s="508" t="s">
        <v>132</v>
      </c>
      <c r="F136" s="508" t="s">
        <v>116</v>
      </c>
      <c r="G136" s="509">
        <v>2</v>
      </c>
      <c r="H136" s="508" t="s">
        <v>691</v>
      </c>
      <c r="I136" s="508" t="s">
        <v>323</v>
      </c>
      <c r="J136" s="508" t="s">
        <v>709</v>
      </c>
      <c r="K136" s="510" t="s">
        <v>665</v>
      </c>
      <c r="L136" s="508" t="s">
        <v>122</v>
      </c>
      <c r="M136" s="510" t="s">
        <v>264</v>
      </c>
      <c r="N136" s="511">
        <v>98</v>
      </c>
      <c r="O136" s="511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08">
        <v>288.95</v>
      </c>
      <c r="U136" s="557">
        <f t="shared" si="5"/>
        <v>72.815399999999983</v>
      </c>
      <c r="V136" s="565"/>
      <c r="W136" s="565"/>
      <c r="X136" s="564"/>
      <c r="Y136" s="519"/>
      <c r="Z136" s="570">
        <f>AVERAGE(Z137:Z140)</f>
        <v>0.4356417698402314</v>
      </c>
      <c r="AA136" s="409">
        <v>218.65</v>
      </c>
      <c r="AB136" s="557">
        <f t="shared" si="4"/>
        <v>55.099799999999995</v>
      </c>
      <c r="AC136" s="565"/>
      <c r="AD136" s="565"/>
      <c r="AE136" s="564"/>
      <c r="AF136" s="519"/>
      <c r="AG136" s="570">
        <f>AVERAGE(AG137:AG140)</f>
        <v>0.79836687554616803</v>
      </c>
    </row>
    <row r="137" spans="2:33" x14ac:dyDescent="0.25">
      <c r="B137" s="231">
        <v>33</v>
      </c>
      <c r="C137" s="512">
        <v>1</v>
      </c>
      <c r="D137" s="513" t="s">
        <v>298</v>
      </c>
      <c r="E137" s="514" t="s">
        <v>132</v>
      </c>
      <c r="F137" s="514" t="s">
        <v>116</v>
      </c>
      <c r="G137" s="515">
        <v>2</v>
      </c>
      <c r="H137" s="514" t="s">
        <v>663</v>
      </c>
      <c r="I137" s="514" t="s">
        <v>681</v>
      </c>
      <c r="J137" s="514" t="s">
        <v>709</v>
      </c>
      <c r="K137" s="516" t="s">
        <v>665</v>
      </c>
      <c r="L137" s="514" t="s">
        <v>122</v>
      </c>
      <c r="M137" s="516" t="s">
        <v>264</v>
      </c>
      <c r="N137" s="517">
        <v>98</v>
      </c>
      <c r="O137" s="517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08">
        <v>238.55</v>
      </c>
      <c r="U137" s="557">
        <f t="shared" si="5"/>
        <v>60.114599999999989</v>
      </c>
      <c r="V137" s="565">
        <v>3127.68</v>
      </c>
      <c r="W137" s="564">
        <v>156.38399999999999</v>
      </c>
      <c r="X137" s="564">
        <v>31.276799999999998</v>
      </c>
      <c r="Y137" s="519">
        <v>125.10719999999999</v>
      </c>
      <c r="Z137" s="569">
        <f>(Y137-U137)/Y137</f>
        <v>0.51949528084714558</v>
      </c>
      <c r="AA137" s="409">
        <v>218.65</v>
      </c>
      <c r="AB137" s="557">
        <f t="shared" si="4"/>
        <v>55.099799999999995</v>
      </c>
      <c r="AC137" s="565">
        <v>6831.69</v>
      </c>
      <c r="AD137" s="564">
        <v>341.58449999999999</v>
      </c>
      <c r="AE137" s="564">
        <v>68.316900000000004</v>
      </c>
      <c r="AF137" s="519">
        <v>273.26760000000002</v>
      </c>
      <c r="AG137" s="569">
        <f>(AF137-AB137)/AF137</f>
        <v>0.79836687554616803</v>
      </c>
    </row>
    <row r="138" spans="2:33" x14ac:dyDescent="0.25">
      <c r="B138" s="231">
        <v>34</v>
      </c>
      <c r="C138" s="512">
        <v>1</v>
      </c>
      <c r="D138" s="513" t="s">
        <v>298</v>
      </c>
      <c r="E138" s="514" t="s">
        <v>132</v>
      </c>
      <c r="F138" s="514" t="s">
        <v>116</v>
      </c>
      <c r="G138" s="515">
        <v>2</v>
      </c>
      <c r="H138" s="514" t="s">
        <v>663</v>
      </c>
      <c r="I138" s="514" t="s">
        <v>685</v>
      </c>
      <c r="J138" s="514" t="s">
        <v>709</v>
      </c>
      <c r="K138" s="516" t="s">
        <v>665</v>
      </c>
      <c r="L138" s="514" t="s">
        <v>122</v>
      </c>
      <c r="M138" s="516" t="s">
        <v>264</v>
      </c>
      <c r="N138" s="517">
        <v>98</v>
      </c>
      <c r="O138" s="517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08">
        <v>284.40000000000003</v>
      </c>
      <c r="U138" s="557">
        <f t="shared" si="5"/>
        <v>71.668800000000005</v>
      </c>
      <c r="V138" s="565">
        <v>3459.22</v>
      </c>
      <c r="W138" s="564">
        <v>172.96099999999998</v>
      </c>
      <c r="X138" s="564">
        <v>34.592199999999998</v>
      </c>
      <c r="Y138" s="519">
        <v>138.36879999999999</v>
      </c>
      <c r="Z138" s="569">
        <f>(Y138-U138)/Y138</f>
        <v>0.48204508530824863</v>
      </c>
      <c r="AA138" s="409">
        <v>218.65</v>
      </c>
      <c r="AB138" s="557">
        <f t="shared" si="4"/>
        <v>55.099799999999995</v>
      </c>
      <c r="AC138" s="565">
        <v>6831.69</v>
      </c>
      <c r="AD138" s="564">
        <v>341.58449999999999</v>
      </c>
      <c r="AE138" s="564">
        <v>68.316900000000004</v>
      </c>
      <c r="AF138" s="519">
        <v>273.26760000000002</v>
      </c>
      <c r="AG138" s="569">
        <f>(AF138-AB138)/AF138</f>
        <v>0.79836687554616803</v>
      </c>
    </row>
    <row r="139" spans="2:33" x14ac:dyDescent="0.25">
      <c r="B139" s="231">
        <v>35</v>
      </c>
      <c r="C139" s="512">
        <v>1</v>
      </c>
      <c r="D139" s="513" t="s">
        <v>298</v>
      </c>
      <c r="E139" s="514" t="s">
        <v>132</v>
      </c>
      <c r="F139" s="514" t="s">
        <v>116</v>
      </c>
      <c r="G139" s="515">
        <v>2</v>
      </c>
      <c r="H139" s="514" t="s">
        <v>663</v>
      </c>
      <c r="I139" s="514" t="s">
        <v>687</v>
      </c>
      <c r="J139" s="514" t="s">
        <v>709</v>
      </c>
      <c r="K139" s="516" t="s">
        <v>665</v>
      </c>
      <c r="L139" s="514" t="s">
        <v>122</v>
      </c>
      <c r="M139" s="516" t="s">
        <v>264</v>
      </c>
      <c r="N139" s="517">
        <v>98</v>
      </c>
      <c r="O139" s="517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08">
        <v>339.3</v>
      </c>
      <c r="U139" s="557">
        <f t="shared" si="5"/>
        <v>85.503599999999992</v>
      </c>
      <c r="V139" s="565">
        <v>3456.49</v>
      </c>
      <c r="W139" s="564">
        <v>172.8245</v>
      </c>
      <c r="X139" s="564">
        <v>34.564900000000002</v>
      </c>
      <c r="Y139" s="519">
        <v>138.25960000000001</v>
      </c>
      <c r="Z139" s="569">
        <f>(Y139-U139)/Y139</f>
        <v>0.3815720572025379</v>
      </c>
      <c r="AA139" s="409">
        <v>218.65</v>
      </c>
      <c r="AB139" s="557">
        <f t="shared" si="4"/>
        <v>55.099799999999995</v>
      </c>
      <c r="AC139" s="565">
        <v>6831.69</v>
      </c>
      <c r="AD139" s="564">
        <v>341.58449999999999</v>
      </c>
      <c r="AE139" s="564">
        <v>68.316900000000004</v>
      </c>
      <c r="AF139" s="519">
        <v>273.26760000000002</v>
      </c>
      <c r="AG139" s="569">
        <f>(AF139-AB139)/AF139</f>
        <v>0.79836687554616803</v>
      </c>
    </row>
    <row r="140" spans="2:33" x14ac:dyDescent="0.25">
      <c r="B140" s="231">
        <v>36</v>
      </c>
      <c r="C140" s="512">
        <v>1</v>
      </c>
      <c r="D140" s="513" t="s">
        <v>298</v>
      </c>
      <c r="E140" s="514" t="s">
        <v>132</v>
      </c>
      <c r="F140" s="514" t="s">
        <v>116</v>
      </c>
      <c r="G140" s="515">
        <v>2</v>
      </c>
      <c r="H140" s="514" t="s">
        <v>663</v>
      </c>
      <c r="I140" s="514" t="s">
        <v>689</v>
      </c>
      <c r="J140" s="514" t="s">
        <v>709</v>
      </c>
      <c r="K140" s="516" t="s">
        <v>665</v>
      </c>
      <c r="L140" s="514" t="s">
        <v>122</v>
      </c>
      <c r="M140" s="516" t="s">
        <v>264</v>
      </c>
      <c r="N140" s="517">
        <v>98</v>
      </c>
      <c r="O140" s="517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08">
        <v>391.3</v>
      </c>
      <c r="U140" s="557">
        <f t="shared" si="5"/>
        <v>98.607599999999977</v>
      </c>
      <c r="V140" s="565">
        <v>3848.58</v>
      </c>
      <c r="W140" s="564">
        <v>192.429</v>
      </c>
      <c r="X140" s="564">
        <v>38.485800000000005</v>
      </c>
      <c r="Y140" s="519">
        <v>153.94319999999999</v>
      </c>
      <c r="Z140" s="569">
        <f>(Y140-U140)/Y140</f>
        <v>0.35945465600299342</v>
      </c>
      <c r="AA140" s="409">
        <v>218.65</v>
      </c>
      <c r="AB140" s="557">
        <f t="shared" si="4"/>
        <v>55.099799999999995</v>
      </c>
      <c r="AC140" s="565">
        <v>6831.69</v>
      </c>
      <c r="AD140" s="564">
        <v>341.58449999999999</v>
      </c>
      <c r="AE140" s="564">
        <v>68.316900000000004</v>
      </c>
      <c r="AF140" s="519">
        <v>273.26760000000002</v>
      </c>
      <c r="AG140" s="569">
        <f>(AF140-AB140)/AF140</f>
        <v>0.79836687554616803</v>
      </c>
    </row>
    <row r="141" spans="2:33" x14ac:dyDescent="0.25">
      <c r="B141" s="231">
        <v>37</v>
      </c>
      <c r="C141" s="550">
        <v>1</v>
      </c>
      <c r="D141" s="551" t="s">
        <v>298</v>
      </c>
      <c r="E141" s="552" t="s">
        <v>132</v>
      </c>
      <c r="F141" s="552" t="s">
        <v>116</v>
      </c>
      <c r="G141" s="553">
        <v>2</v>
      </c>
      <c r="H141" s="552" t="s">
        <v>187</v>
      </c>
      <c r="I141" s="552" t="s">
        <v>323</v>
      </c>
      <c r="J141" s="552" t="s">
        <v>709</v>
      </c>
      <c r="K141" s="554" t="s">
        <v>665</v>
      </c>
      <c r="L141" s="552" t="s">
        <v>122</v>
      </c>
      <c r="M141" s="554" t="s">
        <v>264</v>
      </c>
      <c r="N141" s="555">
        <v>124</v>
      </c>
      <c r="O141" s="555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08">
        <v>199.5</v>
      </c>
      <c r="U141" s="557">
        <f t="shared" si="5"/>
        <v>50.273999999999987</v>
      </c>
      <c r="V141" s="565"/>
      <c r="W141" s="565"/>
      <c r="X141" s="564"/>
      <c r="Y141" s="519"/>
      <c r="Z141" s="519"/>
      <c r="AA141" s="409">
        <v>262</v>
      </c>
      <c r="AB141" s="557">
        <f t="shared" si="4"/>
        <v>66.023999999999987</v>
      </c>
      <c r="AC141" s="565"/>
      <c r="AD141" s="565"/>
      <c r="AE141" s="564"/>
      <c r="AF141" s="519"/>
      <c r="AG141" s="519"/>
    </row>
    <row r="142" spans="2:33" x14ac:dyDescent="0.25">
      <c r="B142" s="231">
        <v>38</v>
      </c>
      <c r="C142" s="506">
        <v>1</v>
      </c>
      <c r="D142" s="507" t="s">
        <v>298</v>
      </c>
      <c r="E142" s="508" t="s">
        <v>132</v>
      </c>
      <c r="F142" s="508" t="s">
        <v>116</v>
      </c>
      <c r="G142" s="509">
        <v>2</v>
      </c>
      <c r="H142" s="508" t="s">
        <v>691</v>
      </c>
      <c r="I142" s="508" t="s">
        <v>323</v>
      </c>
      <c r="J142" s="508" t="s">
        <v>709</v>
      </c>
      <c r="K142" s="510" t="s">
        <v>665</v>
      </c>
      <c r="L142" s="508" t="s">
        <v>122</v>
      </c>
      <c r="M142" s="510" t="s">
        <v>264</v>
      </c>
      <c r="N142" s="511">
        <v>124</v>
      </c>
      <c r="O142" s="511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08">
        <v>356.70000000000005</v>
      </c>
      <c r="U142" s="557">
        <f t="shared" si="5"/>
        <v>89.888400000000004</v>
      </c>
      <c r="V142" s="565"/>
      <c r="W142" s="565"/>
      <c r="X142" s="564"/>
      <c r="Y142" s="519"/>
      <c r="Z142" s="570">
        <f>AVERAGE(Z143:Z146)</f>
        <v>0.4200433366337909</v>
      </c>
      <c r="AA142" s="409">
        <v>262</v>
      </c>
      <c r="AB142" s="557">
        <f t="shared" si="4"/>
        <v>66.023999999999987</v>
      </c>
      <c r="AC142" s="565"/>
      <c r="AD142" s="565"/>
      <c r="AE142" s="564"/>
      <c r="AF142" s="519"/>
      <c r="AG142" s="570">
        <f>AVERAGE(AG143:AG146)</f>
        <v>0.77588503415492527</v>
      </c>
    </row>
    <row r="143" spans="2:33" x14ac:dyDescent="0.25">
      <c r="B143" s="231">
        <v>39</v>
      </c>
      <c r="C143" s="512">
        <v>1</v>
      </c>
      <c r="D143" s="513" t="s">
        <v>298</v>
      </c>
      <c r="E143" s="514" t="s">
        <v>132</v>
      </c>
      <c r="F143" s="514" t="s">
        <v>116</v>
      </c>
      <c r="G143" s="515">
        <v>2</v>
      </c>
      <c r="H143" s="514" t="s">
        <v>663</v>
      </c>
      <c r="I143" s="514" t="s">
        <v>681</v>
      </c>
      <c r="J143" s="514" t="s">
        <v>709</v>
      </c>
      <c r="K143" s="516" t="s">
        <v>665</v>
      </c>
      <c r="L143" s="514" t="s">
        <v>122</v>
      </c>
      <c r="M143" s="516" t="s">
        <v>264</v>
      </c>
      <c r="N143" s="517">
        <v>124</v>
      </c>
      <c r="O143" s="517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08">
        <v>294.7</v>
      </c>
      <c r="U143" s="557">
        <f t="shared" si="5"/>
        <v>74.264399999999995</v>
      </c>
      <c r="V143" s="565">
        <v>3757.32</v>
      </c>
      <c r="W143" s="564">
        <v>187.86600000000001</v>
      </c>
      <c r="X143" s="564">
        <v>37.573200000000007</v>
      </c>
      <c r="Y143" s="519">
        <v>150.2928</v>
      </c>
      <c r="Z143" s="569">
        <f>(Y143-U143)/Y143</f>
        <v>0.505868544600939</v>
      </c>
      <c r="AA143" s="409">
        <v>262</v>
      </c>
      <c r="AB143" s="557">
        <f t="shared" si="4"/>
        <v>66.023999999999987</v>
      </c>
      <c r="AC143" s="565">
        <v>7364.9699999999993</v>
      </c>
      <c r="AD143" s="564">
        <v>368.24849999999998</v>
      </c>
      <c r="AE143" s="564">
        <v>73.649699999999996</v>
      </c>
      <c r="AF143" s="519">
        <v>294.59879999999998</v>
      </c>
      <c r="AG143" s="569">
        <f>(AF143-AB143)/AF143</f>
        <v>0.77588503415492527</v>
      </c>
    </row>
    <row r="144" spans="2:33" x14ac:dyDescent="0.25">
      <c r="B144" s="231">
        <v>40</v>
      </c>
      <c r="C144" s="512">
        <v>1</v>
      </c>
      <c r="D144" s="513" t="s">
        <v>298</v>
      </c>
      <c r="E144" s="514" t="s">
        <v>132</v>
      </c>
      <c r="F144" s="514" t="s">
        <v>116</v>
      </c>
      <c r="G144" s="515">
        <v>2</v>
      </c>
      <c r="H144" s="514" t="s">
        <v>663</v>
      </c>
      <c r="I144" s="514" t="s">
        <v>685</v>
      </c>
      <c r="J144" s="514" t="s">
        <v>709</v>
      </c>
      <c r="K144" s="516" t="s">
        <v>665</v>
      </c>
      <c r="L144" s="514" t="s">
        <v>122</v>
      </c>
      <c r="M144" s="516" t="s">
        <v>264</v>
      </c>
      <c r="N144" s="517">
        <v>124</v>
      </c>
      <c r="O144" s="517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08">
        <v>351.1</v>
      </c>
      <c r="U144" s="557">
        <f t="shared" si="5"/>
        <v>88.477199999999996</v>
      </c>
      <c r="V144" s="565">
        <v>4154.6099999999997</v>
      </c>
      <c r="W144" s="564">
        <v>207.73049999999998</v>
      </c>
      <c r="X144" s="564">
        <v>41.546099999999996</v>
      </c>
      <c r="Y144" s="519">
        <v>166.18439999999998</v>
      </c>
      <c r="Z144" s="569">
        <f>(Y144-U144)/Y144</f>
        <v>0.4675962364698491</v>
      </c>
      <c r="AA144" s="409">
        <v>262</v>
      </c>
      <c r="AB144" s="557">
        <f t="shared" si="4"/>
        <v>66.023999999999987</v>
      </c>
      <c r="AC144" s="565">
        <v>7364.9699999999993</v>
      </c>
      <c r="AD144" s="564">
        <v>368.24849999999998</v>
      </c>
      <c r="AE144" s="564">
        <v>73.649699999999996</v>
      </c>
      <c r="AF144" s="519">
        <v>294.59879999999998</v>
      </c>
      <c r="AG144" s="569">
        <f>(AF144-AB144)/AF144</f>
        <v>0.77588503415492527</v>
      </c>
    </row>
    <row r="145" spans="2:33" x14ac:dyDescent="0.25">
      <c r="B145" s="231">
        <v>41</v>
      </c>
      <c r="C145" s="512">
        <v>1</v>
      </c>
      <c r="D145" s="513" t="s">
        <v>298</v>
      </c>
      <c r="E145" s="514" t="s">
        <v>132</v>
      </c>
      <c r="F145" s="514" t="s">
        <v>116</v>
      </c>
      <c r="G145" s="515">
        <v>2</v>
      </c>
      <c r="H145" s="514" t="s">
        <v>663</v>
      </c>
      <c r="I145" s="514" t="s">
        <v>687</v>
      </c>
      <c r="J145" s="514" t="s">
        <v>709</v>
      </c>
      <c r="K145" s="516" t="s">
        <v>665</v>
      </c>
      <c r="L145" s="514" t="s">
        <v>122</v>
      </c>
      <c r="M145" s="516" t="s">
        <v>264</v>
      </c>
      <c r="N145" s="517">
        <v>124</v>
      </c>
      <c r="O145" s="517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08">
        <v>418.70000000000005</v>
      </c>
      <c r="U145" s="557">
        <f t="shared" si="5"/>
        <v>105.5124</v>
      </c>
      <c r="V145" s="565">
        <v>4151.88</v>
      </c>
      <c r="W145" s="564">
        <v>207.59399999999999</v>
      </c>
      <c r="X145" s="564">
        <v>41.518799999999999</v>
      </c>
      <c r="Y145" s="519">
        <v>166.0752</v>
      </c>
      <c r="Z145" s="569">
        <f>(Y145-U145)/Y145</f>
        <v>0.36467094424694352</v>
      </c>
      <c r="AA145" s="409">
        <v>262</v>
      </c>
      <c r="AB145" s="557">
        <f t="shared" si="4"/>
        <v>66.023999999999987</v>
      </c>
      <c r="AC145" s="565">
        <v>7364.9699999999993</v>
      </c>
      <c r="AD145" s="564">
        <v>368.24849999999998</v>
      </c>
      <c r="AE145" s="564">
        <v>73.649699999999996</v>
      </c>
      <c r="AF145" s="519">
        <v>294.59879999999998</v>
      </c>
      <c r="AG145" s="569">
        <f>(AF145-AB145)/AF145</f>
        <v>0.77588503415492527</v>
      </c>
    </row>
    <row r="146" spans="2:33" x14ac:dyDescent="0.25">
      <c r="B146" s="231">
        <v>42</v>
      </c>
      <c r="C146" s="512">
        <v>1</v>
      </c>
      <c r="D146" s="513" t="s">
        <v>298</v>
      </c>
      <c r="E146" s="514" t="s">
        <v>132</v>
      </c>
      <c r="F146" s="514" t="s">
        <v>116</v>
      </c>
      <c r="G146" s="515">
        <v>2</v>
      </c>
      <c r="H146" s="514" t="s">
        <v>663</v>
      </c>
      <c r="I146" s="514" t="s">
        <v>689</v>
      </c>
      <c r="J146" s="514" t="s">
        <v>709</v>
      </c>
      <c r="K146" s="516" t="s">
        <v>665</v>
      </c>
      <c r="L146" s="514" t="s">
        <v>122</v>
      </c>
      <c r="M146" s="516" t="s">
        <v>264</v>
      </c>
      <c r="N146" s="517">
        <v>124</v>
      </c>
      <c r="O146" s="517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08">
        <v>482.70000000000005</v>
      </c>
      <c r="U146" s="557">
        <f t="shared" si="5"/>
        <v>121.64039999999999</v>
      </c>
      <c r="V146" s="565">
        <v>4621.8599999999997</v>
      </c>
      <c r="W146" s="564">
        <v>231.09299999999999</v>
      </c>
      <c r="X146" s="564">
        <v>46.218600000000002</v>
      </c>
      <c r="Y146" s="519">
        <v>184.87439999999998</v>
      </c>
      <c r="Z146" s="569">
        <f>(Y146-U146)/Y146</f>
        <v>0.34203762121743198</v>
      </c>
      <c r="AA146" s="409">
        <v>262</v>
      </c>
      <c r="AB146" s="557">
        <f t="shared" si="4"/>
        <v>66.023999999999987</v>
      </c>
      <c r="AC146" s="565">
        <v>7364.9699999999993</v>
      </c>
      <c r="AD146" s="564">
        <v>368.24849999999998</v>
      </c>
      <c r="AE146" s="564">
        <v>73.649699999999996</v>
      </c>
      <c r="AF146" s="519">
        <v>294.59879999999998</v>
      </c>
      <c r="AG146" s="569">
        <f>(AF146-AB146)/AF146</f>
        <v>0.77588503415492527</v>
      </c>
    </row>
    <row r="147" spans="2:33" x14ac:dyDescent="0.25">
      <c r="B147" s="231">
        <v>43</v>
      </c>
      <c r="C147" s="550">
        <v>1</v>
      </c>
      <c r="D147" s="551" t="s">
        <v>298</v>
      </c>
      <c r="E147" s="552" t="s">
        <v>132</v>
      </c>
      <c r="F147" s="552" t="s">
        <v>116</v>
      </c>
      <c r="G147" s="553">
        <v>2</v>
      </c>
      <c r="H147" s="552" t="s">
        <v>187</v>
      </c>
      <c r="I147" s="552" t="s">
        <v>323</v>
      </c>
      <c r="J147" s="552" t="s">
        <v>709</v>
      </c>
      <c r="K147" s="554" t="s">
        <v>665</v>
      </c>
      <c r="L147" s="552" t="s">
        <v>122</v>
      </c>
      <c r="M147" s="554" t="s">
        <v>264</v>
      </c>
      <c r="N147" s="555">
        <v>150</v>
      </c>
      <c r="O147" s="555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08">
        <v>241.8</v>
      </c>
      <c r="U147" s="557">
        <f t="shared" si="5"/>
        <v>60.933599999999998</v>
      </c>
      <c r="V147" s="565"/>
      <c r="W147" s="565"/>
      <c r="X147" s="564"/>
      <c r="Y147" s="519"/>
      <c r="Z147" s="519"/>
      <c r="AA147" s="409">
        <v>305.3</v>
      </c>
      <c r="AB147" s="557">
        <f t="shared" si="4"/>
        <v>76.935599999999994</v>
      </c>
      <c r="AC147" s="565"/>
      <c r="AD147" s="565"/>
      <c r="AE147" s="564"/>
      <c r="AF147" s="519"/>
      <c r="AG147" s="519"/>
    </row>
    <row r="148" spans="2:33" x14ac:dyDescent="0.25">
      <c r="B148" s="231">
        <v>44</v>
      </c>
      <c r="C148" s="506">
        <v>1</v>
      </c>
      <c r="D148" s="507" t="s">
        <v>298</v>
      </c>
      <c r="E148" s="508" t="s">
        <v>132</v>
      </c>
      <c r="F148" s="508" t="s">
        <v>116</v>
      </c>
      <c r="G148" s="509">
        <v>2</v>
      </c>
      <c r="H148" s="508" t="s">
        <v>691</v>
      </c>
      <c r="I148" s="508" t="s">
        <v>323</v>
      </c>
      <c r="J148" s="508" t="s">
        <v>709</v>
      </c>
      <c r="K148" s="510" t="s">
        <v>665</v>
      </c>
      <c r="L148" s="508" t="s">
        <v>122</v>
      </c>
      <c r="M148" s="510" t="s">
        <v>264</v>
      </c>
      <c r="N148" s="511">
        <v>150</v>
      </c>
      <c r="O148" s="511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08">
        <v>433.40000000000003</v>
      </c>
      <c r="U148" s="557">
        <f t="shared" si="5"/>
        <v>109.21679999999999</v>
      </c>
      <c r="V148" s="565"/>
      <c r="W148" s="565"/>
      <c r="X148" s="564"/>
      <c r="Y148" s="519"/>
      <c r="Z148" s="570">
        <f>AVERAGE(Z149:Z152)</f>
        <v>0.42394968512632569</v>
      </c>
      <c r="AA148" s="409">
        <v>305.3</v>
      </c>
      <c r="AB148" s="557">
        <f t="shared" si="4"/>
        <v>76.935599999999994</v>
      </c>
      <c r="AC148" s="565"/>
      <c r="AD148" s="565"/>
      <c r="AE148" s="564"/>
      <c r="AF148" s="519"/>
      <c r="AG148" s="570">
        <f>AVERAGE(AG149:AG152)</f>
        <v>0.76116569231762621</v>
      </c>
    </row>
    <row r="149" spans="2:33" x14ac:dyDescent="0.25">
      <c r="B149" s="231">
        <v>45</v>
      </c>
      <c r="C149" s="512">
        <v>1</v>
      </c>
      <c r="D149" s="513" t="s">
        <v>298</v>
      </c>
      <c r="E149" s="514" t="s">
        <v>132</v>
      </c>
      <c r="F149" s="514" t="s">
        <v>116</v>
      </c>
      <c r="G149" s="515">
        <v>2</v>
      </c>
      <c r="H149" s="514" t="s">
        <v>663</v>
      </c>
      <c r="I149" s="514" t="s">
        <v>681</v>
      </c>
      <c r="J149" s="514" t="s">
        <v>709</v>
      </c>
      <c r="K149" s="516" t="s">
        <v>665</v>
      </c>
      <c r="L149" s="514" t="s">
        <v>122</v>
      </c>
      <c r="M149" s="516" t="s">
        <v>264</v>
      </c>
      <c r="N149" s="517">
        <v>150</v>
      </c>
      <c r="O149" s="517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08">
        <v>357.85</v>
      </c>
      <c r="U149" s="557">
        <f t="shared" si="5"/>
        <v>90.17819999999999</v>
      </c>
      <c r="V149" s="565">
        <v>4597.5600000000004</v>
      </c>
      <c r="W149" s="564">
        <v>229.87800000000001</v>
      </c>
      <c r="X149" s="564">
        <v>45.975600000000007</v>
      </c>
      <c r="Y149" s="519">
        <v>183.9024</v>
      </c>
      <c r="Z149" s="569">
        <f>(Y149-U149)/Y149</f>
        <v>0.50964098347819287</v>
      </c>
      <c r="AA149" s="409">
        <v>305.3</v>
      </c>
      <c r="AB149" s="557">
        <f t="shared" si="4"/>
        <v>76.935599999999994</v>
      </c>
      <c r="AC149" s="565">
        <v>8053.24</v>
      </c>
      <c r="AD149" s="564">
        <v>402.66199999999998</v>
      </c>
      <c r="AE149" s="564">
        <v>80.532399999999996</v>
      </c>
      <c r="AF149" s="519">
        <v>322.12959999999998</v>
      </c>
      <c r="AG149" s="569">
        <f>(AF149-AB149)/AF149</f>
        <v>0.76116569231762621</v>
      </c>
    </row>
    <row r="150" spans="2:33" x14ac:dyDescent="0.25">
      <c r="B150" s="231">
        <v>46</v>
      </c>
      <c r="C150" s="512">
        <v>1</v>
      </c>
      <c r="D150" s="513" t="s">
        <v>298</v>
      </c>
      <c r="E150" s="514" t="s">
        <v>132</v>
      </c>
      <c r="F150" s="514" t="s">
        <v>116</v>
      </c>
      <c r="G150" s="515">
        <v>2</v>
      </c>
      <c r="H150" s="514" t="s">
        <v>663</v>
      </c>
      <c r="I150" s="514" t="s">
        <v>685</v>
      </c>
      <c r="J150" s="514" t="s">
        <v>709</v>
      </c>
      <c r="K150" s="516" t="s">
        <v>665</v>
      </c>
      <c r="L150" s="514" t="s">
        <v>122</v>
      </c>
      <c r="M150" s="516" t="s">
        <v>264</v>
      </c>
      <c r="N150" s="517">
        <v>150</v>
      </c>
      <c r="O150" s="517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08">
        <v>426.6</v>
      </c>
      <c r="U150" s="557">
        <f t="shared" si="5"/>
        <v>107.50319999999999</v>
      </c>
      <c r="V150" s="565">
        <v>5083.62</v>
      </c>
      <c r="W150" s="564">
        <v>254.18099999999998</v>
      </c>
      <c r="X150" s="564">
        <v>50.836199999999998</v>
      </c>
      <c r="Y150" s="519">
        <v>203.34479999999999</v>
      </c>
      <c r="Z150" s="569">
        <f>(Y150-U150)/Y150</f>
        <v>0.47132555147709704</v>
      </c>
      <c r="AA150" s="409">
        <v>305.3</v>
      </c>
      <c r="AB150" s="557">
        <f t="shared" si="4"/>
        <v>76.935599999999994</v>
      </c>
      <c r="AC150" s="565">
        <v>8053.24</v>
      </c>
      <c r="AD150" s="564">
        <v>402.66199999999998</v>
      </c>
      <c r="AE150" s="564">
        <v>80.532399999999996</v>
      </c>
      <c r="AF150" s="519">
        <v>322.12959999999998</v>
      </c>
      <c r="AG150" s="569">
        <f>(AF150-AB150)/AF150</f>
        <v>0.76116569231762621</v>
      </c>
    </row>
    <row r="151" spans="2:33" x14ac:dyDescent="0.25">
      <c r="B151" s="231">
        <v>47</v>
      </c>
      <c r="C151" s="512">
        <v>1</v>
      </c>
      <c r="D151" s="513" t="s">
        <v>298</v>
      </c>
      <c r="E151" s="514" t="s">
        <v>132</v>
      </c>
      <c r="F151" s="514" t="s">
        <v>116</v>
      </c>
      <c r="G151" s="515">
        <v>2</v>
      </c>
      <c r="H151" s="514" t="s">
        <v>663</v>
      </c>
      <c r="I151" s="514" t="s">
        <v>687</v>
      </c>
      <c r="J151" s="514" t="s">
        <v>709</v>
      </c>
      <c r="K151" s="516" t="s">
        <v>665</v>
      </c>
      <c r="L151" s="514" t="s">
        <v>122</v>
      </c>
      <c r="M151" s="516" t="s">
        <v>264</v>
      </c>
      <c r="N151" s="517">
        <v>150</v>
      </c>
      <c r="O151" s="517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08">
        <v>508.95000000000005</v>
      </c>
      <c r="U151" s="557">
        <f t="shared" si="5"/>
        <v>128.25539999999998</v>
      </c>
      <c r="V151" s="565">
        <v>5079.53</v>
      </c>
      <c r="W151" s="564">
        <v>253.97649999999999</v>
      </c>
      <c r="X151" s="564">
        <v>50.795299999999997</v>
      </c>
      <c r="Y151" s="519">
        <v>203.18119999999999</v>
      </c>
      <c r="Z151" s="569">
        <f>(Y151-U151)/Y151</f>
        <v>0.36876344858677879</v>
      </c>
      <c r="AA151" s="409">
        <v>305.3</v>
      </c>
      <c r="AB151" s="557">
        <f t="shared" si="4"/>
        <v>76.935599999999994</v>
      </c>
      <c r="AC151" s="565">
        <v>8053.24</v>
      </c>
      <c r="AD151" s="564">
        <v>402.66199999999998</v>
      </c>
      <c r="AE151" s="564">
        <v>80.532399999999996</v>
      </c>
      <c r="AF151" s="519">
        <v>322.12959999999998</v>
      </c>
      <c r="AG151" s="569">
        <f>(AF151-AB151)/AF151</f>
        <v>0.76116569231762621</v>
      </c>
    </row>
    <row r="152" spans="2:33" x14ac:dyDescent="0.25">
      <c r="B152" s="231">
        <v>48</v>
      </c>
      <c r="C152" s="512">
        <v>1</v>
      </c>
      <c r="D152" s="513" t="s">
        <v>298</v>
      </c>
      <c r="E152" s="514" t="s">
        <v>132</v>
      </c>
      <c r="F152" s="514" t="s">
        <v>116</v>
      </c>
      <c r="G152" s="515">
        <v>2</v>
      </c>
      <c r="H152" s="514" t="s">
        <v>663</v>
      </c>
      <c r="I152" s="514" t="s">
        <v>689</v>
      </c>
      <c r="J152" s="514" t="s">
        <v>709</v>
      </c>
      <c r="K152" s="516" t="s">
        <v>665</v>
      </c>
      <c r="L152" s="514" t="s">
        <v>122</v>
      </c>
      <c r="M152" s="516" t="s">
        <v>264</v>
      </c>
      <c r="N152" s="517">
        <v>150</v>
      </c>
      <c r="O152" s="517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08">
        <v>586.95000000000005</v>
      </c>
      <c r="U152" s="557">
        <f t="shared" si="5"/>
        <v>147.91139999999999</v>
      </c>
      <c r="V152" s="565">
        <v>5654.7</v>
      </c>
      <c r="W152" s="564">
        <v>282.73500000000001</v>
      </c>
      <c r="X152" s="564">
        <v>56.547000000000004</v>
      </c>
      <c r="Y152" s="519">
        <v>226.18800000000002</v>
      </c>
      <c r="Z152" s="569">
        <f>(Y152-U152)/Y152</f>
        <v>0.34606875696323425</v>
      </c>
      <c r="AA152" s="409">
        <v>305.3</v>
      </c>
      <c r="AB152" s="557">
        <f t="shared" si="4"/>
        <v>76.935599999999994</v>
      </c>
      <c r="AC152" s="565">
        <v>8053.24</v>
      </c>
      <c r="AD152" s="564">
        <v>402.66199999999998</v>
      </c>
      <c r="AE152" s="564">
        <v>80.532399999999996</v>
      </c>
      <c r="AF152" s="519">
        <v>322.12959999999998</v>
      </c>
      <c r="AG152" s="569">
        <f>(AF152-AB152)/AF152</f>
        <v>0.76116569231762621</v>
      </c>
    </row>
    <row r="154" spans="2:33" x14ac:dyDescent="0.25">
      <c r="B154" s="230">
        <v>1</v>
      </c>
      <c r="C154" s="544">
        <v>1</v>
      </c>
      <c r="D154" s="545" t="s">
        <v>298</v>
      </c>
      <c r="E154" s="546" t="s">
        <v>131</v>
      </c>
      <c r="F154" s="546" t="s">
        <v>136</v>
      </c>
      <c r="G154" s="547">
        <v>2</v>
      </c>
      <c r="H154" s="546" t="s">
        <v>187</v>
      </c>
      <c r="I154" s="546" t="s">
        <v>321</v>
      </c>
      <c r="J154" s="546" t="s">
        <v>709</v>
      </c>
      <c r="K154" s="548" t="s">
        <v>664</v>
      </c>
      <c r="L154" s="546" t="s">
        <v>122</v>
      </c>
      <c r="M154" s="548" t="s">
        <v>264</v>
      </c>
      <c r="N154" s="549">
        <v>72</v>
      </c>
      <c r="O154" s="549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08">
        <v>189.5</v>
      </c>
      <c r="U154" s="557">
        <f>T154*0.7*0.6*0.6</f>
        <v>47.753999999999998</v>
      </c>
      <c r="V154" s="564"/>
      <c r="W154" s="564"/>
      <c r="X154" s="564"/>
      <c r="Y154" s="519"/>
      <c r="Z154" s="631">
        <f>AVERAGE(Z156:Z159,Z162:Z165,Z168:Z171,Z174:Z177)</f>
        <v>0.46117011109019035</v>
      </c>
      <c r="AA154" s="409">
        <v>175.3</v>
      </c>
      <c r="AB154" s="557">
        <f t="shared" ref="AB154:AB217" si="6">AA154*0.7*0.6*0.6</f>
        <v>44.175599999999996</v>
      </c>
      <c r="AC154" s="564"/>
      <c r="AD154" s="564"/>
      <c r="AE154" s="564"/>
      <c r="AF154" s="519"/>
      <c r="AG154" s="631">
        <f>AVERAGE(AG156:AG159,AG162:AG165,AG168:AG171,AG174:AG177)</f>
        <v>0.78625950721922311</v>
      </c>
    </row>
    <row r="155" spans="2:33" x14ac:dyDescent="0.25">
      <c r="B155" s="231">
        <v>2</v>
      </c>
      <c r="C155" s="538">
        <v>1</v>
      </c>
      <c r="D155" s="539" t="s">
        <v>298</v>
      </c>
      <c r="E155" s="540" t="s">
        <v>131</v>
      </c>
      <c r="F155" s="540" t="s">
        <v>136</v>
      </c>
      <c r="G155" s="541">
        <v>2</v>
      </c>
      <c r="H155" s="540" t="s">
        <v>691</v>
      </c>
      <c r="I155" s="540" t="s">
        <v>321</v>
      </c>
      <c r="J155" s="540" t="s">
        <v>709</v>
      </c>
      <c r="K155" s="542" t="s">
        <v>664</v>
      </c>
      <c r="L155" s="540" t="s">
        <v>122</v>
      </c>
      <c r="M155" s="542" t="s">
        <v>264</v>
      </c>
      <c r="N155" s="543">
        <v>72</v>
      </c>
      <c r="O155" s="543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08">
        <v>382.70000000000005</v>
      </c>
      <c r="U155" s="557">
        <f>T155*0.7*0.6*0.6</f>
        <v>96.440399999999997</v>
      </c>
      <c r="V155" s="564"/>
      <c r="W155" s="564"/>
      <c r="X155" s="564"/>
      <c r="Y155" s="519"/>
      <c r="Z155" s="570">
        <f>AVERAGE(Z156:Z159)</f>
        <v>0.49950137578629744</v>
      </c>
      <c r="AA155" s="409">
        <v>175.3</v>
      </c>
      <c r="AB155" s="557">
        <f t="shared" si="6"/>
        <v>44.175599999999996</v>
      </c>
      <c r="AC155" s="564"/>
      <c r="AD155" s="564"/>
      <c r="AE155" s="564"/>
      <c r="AF155" s="519"/>
      <c r="AG155" s="570">
        <f>AVERAGE(AG156:AG159)</f>
        <v>0.80962042685817415</v>
      </c>
    </row>
    <row r="156" spans="2:33" x14ac:dyDescent="0.25">
      <c r="B156" s="231">
        <v>3</v>
      </c>
      <c r="C156" s="500">
        <v>1</v>
      </c>
      <c r="D156" s="501" t="s">
        <v>298</v>
      </c>
      <c r="E156" s="502" t="s">
        <v>131</v>
      </c>
      <c r="F156" s="502" t="s">
        <v>136</v>
      </c>
      <c r="G156" s="503">
        <v>2</v>
      </c>
      <c r="H156" s="502" t="s">
        <v>663</v>
      </c>
      <c r="I156" s="502" t="s">
        <v>674</v>
      </c>
      <c r="J156" s="502" t="s">
        <v>709</v>
      </c>
      <c r="K156" s="504" t="s">
        <v>664</v>
      </c>
      <c r="L156" s="502" t="s">
        <v>122</v>
      </c>
      <c r="M156" s="504" t="s">
        <v>264</v>
      </c>
      <c r="N156" s="505">
        <v>72</v>
      </c>
      <c r="O156" s="505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08">
        <v>225.4</v>
      </c>
      <c r="U156" s="557">
        <f t="shared" ref="U156:U219" si="7">T156*0.7*0.6*0.6</f>
        <v>56.800799999999995</v>
      </c>
      <c r="V156" s="565">
        <v>2981.05</v>
      </c>
      <c r="W156" s="564">
        <v>149.05250000000001</v>
      </c>
      <c r="X156" s="564">
        <v>29.810500000000005</v>
      </c>
      <c r="Y156" s="519">
        <v>119.242</v>
      </c>
      <c r="Z156" s="569">
        <f>(Y156-U156)/Y156</f>
        <v>0.52365106254507643</v>
      </c>
      <c r="AA156" s="409">
        <v>175.3</v>
      </c>
      <c r="AB156" s="557">
        <f t="shared" si="6"/>
        <v>44.175599999999996</v>
      </c>
      <c r="AC156" s="565">
        <v>5800.99</v>
      </c>
      <c r="AD156" s="564">
        <v>290.04949999999997</v>
      </c>
      <c r="AE156" s="564">
        <v>58.009899999999995</v>
      </c>
      <c r="AF156" s="519">
        <v>232.03959999999998</v>
      </c>
      <c r="AG156" s="569">
        <f>(AF156-AB156)/AF156</f>
        <v>0.80962042685817415</v>
      </c>
    </row>
    <row r="157" spans="2:33" x14ac:dyDescent="0.25">
      <c r="B157" s="231">
        <v>4</v>
      </c>
      <c r="C157" s="500">
        <v>1</v>
      </c>
      <c r="D157" s="501" t="s">
        <v>298</v>
      </c>
      <c r="E157" s="502" t="s">
        <v>131</v>
      </c>
      <c r="F157" s="502" t="s">
        <v>136</v>
      </c>
      <c r="G157" s="503">
        <v>2</v>
      </c>
      <c r="H157" s="502" t="s">
        <v>663</v>
      </c>
      <c r="I157" s="502" t="s">
        <v>675</v>
      </c>
      <c r="J157" s="502" t="s">
        <v>709</v>
      </c>
      <c r="K157" s="504" t="s">
        <v>664</v>
      </c>
      <c r="L157" s="502" t="s">
        <v>122</v>
      </c>
      <c r="M157" s="504" t="s">
        <v>264</v>
      </c>
      <c r="N157" s="505">
        <v>72</v>
      </c>
      <c r="O157" s="505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08">
        <v>313</v>
      </c>
      <c r="U157" s="557">
        <f t="shared" si="7"/>
        <v>78.875999999999991</v>
      </c>
      <c r="V157" s="565">
        <v>4206.6000000000004</v>
      </c>
      <c r="W157" s="564">
        <v>210.33</v>
      </c>
      <c r="X157" s="564">
        <v>42.066000000000003</v>
      </c>
      <c r="Y157" s="519">
        <v>168.26400000000001</v>
      </c>
      <c r="Z157" s="569">
        <f>(Y157-U157)/Y157</f>
        <v>0.53123662815575534</v>
      </c>
      <c r="AA157" s="409">
        <v>175.3</v>
      </c>
      <c r="AB157" s="557">
        <f t="shared" si="6"/>
        <v>44.175599999999996</v>
      </c>
      <c r="AC157" s="565">
        <v>5800.99</v>
      </c>
      <c r="AD157" s="564">
        <v>290.04949999999997</v>
      </c>
      <c r="AE157" s="564">
        <v>58.009899999999995</v>
      </c>
      <c r="AF157" s="519">
        <v>232.03959999999998</v>
      </c>
      <c r="AG157" s="569">
        <f>(AF157-AB157)/AF157</f>
        <v>0.80962042685817415</v>
      </c>
    </row>
    <row r="158" spans="2:33" x14ac:dyDescent="0.25">
      <c r="B158" s="231">
        <v>5</v>
      </c>
      <c r="C158" s="500">
        <v>1</v>
      </c>
      <c r="D158" s="501" t="s">
        <v>298</v>
      </c>
      <c r="E158" s="502" t="s">
        <v>131</v>
      </c>
      <c r="F158" s="502" t="s">
        <v>136</v>
      </c>
      <c r="G158" s="503">
        <v>2</v>
      </c>
      <c r="H158" s="502" t="s">
        <v>663</v>
      </c>
      <c r="I158" s="502" t="s">
        <v>676</v>
      </c>
      <c r="J158" s="502" t="s">
        <v>709</v>
      </c>
      <c r="K158" s="504" t="s">
        <v>664</v>
      </c>
      <c r="L158" s="502" t="s">
        <v>122</v>
      </c>
      <c r="M158" s="504" t="s">
        <v>264</v>
      </c>
      <c r="N158" s="505">
        <v>72</v>
      </c>
      <c r="O158" s="505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08">
        <v>335.05</v>
      </c>
      <c r="U158" s="557">
        <f t="shared" si="7"/>
        <v>84.432599999999994</v>
      </c>
      <c r="V158" s="565">
        <v>4359.54</v>
      </c>
      <c r="W158" s="564">
        <v>217.977</v>
      </c>
      <c r="X158" s="564">
        <v>43.595400000000005</v>
      </c>
      <c r="Y158" s="519">
        <v>174.38159999999999</v>
      </c>
      <c r="Z158" s="569">
        <f>(Y158-U158)/Y158</f>
        <v>0.51581703574230309</v>
      </c>
      <c r="AA158" s="409">
        <v>175.3</v>
      </c>
      <c r="AB158" s="557">
        <f t="shared" si="6"/>
        <v>44.175599999999996</v>
      </c>
      <c r="AC158" s="565">
        <v>5800.99</v>
      </c>
      <c r="AD158" s="564">
        <v>290.04949999999997</v>
      </c>
      <c r="AE158" s="564">
        <v>58.009899999999995</v>
      </c>
      <c r="AF158" s="519">
        <v>232.03959999999998</v>
      </c>
      <c r="AG158" s="569">
        <f>(AF158-AB158)/AF158</f>
        <v>0.80962042685817415</v>
      </c>
    </row>
    <row r="159" spans="2:33" x14ac:dyDescent="0.25">
      <c r="B159" s="231">
        <v>6</v>
      </c>
      <c r="C159" s="500">
        <v>1</v>
      </c>
      <c r="D159" s="501" t="s">
        <v>298</v>
      </c>
      <c r="E159" s="502" t="s">
        <v>131</v>
      </c>
      <c r="F159" s="502" t="s">
        <v>136</v>
      </c>
      <c r="G159" s="503">
        <v>2</v>
      </c>
      <c r="H159" s="502" t="s">
        <v>663</v>
      </c>
      <c r="I159" s="502" t="s">
        <v>677</v>
      </c>
      <c r="J159" s="502" t="s">
        <v>709</v>
      </c>
      <c r="K159" s="504" t="s">
        <v>664</v>
      </c>
      <c r="L159" s="502" t="s">
        <v>122</v>
      </c>
      <c r="M159" s="504" t="s">
        <v>264</v>
      </c>
      <c r="N159" s="505">
        <v>72</v>
      </c>
      <c r="O159" s="505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08">
        <v>408.35</v>
      </c>
      <c r="U159" s="557">
        <f t="shared" si="7"/>
        <v>102.90419999999999</v>
      </c>
      <c r="V159" s="565">
        <v>4492.07</v>
      </c>
      <c r="W159" s="564">
        <v>224.6035</v>
      </c>
      <c r="X159" s="564">
        <v>44.920700000000004</v>
      </c>
      <c r="Y159" s="519">
        <v>179.68279999999999</v>
      </c>
      <c r="Z159" s="569">
        <f>(Y159-U159)/Y159</f>
        <v>0.42730077670205496</v>
      </c>
      <c r="AA159" s="409">
        <v>175.3</v>
      </c>
      <c r="AB159" s="557">
        <f t="shared" si="6"/>
        <v>44.175599999999996</v>
      </c>
      <c r="AC159" s="565">
        <v>5800.99</v>
      </c>
      <c r="AD159" s="564">
        <v>290.04949999999997</v>
      </c>
      <c r="AE159" s="564">
        <v>58.009899999999995</v>
      </c>
      <c r="AF159" s="519">
        <v>232.03959999999998</v>
      </c>
      <c r="AG159" s="569">
        <f>(AF159-AB159)/AF159</f>
        <v>0.80962042685817415</v>
      </c>
    </row>
    <row r="160" spans="2:33" x14ac:dyDescent="0.25">
      <c r="B160" s="231">
        <v>7</v>
      </c>
      <c r="C160" s="544">
        <v>1</v>
      </c>
      <c r="D160" s="545" t="s">
        <v>298</v>
      </c>
      <c r="E160" s="546" t="s">
        <v>131</v>
      </c>
      <c r="F160" s="546" t="s">
        <v>136</v>
      </c>
      <c r="G160" s="547">
        <v>2</v>
      </c>
      <c r="H160" s="546" t="s">
        <v>187</v>
      </c>
      <c r="I160" s="546" t="s">
        <v>321</v>
      </c>
      <c r="J160" s="546" t="s">
        <v>709</v>
      </c>
      <c r="K160" s="548" t="s">
        <v>664</v>
      </c>
      <c r="L160" s="546" t="s">
        <v>122</v>
      </c>
      <c r="M160" s="548" t="s">
        <v>264</v>
      </c>
      <c r="N160" s="549">
        <v>98</v>
      </c>
      <c r="O160" s="549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08">
        <v>253.85000000000002</v>
      </c>
      <c r="U160" s="557">
        <f t="shared" si="7"/>
        <v>63.970199999999991</v>
      </c>
      <c r="V160" s="565"/>
      <c r="W160" s="565"/>
      <c r="X160" s="564"/>
      <c r="Y160" s="519"/>
      <c r="Z160" s="519"/>
      <c r="AA160" s="409">
        <v>218.65</v>
      </c>
      <c r="AB160" s="557">
        <f t="shared" si="6"/>
        <v>55.099799999999995</v>
      </c>
      <c r="AC160" s="565"/>
      <c r="AD160" s="565"/>
      <c r="AE160" s="564"/>
      <c r="AF160" s="519"/>
      <c r="AG160" s="519"/>
    </row>
    <row r="161" spans="2:33" x14ac:dyDescent="0.25">
      <c r="B161" s="231">
        <v>8</v>
      </c>
      <c r="C161" s="538">
        <v>1</v>
      </c>
      <c r="D161" s="539" t="s">
        <v>298</v>
      </c>
      <c r="E161" s="540" t="s">
        <v>131</v>
      </c>
      <c r="F161" s="540" t="s">
        <v>136</v>
      </c>
      <c r="G161" s="541">
        <v>2</v>
      </c>
      <c r="H161" s="540" t="s">
        <v>691</v>
      </c>
      <c r="I161" s="540" t="s">
        <v>321</v>
      </c>
      <c r="J161" s="540" t="s">
        <v>709</v>
      </c>
      <c r="K161" s="542" t="s">
        <v>664</v>
      </c>
      <c r="L161" s="540" t="s">
        <v>122</v>
      </c>
      <c r="M161" s="542" t="s">
        <v>264</v>
      </c>
      <c r="N161" s="543">
        <v>98</v>
      </c>
      <c r="O161" s="543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08">
        <v>513</v>
      </c>
      <c r="U161" s="557">
        <f t="shared" si="7"/>
        <v>129.27599999999998</v>
      </c>
      <c r="V161" s="565"/>
      <c r="W161" s="565"/>
      <c r="X161" s="564"/>
      <c r="Y161" s="519"/>
      <c r="Z161" s="570">
        <f>AVERAGE(Z162:Z165)</f>
        <v>0.4637214602727881</v>
      </c>
      <c r="AA161" s="409">
        <v>218.65</v>
      </c>
      <c r="AB161" s="557">
        <f t="shared" si="6"/>
        <v>55.099799999999995</v>
      </c>
      <c r="AC161" s="565"/>
      <c r="AD161" s="565"/>
      <c r="AE161" s="564"/>
      <c r="AF161" s="519"/>
      <c r="AG161" s="570">
        <f>AVERAGE(AG162:AG165)</f>
        <v>0.79836687554616803</v>
      </c>
    </row>
    <row r="162" spans="2:33" x14ac:dyDescent="0.25">
      <c r="B162" s="231">
        <v>9</v>
      </c>
      <c r="C162" s="500">
        <v>1</v>
      </c>
      <c r="D162" s="501" t="s">
        <v>298</v>
      </c>
      <c r="E162" s="502" t="s">
        <v>131</v>
      </c>
      <c r="F162" s="502" t="s">
        <v>136</v>
      </c>
      <c r="G162" s="503">
        <v>2</v>
      </c>
      <c r="H162" s="502" t="s">
        <v>663</v>
      </c>
      <c r="I162" s="502" t="s">
        <v>674</v>
      </c>
      <c r="J162" s="502" t="s">
        <v>709</v>
      </c>
      <c r="K162" s="504" t="s">
        <v>664</v>
      </c>
      <c r="L162" s="502" t="s">
        <v>122</v>
      </c>
      <c r="M162" s="504" t="s">
        <v>264</v>
      </c>
      <c r="N162" s="505">
        <v>98</v>
      </c>
      <c r="O162" s="505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08">
        <v>301.95</v>
      </c>
      <c r="U162" s="557">
        <f t="shared" si="7"/>
        <v>76.091399999999993</v>
      </c>
      <c r="V162" s="565">
        <v>3725.63</v>
      </c>
      <c r="W162" s="564">
        <v>186.28149999999999</v>
      </c>
      <c r="X162" s="564">
        <v>37.256300000000003</v>
      </c>
      <c r="Y162" s="519">
        <v>149.02519999999998</v>
      </c>
      <c r="Z162" s="569">
        <f>(Y162-U162)/Y162</f>
        <v>0.48940581861322779</v>
      </c>
      <c r="AA162" s="409">
        <v>218.65</v>
      </c>
      <c r="AB162" s="557">
        <f t="shared" si="6"/>
        <v>55.099799999999995</v>
      </c>
      <c r="AC162" s="565">
        <v>6831.69</v>
      </c>
      <c r="AD162" s="564">
        <v>341.58449999999999</v>
      </c>
      <c r="AE162" s="564">
        <v>68.316900000000004</v>
      </c>
      <c r="AF162" s="519">
        <v>273.26760000000002</v>
      </c>
      <c r="AG162" s="569">
        <f>(AF162-AB162)/AF162</f>
        <v>0.79836687554616803</v>
      </c>
    </row>
    <row r="163" spans="2:33" x14ac:dyDescent="0.25">
      <c r="B163" s="231">
        <v>10</v>
      </c>
      <c r="C163" s="500">
        <v>1</v>
      </c>
      <c r="D163" s="501" t="s">
        <v>298</v>
      </c>
      <c r="E163" s="502" t="s">
        <v>131</v>
      </c>
      <c r="F163" s="502" t="s">
        <v>136</v>
      </c>
      <c r="G163" s="503">
        <v>2</v>
      </c>
      <c r="H163" s="502" t="s">
        <v>663</v>
      </c>
      <c r="I163" s="502" t="s">
        <v>675</v>
      </c>
      <c r="J163" s="502" t="s">
        <v>709</v>
      </c>
      <c r="K163" s="504" t="s">
        <v>664</v>
      </c>
      <c r="L163" s="502" t="s">
        <v>122</v>
      </c>
      <c r="M163" s="504" t="s">
        <v>264</v>
      </c>
      <c r="N163" s="505">
        <v>98</v>
      </c>
      <c r="O163" s="505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08">
        <v>419.5</v>
      </c>
      <c r="U163" s="557">
        <f t="shared" si="7"/>
        <v>105.71399999999998</v>
      </c>
      <c r="V163" s="565">
        <v>5262.84</v>
      </c>
      <c r="W163" s="564">
        <v>263.142</v>
      </c>
      <c r="X163" s="564">
        <v>52.628399999999999</v>
      </c>
      <c r="Y163" s="519">
        <v>210.5136</v>
      </c>
      <c r="Z163" s="569">
        <f>(Y163-U163)/Y163</f>
        <v>0.49782816882139685</v>
      </c>
      <c r="AA163" s="409">
        <v>218.65</v>
      </c>
      <c r="AB163" s="557">
        <f t="shared" si="6"/>
        <v>55.099799999999995</v>
      </c>
      <c r="AC163" s="565">
        <v>6831.69</v>
      </c>
      <c r="AD163" s="564">
        <v>341.58449999999999</v>
      </c>
      <c r="AE163" s="564">
        <v>68.316900000000004</v>
      </c>
      <c r="AF163" s="519">
        <v>273.26760000000002</v>
      </c>
      <c r="AG163" s="569">
        <f>(AF163-AB163)/AF163</f>
        <v>0.79836687554616803</v>
      </c>
    </row>
    <row r="164" spans="2:33" x14ac:dyDescent="0.25">
      <c r="B164" s="231">
        <v>11</v>
      </c>
      <c r="C164" s="500">
        <v>1</v>
      </c>
      <c r="D164" s="501" t="s">
        <v>298</v>
      </c>
      <c r="E164" s="502" t="s">
        <v>131</v>
      </c>
      <c r="F164" s="502" t="s">
        <v>136</v>
      </c>
      <c r="G164" s="503">
        <v>2</v>
      </c>
      <c r="H164" s="502" t="s">
        <v>663</v>
      </c>
      <c r="I164" s="502" t="s">
        <v>676</v>
      </c>
      <c r="J164" s="502" t="s">
        <v>709</v>
      </c>
      <c r="K164" s="504" t="s">
        <v>664</v>
      </c>
      <c r="L164" s="502" t="s">
        <v>122</v>
      </c>
      <c r="M164" s="504" t="s">
        <v>264</v>
      </c>
      <c r="N164" s="505">
        <v>98</v>
      </c>
      <c r="O164" s="505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08">
        <v>449.1</v>
      </c>
      <c r="U164" s="557">
        <f t="shared" si="7"/>
        <v>113.17319999999999</v>
      </c>
      <c r="V164" s="565">
        <v>5453.87</v>
      </c>
      <c r="W164" s="564">
        <v>272.69349999999997</v>
      </c>
      <c r="X164" s="564">
        <v>54.538699999999999</v>
      </c>
      <c r="Y164" s="519">
        <v>218.15479999999997</v>
      </c>
      <c r="Z164" s="569">
        <f>(Y164-U164)/Y164</f>
        <v>0.48122525839449781</v>
      </c>
      <c r="AA164" s="409">
        <v>218.65</v>
      </c>
      <c r="AB164" s="557">
        <f t="shared" si="6"/>
        <v>55.099799999999995</v>
      </c>
      <c r="AC164" s="565">
        <v>6831.69</v>
      </c>
      <c r="AD164" s="564">
        <v>341.58449999999999</v>
      </c>
      <c r="AE164" s="564">
        <v>68.316900000000004</v>
      </c>
      <c r="AF164" s="519">
        <v>273.26760000000002</v>
      </c>
      <c r="AG164" s="569">
        <f>(AF164-AB164)/AF164</f>
        <v>0.79836687554616803</v>
      </c>
    </row>
    <row r="165" spans="2:33" x14ac:dyDescent="0.25">
      <c r="B165" s="231">
        <v>12</v>
      </c>
      <c r="C165" s="500">
        <v>1</v>
      </c>
      <c r="D165" s="501" t="s">
        <v>298</v>
      </c>
      <c r="E165" s="502" t="s">
        <v>131</v>
      </c>
      <c r="F165" s="502" t="s">
        <v>136</v>
      </c>
      <c r="G165" s="503">
        <v>2</v>
      </c>
      <c r="H165" s="502" t="s">
        <v>663</v>
      </c>
      <c r="I165" s="502" t="s">
        <v>677</v>
      </c>
      <c r="J165" s="502" t="s">
        <v>709</v>
      </c>
      <c r="K165" s="504" t="s">
        <v>664</v>
      </c>
      <c r="L165" s="502" t="s">
        <v>122</v>
      </c>
      <c r="M165" s="504" t="s">
        <v>264</v>
      </c>
      <c r="N165" s="505">
        <v>98</v>
      </c>
      <c r="O165" s="505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08">
        <v>547.4</v>
      </c>
      <c r="U165" s="557">
        <f t="shared" si="7"/>
        <v>137.94479999999996</v>
      </c>
      <c r="V165" s="565">
        <v>5620.55</v>
      </c>
      <c r="W165" s="564">
        <v>281.02750000000003</v>
      </c>
      <c r="X165" s="564">
        <v>56.205500000000008</v>
      </c>
      <c r="Y165" s="519">
        <v>224.82200000000003</v>
      </c>
      <c r="Z165" s="569">
        <f>(Y165-U165)/Y165</f>
        <v>0.38642659526202977</v>
      </c>
      <c r="AA165" s="409">
        <v>218.65</v>
      </c>
      <c r="AB165" s="557">
        <f t="shared" si="6"/>
        <v>55.099799999999995</v>
      </c>
      <c r="AC165" s="565">
        <v>6831.69</v>
      </c>
      <c r="AD165" s="564">
        <v>341.58449999999999</v>
      </c>
      <c r="AE165" s="564">
        <v>68.316900000000004</v>
      </c>
      <c r="AF165" s="519">
        <v>273.26760000000002</v>
      </c>
      <c r="AG165" s="569">
        <f>(AF165-AB165)/AF165</f>
        <v>0.79836687554616803</v>
      </c>
    </row>
    <row r="166" spans="2:33" x14ac:dyDescent="0.25">
      <c r="B166" s="231">
        <v>13</v>
      </c>
      <c r="C166" s="544">
        <v>1</v>
      </c>
      <c r="D166" s="545" t="s">
        <v>298</v>
      </c>
      <c r="E166" s="546" t="s">
        <v>131</v>
      </c>
      <c r="F166" s="546" t="s">
        <v>136</v>
      </c>
      <c r="G166" s="547">
        <v>2</v>
      </c>
      <c r="H166" s="546" t="s">
        <v>187</v>
      </c>
      <c r="I166" s="546" t="s">
        <v>321</v>
      </c>
      <c r="J166" s="546" t="s">
        <v>709</v>
      </c>
      <c r="K166" s="548" t="s">
        <v>664</v>
      </c>
      <c r="L166" s="546" t="s">
        <v>122</v>
      </c>
      <c r="M166" s="548" t="s">
        <v>264</v>
      </c>
      <c r="N166" s="549">
        <v>124</v>
      </c>
      <c r="O166" s="549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08">
        <v>314.65000000000003</v>
      </c>
      <c r="U166" s="557">
        <f t="shared" si="7"/>
        <v>79.291800000000009</v>
      </c>
      <c r="V166" s="565"/>
      <c r="W166" s="565"/>
      <c r="X166" s="564"/>
      <c r="Y166" s="519"/>
      <c r="Z166" s="519"/>
      <c r="AA166" s="409">
        <v>262</v>
      </c>
      <c r="AB166" s="557">
        <f t="shared" si="6"/>
        <v>66.023999999999987</v>
      </c>
      <c r="AC166" s="565"/>
      <c r="AD166" s="565"/>
      <c r="AE166" s="564"/>
      <c r="AF166" s="519"/>
      <c r="AG166" s="519"/>
    </row>
    <row r="167" spans="2:33" x14ac:dyDescent="0.25">
      <c r="B167" s="231">
        <v>14</v>
      </c>
      <c r="C167" s="538">
        <v>1</v>
      </c>
      <c r="D167" s="539" t="s">
        <v>298</v>
      </c>
      <c r="E167" s="540" t="s">
        <v>131</v>
      </c>
      <c r="F167" s="540" t="s">
        <v>136</v>
      </c>
      <c r="G167" s="541">
        <v>2</v>
      </c>
      <c r="H167" s="540" t="s">
        <v>691</v>
      </c>
      <c r="I167" s="540" t="s">
        <v>321</v>
      </c>
      <c r="J167" s="540" t="s">
        <v>709</v>
      </c>
      <c r="K167" s="542" t="s">
        <v>664</v>
      </c>
      <c r="L167" s="540" t="s">
        <v>122</v>
      </c>
      <c r="M167" s="542" t="s">
        <v>264</v>
      </c>
      <c r="N167" s="543">
        <v>124</v>
      </c>
      <c r="O167" s="543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08">
        <v>635.1</v>
      </c>
      <c r="U167" s="557">
        <f t="shared" si="7"/>
        <v>160.04519999999997</v>
      </c>
      <c r="V167" s="565"/>
      <c r="W167" s="565"/>
      <c r="X167" s="564"/>
      <c r="Y167" s="519"/>
      <c r="Z167" s="570">
        <f>AVERAGE(Z168:Z171)</f>
        <v>0.44687900560297045</v>
      </c>
      <c r="AA167" s="409">
        <v>262</v>
      </c>
      <c r="AB167" s="557">
        <f t="shared" si="6"/>
        <v>66.023999999999987</v>
      </c>
      <c r="AC167" s="565"/>
      <c r="AD167" s="565"/>
      <c r="AE167" s="564"/>
      <c r="AF167" s="519"/>
      <c r="AG167" s="570">
        <f>AVERAGE(AG168:AG171)</f>
        <v>0.77588503415492527</v>
      </c>
    </row>
    <row r="168" spans="2:33" x14ac:dyDescent="0.25">
      <c r="B168" s="231">
        <v>15</v>
      </c>
      <c r="C168" s="500">
        <v>1</v>
      </c>
      <c r="D168" s="501" t="s">
        <v>298</v>
      </c>
      <c r="E168" s="502" t="s">
        <v>131</v>
      </c>
      <c r="F168" s="502" t="s">
        <v>136</v>
      </c>
      <c r="G168" s="503">
        <v>2</v>
      </c>
      <c r="H168" s="502" t="s">
        <v>663</v>
      </c>
      <c r="I168" s="502" t="s">
        <v>674</v>
      </c>
      <c r="J168" s="502" t="s">
        <v>709</v>
      </c>
      <c r="K168" s="504" t="s">
        <v>664</v>
      </c>
      <c r="L168" s="502" t="s">
        <v>122</v>
      </c>
      <c r="M168" s="504" t="s">
        <v>264</v>
      </c>
      <c r="N168" s="505">
        <v>124</v>
      </c>
      <c r="O168" s="505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08">
        <v>374.15000000000003</v>
      </c>
      <c r="U168" s="557">
        <f t="shared" si="7"/>
        <v>94.285799999999995</v>
      </c>
      <c r="V168" s="565">
        <v>4470.21</v>
      </c>
      <c r="W168" s="564">
        <v>223.51050000000001</v>
      </c>
      <c r="X168" s="564">
        <v>44.702100000000002</v>
      </c>
      <c r="Y168" s="519">
        <v>178.80840000000001</v>
      </c>
      <c r="Z168" s="569">
        <f>(Y168-U168)/Y168</f>
        <v>0.47269926916185151</v>
      </c>
      <c r="AA168" s="409">
        <v>262</v>
      </c>
      <c r="AB168" s="557">
        <f t="shared" si="6"/>
        <v>66.023999999999987</v>
      </c>
      <c r="AC168" s="565">
        <v>7364.9699999999993</v>
      </c>
      <c r="AD168" s="564">
        <v>368.24849999999998</v>
      </c>
      <c r="AE168" s="564">
        <v>73.649699999999996</v>
      </c>
      <c r="AF168" s="519">
        <v>294.59879999999998</v>
      </c>
      <c r="AG168" s="569">
        <f>(AF168-AB168)/AF168</f>
        <v>0.77588503415492527</v>
      </c>
    </row>
    <row r="169" spans="2:33" x14ac:dyDescent="0.25">
      <c r="B169" s="231">
        <v>16</v>
      </c>
      <c r="C169" s="500">
        <v>1</v>
      </c>
      <c r="D169" s="501" t="s">
        <v>298</v>
      </c>
      <c r="E169" s="502" t="s">
        <v>131</v>
      </c>
      <c r="F169" s="502" t="s">
        <v>136</v>
      </c>
      <c r="G169" s="503">
        <v>2</v>
      </c>
      <c r="H169" s="502" t="s">
        <v>663</v>
      </c>
      <c r="I169" s="502" t="s">
        <v>675</v>
      </c>
      <c r="J169" s="502" t="s">
        <v>709</v>
      </c>
      <c r="K169" s="504" t="s">
        <v>664</v>
      </c>
      <c r="L169" s="502" t="s">
        <v>122</v>
      </c>
      <c r="M169" s="504" t="s">
        <v>264</v>
      </c>
      <c r="N169" s="505">
        <v>124</v>
      </c>
      <c r="O169" s="505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08">
        <v>519.5</v>
      </c>
      <c r="U169" s="557">
        <f t="shared" si="7"/>
        <v>130.91399999999999</v>
      </c>
      <c r="V169" s="565">
        <v>6319.08</v>
      </c>
      <c r="W169" s="564">
        <v>315.95400000000001</v>
      </c>
      <c r="X169" s="564">
        <v>63.190800000000003</v>
      </c>
      <c r="Y169" s="519">
        <v>252.76320000000001</v>
      </c>
      <c r="Z169" s="569">
        <f>(Y169-U169)/Y169</f>
        <v>0.48206859226343085</v>
      </c>
      <c r="AA169" s="409">
        <v>262</v>
      </c>
      <c r="AB169" s="557">
        <f t="shared" si="6"/>
        <v>66.023999999999987</v>
      </c>
      <c r="AC169" s="565">
        <v>7364.9699999999993</v>
      </c>
      <c r="AD169" s="564">
        <v>368.24849999999998</v>
      </c>
      <c r="AE169" s="564">
        <v>73.649699999999996</v>
      </c>
      <c r="AF169" s="519">
        <v>294.59879999999998</v>
      </c>
      <c r="AG169" s="569">
        <f>(AF169-AB169)/AF169</f>
        <v>0.77588503415492527</v>
      </c>
    </row>
    <row r="170" spans="2:33" x14ac:dyDescent="0.25">
      <c r="B170" s="231">
        <v>17</v>
      </c>
      <c r="C170" s="500">
        <v>1</v>
      </c>
      <c r="D170" s="501" t="s">
        <v>298</v>
      </c>
      <c r="E170" s="502" t="s">
        <v>131</v>
      </c>
      <c r="F170" s="502" t="s">
        <v>136</v>
      </c>
      <c r="G170" s="503">
        <v>2</v>
      </c>
      <c r="H170" s="502" t="s">
        <v>663</v>
      </c>
      <c r="I170" s="502" t="s">
        <v>676</v>
      </c>
      <c r="J170" s="502" t="s">
        <v>709</v>
      </c>
      <c r="K170" s="504" t="s">
        <v>664</v>
      </c>
      <c r="L170" s="502" t="s">
        <v>122</v>
      </c>
      <c r="M170" s="504" t="s">
        <v>264</v>
      </c>
      <c r="N170" s="505">
        <v>124</v>
      </c>
      <c r="O170" s="505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08">
        <v>556.05000000000007</v>
      </c>
      <c r="U170" s="557">
        <f t="shared" si="7"/>
        <v>140.12459999999999</v>
      </c>
      <c r="V170" s="565">
        <v>6549.56</v>
      </c>
      <c r="W170" s="564">
        <v>327.47800000000001</v>
      </c>
      <c r="X170" s="564">
        <v>65.49560000000001</v>
      </c>
      <c r="Y170" s="519">
        <v>261.98239999999998</v>
      </c>
      <c r="Z170" s="569">
        <f>(Y170-U170)/Y170</f>
        <v>0.46513735273819923</v>
      </c>
      <c r="AA170" s="409">
        <v>262</v>
      </c>
      <c r="AB170" s="557">
        <f t="shared" si="6"/>
        <v>66.023999999999987</v>
      </c>
      <c r="AC170" s="565">
        <v>7364.9699999999993</v>
      </c>
      <c r="AD170" s="564">
        <v>368.24849999999998</v>
      </c>
      <c r="AE170" s="564">
        <v>73.649699999999996</v>
      </c>
      <c r="AF170" s="519">
        <v>294.59879999999998</v>
      </c>
      <c r="AG170" s="569">
        <f>(AF170-AB170)/AF170</f>
        <v>0.77588503415492527</v>
      </c>
    </row>
    <row r="171" spans="2:33" x14ac:dyDescent="0.25">
      <c r="B171" s="231">
        <v>18</v>
      </c>
      <c r="C171" s="500">
        <v>1</v>
      </c>
      <c r="D171" s="501" t="s">
        <v>298</v>
      </c>
      <c r="E171" s="502" t="s">
        <v>131</v>
      </c>
      <c r="F171" s="502" t="s">
        <v>136</v>
      </c>
      <c r="G171" s="503">
        <v>2</v>
      </c>
      <c r="H171" s="502" t="s">
        <v>663</v>
      </c>
      <c r="I171" s="502" t="s">
        <v>677</v>
      </c>
      <c r="J171" s="502" t="s">
        <v>709</v>
      </c>
      <c r="K171" s="504" t="s">
        <v>664</v>
      </c>
      <c r="L171" s="502" t="s">
        <v>122</v>
      </c>
      <c r="M171" s="504" t="s">
        <v>264</v>
      </c>
      <c r="N171" s="505">
        <v>124</v>
      </c>
      <c r="O171" s="505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08">
        <v>677.6</v>
      </c>
      <c r="U171" s="557">
        <f t="shared" si="7"/>
        <v>170.75519999999997</v>
      </c>
      <c r="V171" s="565">
        <v>6750.4</v>
      </c>
      <c r="W171" s="564">
        <v>337.52</v>
      </c>
      <c r="X171" s="564">
        <v>67.504000000000005</v>
      </c>
      <c r="Y171" s="519">
        <v>270.01599999999996</v>
      </c>
      <c r="Z171" s="569">
        <f>(Y171-U171)/Y171</f>
        <v>0.36761080824840009</v>
      </c>
      <c r="AA171" s="409">
        <v>262</v>
      </c>
      <c r="AB171" s="557">
        <f t="shared" si="6"/>
        <v>66.023999999999987</v>
      </c>
      <c r="AC171" s="565">
        <v>7364.9699999999993</v>
      </c>
      <c r="AD171" s="564">
        <v>368.24849999999998</v>
      </c>
      <c r="AE171" s="564">
        <v>73.649699999999996</v>
      </c>
      <c r="AF171" s="519">
        <v>294.59879999999998</v>
      </c>
      <c r="AG171" s="569">
        <f>(AF171-AB171)/AF171</f>
        <v>0.77588503415492527</v>
      </c>
    </row>
    <row r="172" spans="2:33" x14ac:dyDescent="0.25">
      <c r="B172" s="231">
        <v>19</v>
      </c>
      <c r="C172" s="544">
        <v>1</v>
      </c>
      <c r="D172" s="545" t="s">
        <v>298</v>
      </c>
      <c r="E172" s="546" t="s">
        <v>131</v>
      </c>
      <c r="F172" s="546" t="s">
        <v>136</v>
      </c>
      <c r="G172" s="547">
        <v>2</v>
      </c>
      <c r="H172" s="546" t="s">
        <v>187</v>
      </c>
      <c r="I172" s="546" t="s">
        <v>321</v>
      </c>
      <c r="J172" s="546" t="s">
        <v>709</v>
      </c>
      <c r="K172" s="548" t="s">
        <v>664</v>
      </c>
      <c r="L172" s="546" t="s">
        <v>122</v>
      </c>
      <c r="M172" s="548" t="s">
        <v>264</v>
      </c>
      <c r="N172" s="549">
        <v>150</v>
      </c>
      <c r="O172" s="549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08">
        <v>379</v>
      </c>
      <c r="U172" s="557">
        <f t="shared" si="7"/>
        <v>95.507999999999996</v>
      </c>
      <c r="V172" s="565"/>
      <c r="W172" s="565"/>
      <c r="X172" s="564"/>
      <c r="Y172" s="519"/>
      <c r="Z172" s="519"/>
      <c r="AA172" s="409">
        <v>305.3</v>
      </c>
      <c r="AB172" s="557">
        <f t="shared" si="6"/>
        <v>76.935599999999994</v>
      </c>
      <c r="AC172" s="565"/>
      <c r="AD172" s="565"/>
      <c r="AE172" s="564"/>
      <c r="AF172" s="519"/>
      <c r="AG172" s="519"/>
    </row>
    <row r="173" spans="2:33" x14ac:dyDescent="0.25">
      <c r="B173" s="231">
        <v>20</v>
      </c>
      <c r="C173" s="538">
        <v>1</v>
      </c>
      <c r="D173" s="539" t="s">
        <v>298</v>
      </c>
      <c r="E173" s="540" t="s">
        <v>131</v>
      </c>
      <c r="F173" s="540" t="s">
        <v>136</v>
      </c>
      <c r="G173" s="541">
        <v>2</v>
      </c>
      <c r="H173" s="540" t="s">
        <v>691</v>
      </c>
      <c r="I173" s="540" t="s">
        <v>321</v>
      </c>
      <c r="J173" s="540" t="s">
        <v>709</v>
      </c>
      <c r="K173" s="542" t="s">
        <v>664</v>
      </c>
      <c r="L173" s="540" t="s">
        <v>122</v>
      </c>
      <c r="M173" s="542" t="s">
        <v>264</v>
      </c>
      <c r="N173" s="543">
        <v>150</v>
      </c>
      <c r="O173" s="543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08">
        <v>765.40000000000009</v>
      </c>
      <c r="U173" s="557">
        <f t="shared" si="7"/>
        <v>192.88079999999999</v>
      </c>
      <c r="V173" s="565"/>
      <c r="W173" s="565"/>
      <c r="X173" s="564"/>
      <c r="Y173" s="519"/>
      <c r="Z173" s="570">
        <f>AVERAGE(Z174:Z177)</f>
        <v>0.43457860269870535</v>
      </c>
      <c r="AA173" s="409">
        <v>305.3</v>
      </c>
      <c r="AB173" s="557">
        <f t="shared" si="6"/>
        <v>76.935599999999994</v>
      </c>
      <c r="AC173" s="565"/>
      <c r="AD173" s="565"/>
      <c r="AE173" s="564"/>
      <c r="AF173" s="519"/>
      <c r="AG173" s="570">
        <f>AVERAGE(AG174:AG177)</f>
        <v>0.76116569231762621</v>
      </c>
    </row>
    <row r="174" spans="2:33" x14ac:dyDescent="0.25">
      <c r="B174" s="231">
        <v>21</v>
      </c>
      <c r="C174" s="500">
        <v>1</v>
      </c>
      <c r="D174" s="501" t="s">
        <v>298</v>
      </c>
      <c r="E174" s="502" t="s">
        <v>131</v>
      </c>
      <c r="F174" s="502" t="s">
        <v>136</v>
      </c>
      <c r="G174" s="503">
        <v>2</v>
      </c>
      <c r="H174" s="502" t="s">
        <v>663</v>
      </c>
      <c r="I174" s="502" t="s">
        <v>674</v>
      </c>
      <c r="J174" s="502" t="s">
        <v>709</v>
      </c>
      <c r="K174" s="504" t="s">
        <v>664</v>
      </c>
      <c r="L174" s="502" t="s">
        <v>122</v>
      </c>
      <c r="M174" s="504" t="s">
        <v>264</v>
      </c>
      <c r="N174" s="505">
        <v>150</v>
      </c>
      <c r="O174" s="505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08">
        <v>450.75</v>
      </c>
      <c r="U174" s="557">
        <f t="shared" si="7"/>
        <v>113.58899999999998</v>
      </c>
      <c r="V174" s="565">
        <v>5279</v>
      </c>
      <c r="W174" s="564">
        <v>263.95</v>
      </c>
      <c r="X174" s="564">
        <v>52.79</v>
      </c>
      <c r="Y174" s="519">
        <v>211.16</v>
      </c>
      <c r="Z174" s="569">
        <f>(Y174-U174)/Y174</f>
        <v>0.46207141504072746</v>
      </c>
      <c r="AA174" s="409">
        <v>305.3</v>
      </c>
      <c r="AB174" s="557">
        <f t="shared" si="6"/>
        <v>76.935599999999994</v>
      </c>
      <c r="AC174" s="565">
        <v>8053.24</v>
      </c>
      <c r="AD174" s="564">
        <v>402.66199999999998</v>
      </c>
      <c r="AE174" s="564">
        <v>80.532399999999996</v>
      </c>
      <c r="AF174" s="519">
        <v>322.12959999999998</v>
      </c>
      <c r="AG174" s="569">
        <f>(AF174-AB174)/AF174</f>
        <v>0.76116569231762621</v>
      </c>
    </row>
    <row r="175" spans="2:33" x14ac:dyDescent="0.25">
      <c r="B175" s="231">
        <v>22</v>
      </c>
      <c r="C175" s="500">
        <v>1</v>
      </c>
      <c r="D175" s="501" t="s">
        <v>298</v>
      </c>
      <c r="E175" s="502" t="s">
        <v>131</v>
      </c>
      <c r="F175" s="502" t="s">
        <v>136</v>
      </c>
      <c r="G175" s="503">
        <v>2</v>
      </c>
      <c r="H175" s="502" t="s">
        <v>663</v>
      </c>
      <c r="I175" s="502" t="s">
        <v>675</v>
      </c>
      <c r="J175" s="502" t="s">
        <v>709</v>
      </c>
      <c r="K175" s="504" t="s">
        <v>664</v>
      </c>
      <c r="L175" s="502" t="s">
        <v>122</v>
      </c>
      <c r="M175" s="504" t="s">
        <v>264</v>
      </c>
      <c r="N175" s="505">
        <v>150</v>
      </c>
      <c r="O175" s="505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08">
        <v>626</v>
      </c>
      <c r="U175" s="557">
        <f t="shared" si="7"/>
        <v>157.75199999999998</v>
      </c>
      <c r="V175" s="565">
        <v>7456.32</v>
      </c>
      <c r="W175" s="564">
        <v>372.81599999999997</v>
      </c>
      <c r="X175" s="564">
        <v>74.563199999999995</v>
      </c>
      <c r="Y175" s="519">
        <v>298.25279999999998</v>
      </c>
      <c r="Z175" s="569">
        <f>(Y175-U175)/Y175</f>
        <v>0.4710795674005408</v>
      </c>
      <c r="AA175" s="409">
        <v>305.3</v>
      </c>
      <c r="AB175" s="557">
        <f t="shared" si="6"/>
        <v>76.935599999999994</v>
      </c>
      <c r="AC175" s="565">
        <v>8053.24</v>
      </c>
      <c r="AD175" s="564">
        <v>402.66199999999998</v>
      </c>
      <c r="AE175" s="564">
        <v>80.532399999999996</v>
      </c>
      <c r="AF175" s="519">
        <v>322.12959999999998</v>
      </c>
      <c r="AG175" s="569">
        <f>(AF175-AB175)/AF175</f>
        <v>0.76116569231762621</v>
      </c>
    </row>
    <row r="176" spans="2:33" x14ac:dyDescent="0.25">
      <c r="B176" s="231">
        <v>23</v>
      </c>
      <c r="C176" s="500">
        <v>1</v>
      </c>
      <c r="D176" s="501" t="s">
        <v>298</v>
      </c>
      <c r="E176" s="502" t="s">
        <v>131</v>
      </c>
      <c r="F176" s="502" t="s">
        <v>136</v>
      </c>
      <c r="G176" s="503">
        <v>2</v>
      </c>
      <c r="H176" s="502" t="s">
        <v>663</v>
      </c>
      <c r="I176" s="502" t="s">
        <v>676</v>
      </c>
      <c r="J176" s="502" t="s">
        <v>709</v>
      </c>
      <c r="K176" s="504" t="s">
        <v>664</v>
      </c>
      <c r="L176" s="502" t="s">
        <v>122</v>
      </c>
      <c r="M176" s="504" t="s">
        <v>264</v>
      </c>
      <c r="N176" s="505">
        <v>150</v>
      </c>
      <c r="O176" s="505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08">
        <v>670.1</v>
      </c>
      <c r="U176" s="557">
        <f t="shared" si="7"/>
        <v>168.86519999999999</v>
      </c>
      <c r="V176" s="565">
        <v>7706.74</v>
      </c>
      <c r="W176" s="564">
        <v>385.33699999999999</v>
      </c>
      <c r="X176" s="564">
        <v>77.067400000000006</v>
      </c>
      <c r="Y176" s="519">
        <v>308.26959999999997</v>
      </c>
      <c r="Z176" s="569">
        <f>(Y176-U176)/Y176</f>
        <v>0.45221585261731939</v>
      </c>
      <c r="AA176" s="409">
        <v>305.3</v>
      </c>
      <c r="AB176" s="557">
        <f t="shared" si="6"/>
        <v>76.935599999999994</v>
      </c>
      <c r="AC176" s="565">
        <v>8053.24</v>
      </c>
      <c r="AD176" s="564">
        <v>402.66199999999998</v>
      </c>
      <c r="AE176" s="564">
        <v>80.532399999999996</v>
      </c>
      <c r="AF176" s="519">
        <v>322.12959999999998</v>
      </c>
      <c r="AG176" s="569">
        <f>(AF176-AB176)/AF176</f>
        <v>0.76116569231762621</v>
      </c>
    </row>
    <row r="177" spans="2:33" x14ac:dyDescent="0.25">
      <c r="B177" s="231">
        <v>24</v>
      </c>
      <c r="C177" s="500">
        <v>1</v>
      </c>
      <c r="D177" s="501" t="s">
        <v>298</v>
      </c>
      <c r="E177" s="502" t="s">
        <v>131</v>
      </c>
      <c r="F177" s="502" t="s">
        <v>136</v>
      </c>
      <c r="G177" s="503">
        <v>2</v>
      </c>
      <c r="H177" s="502" t="s">
        <v>663</v>
      </c>
      <c r="I177" s="502" t="s">
        <v>677</v>
      </c>
      <c r="J177" s="502" t="s">
        <v>709</v>
      </c>
      <c r="K177" s="504" t="s">
        <v>664</v>
      </c>
      <c r="L177" s="502" t="s">
        <v>122</v>
      </c>
      <c r="M177" s="504" t="s">
        <v>264</v>
      </c>
      <c r="N177" s="505">
        <v>150</v>
      </c>
      <c r="O177" s="505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08">
        <v>816.65000000000009</v>
      </c>
      <c r="U177" s="557">
        <f t="shared" si="7"/>
        <v>205.79579999999999</v>
      </c>
      <c r="V177" s="565">
        <v>7951.28</v>
      </c>
      <c r="W177" s="564">
        <v>397.56399999999996</v>
      </c>
      <c r="X177" s="564">
        <v>79.512799999999999</v>
      </c>
      <c r="Y177" s="519">
        <v>318.05119999999999</v>
      </c>
      <c r="Z177" s="569">
        <f>(Y177-U177)/Y177</f>
        <v>0.3529475757362337</v>
      </c>
      <c r="AA177" s="409">
        <v>305.3</v>
      </c>
      <c r="AB177" s="557">
        <f t="shared" si="6"/>
        <v>76.935599999999994</v>
      </c>
      <c r="AC177" s="565">
        <v>8053.24</v>
      </c>
      <c r="AD177" s="564">
        <v>402.66199999999998</v>
      </c>
      <c r="AE177" s="564">
        <v>80.532399999999996</v>
      </c>
      <c r="AF177" s="519">
        <v>322.12959999999998</v>
      </c>
      <c r="AG177" s="569">
        <f>(AF177-AB177)/AF177</f>
        <v>0.76116569231762621</v>
      </c>
    </row>
    <row r="178" spans="2:33" x14ac:dyDescent="0.25">
      <c r="B178" s="231">
        <v>25</v>
      </c>
      <c r="C178" s="550">
        <v>1</v>
      </c>
      <c r="D178" s="551" t="s">
        <v>298</v>
      </c>
      <c r="E178" s="552" t="s">
        <v>131</v>
      </c>
      <c r="F178" s="552" t="s">
        <v>116</v>
      </c>
      <c r="G178" s="553">
        <v>2</v>
      </c>
      <c r="H178" s="552" t="s">
        <v>187</v>
      </c>
      <c r="I178" s="552" t="s">
        <v>323</v>
      </c>
      <c r="J178" s="552" t="s">
        <v>709</v>
      </c>
      <c r="K178" s="554" t="s">
        <v>665</v>
      </c>
      <c r="L178" s="552" t="s">
        <v>122</v>
      </c>
      <c r="M178" s="554" t="s">
        <v>264</v>
      </c>
      <c r="N178" s="555">
        <v>72</v>
      </c>
      <c r="O178" s="555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08">
        <v>122.9</v>
      </c>
      <c r="U178" s="557">
        <f t="shared" si="7"/>
        <v>30.970800000000001</v>
      </c>
      <c r="V178" s="565"/>
      <c r="W178" s="565"/>
      <c r="X178" s="564"/>
      <c r="Y178" s="519"/>
      <c r="Z178" s="631">
        <f>AVERAGE(Z180:Z183,Z186:Z189,Z192:Z195,Z198:Z201)</f>
        <v>0.43465689702216354</v>
      </c>
      <c r="AA178" s="409">
        <v>175.3</v>
      </c>
      <c r="AB178" s="557">
        <f t="shared" si="6"/>
        <v>44.175599999999996</v>
      </c>
      <c r="AC178" s="565"/>
      <c r="AD178" s="565"/>
      <c r="AE178" s="564"/>
      <c r="AF178" s="519"/>
      <c r="AG178" s="631">
        <f>AVERAGE(AG180:AG183,AG186:AG189,AG192:AG195,AG198:AG201)</f>
        <v>0.78625950721922311</v>
      </c>
    </row>
    <row r="179" spans="2:33" x14ac:dyDescent="0.25">
      <c r="B179" s="231">
        <v>26</v>
      </c>
      <c r="C179" s="506">
        <v>1</v>
      </c>
      <c r="D179" s="507" t="s">
        <v>298</v>
      </c>
      <c r="E179" s="508" t="s">
        <v>131</v>
      </c>
      <c r="F179" s="508" t="s">
        <v>116</v>
      </c>
      <c r="G179" s="509">
        <v>2</v>
      </c>
      <c r="H179" s="508" t="s">
        <v>691</v>
      </c>
      <c r="I179" s="508" t="s">
        <v>323</v>
      </c>
      <c r="J179" s="508" t="s">
        <v>709</v>
      </c>
      <c r="K179" s="510" t="s">
        <v>665</v>
      </c>
      <c r="L179" s="508" t="s">
        <v>122</v>
      </c>
      <c r="M179" s="510" t="s">
        <v>264</v>
      </c>
      <c r="N179" s="511">
        <v>72</v>
      </c>
      <c r="O179" s="511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08">
        <v>221.15</v>
      </c>
      <c r="U179" s="557">
        <f t="shared" si="7"/>
        <v>55.729799999999997</v>
      </c>
      <c r="V179" s="565"/>
      <c r="W179" s="565"/>
      <c r="X179" s="564"/>
      <c r="Y179" s="519"/>
      <c r="Z179" s="570">
        <f>AVERAGE(Z180:Z183)</f>
        <v>0.4589927964883061</v>
      </c>
      <c r="AA179" s="409">
        <v>175.3</v>
      </c>
      <c r="AB179" s="557">
        <f t="shared" si="6"/>
        <v>44.175599999999996</v>
      </c>
      <c r="AC179" s="565"/>
      <c r="AD179" s="565"/>
      <c r="AE179" s="564"/>
      <c r="AF179" s="519"/>
      <c r="AG179" s="570">
        <f>AVERAGE(AG180:AG183)</f>
        <v>0.80962042685817415</v>
      </c>
    </row>
    <row r="180" spans="2:33" x14ac:dyDescent="0.25">
      <c r="B180" s="231">
        <v>27</v>
      </c>
      <c r="C180" s="512">
        <v>1</v>
      </c>
      <c r="D180" s="513" t="s">
        <v>298</v>
      </c>
      <c r="E180" s="514" t="s">
        <v>131</v>
      </c>
      <c r="F180" s="514" t="s">
        <v>116</v>
      </c>
      <c r="G180" s="515">
        <v>2</v>
      </c>
      <c r="H180" s="514" t="s">
        <v>663</v>
      </c>
      <c r="I180" s="514" t="s">
        <v>681</v>
      </c>
      <c r="J180" s="514" t="s">
        <v>709</v>
      </c>
      <c r="K180" s="516" t="s">
        <v>665</v>
      </c>
      <c r="L180" s="514" t="s">
        <v>122</v>
      </c>
      <c r="M180" s="516" t="s">
        <v>264</v>
      </c>
      <c r="N180" s="517">
        <v>72</v>
      </c>
      <c r="O180" s="517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08">
        <v>182.4</v>
      </c>
      <c r="U180" s="557">
        <f t="shared" si="7"/>
        <v>45.96479999999999</v>
      </c>
      <c r="V180" s="565">
        <v>2498.04</v>
      </c>
      <c r="W180" s="564">
        <v>124.902</v>
      </c>
      <c r="X180" s="564">
        <v>24.980400000000003</v>
      </c>
      <c r="Y180" s="519">
        <v>99.921599999999998</v>
      </c>
      <c r="Z180" s="569">
        <f>(Y180-U180)/Y180</f>
        <v>0.53999135322092529</v>
      </c>
      <c r="AA180" s="409">
        <v>175.3</v>
      </c>
      <c r="AB180" s="557">
        <f t="shared" si="6"/>
        <v>44.175599999999996</v>
      </c>
      <c r="AC180" s="565">
        <v>5800.99</v>
      </c>
      <c r="AD180" s="564">
        <v>290.04949999999997</v>
      </c>
      <c r="AE180" s="564">
        <v>58.009899999999995</v>
      </c>
      <c r="AF180" s="519">
        <v>232.03959999999998</v>
      </c>
      <c r="AG180" s="569">
        <f>(AF180-AB180)/AF180</f>
        <v>0.80962042685817415</v>
      </c>
    </row>
    <row r="181" spans="2:33" x14ac:dyDescent="0.25">
      <c r="B181" s="231">
        <v>28</v>
      </c>
      <c r="C181" s="512">
        <v>1</v>
      </c>
      <c r="D181" s="513" t="s">
        <v>298</v>
      </c>
      <c r="E181" s="514" t="s">
        <v>131</v>
      </c>
      <c r="F181" s="514" t="s">
        <v>116</v>
      </c>
      <c r="G181" s="515">
        <v>2</v>
      </c>
      <c r="H181" s="514" t="s">
        <v>663</v>
      </c>
      <c r="I181" s="514" t="s">
        <v>685</v>
      </c>
      <c r="J181" s="514" t="s">
        <v>709</v>
      </c>
      <c r="K181" s="516" t="s">
        <v>665</v>
      </c>
      <c r="L181" s="514" t="s">
        <v>122</v>
      </c>
      <c r="M181" s="516" t="s">
        <v>264</v>
      </c>
      <c r="N181" s="517">
        <v>72</v>
      </c>
      <c r="O181" s="517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08">
        <v>217.65</v>
      </c>
      <c r="U181" s="557">
        <f t="shared" si="7"/>
        <v>54.847799999999999</v>
      </c>
      <c r="V181" s="565">
        <v>2762.46</v>
      </c>
      <c r="W181" s="564">
        <v>138.12299999999999</v>
      </c>
      <c r="X181" s="564">
        <v>27.624600000000001</v>
      </c>
      <c r="Y181" s="519">
        <v>110.49839999999999</v>
      </c>
      <c r="Z181" s="569">
        <f>(Y181-U181)/Y181</f>
        <v>0.50363263178471362</v>
      </c>
      <c r="AA181" s="409">
        <v>175.3</v>
      </c>
      <c r="AB181" s="557">
        <f t="shared" si="6"/>
        <v>44.175599999999996</v>
      </c>
      <c r="AC181" s="565">
        <v>5800.99</v>
      </c>
      <c r="AD181" s="564">
        <v>290.04949999999997</v>
      </c>
      <c r="AE181" s="564">
        <v>58.009899999999995</v>
      </c>
      <c r="AF181" s="519">
        <v>232.03959999999998</v>
      </c>
      <c r="AG181" s="569">
        <f>(AF181-AB181)/AF181</f>
        <v>0.80962042685817415</v>
      </c>
    </row>
    <row r="182" spans="2:33" x14ac:dyDescent="0.25">
      <c r="B182" s="231">
        <v>29</v>
      </c>
      <c r="C182" s="512">
        <v>1</v>
      </c>
      <c r="D182" s="513" t="s">
        <v>298</v>
      </c>
      <c r="E182" s="514" t="s">
        <v>131</v>
      </c>
      <c r="F182" s="514" t="s">
        <v>116</v>
      </c>
      <c r="G182" s="515">
        <v>2</v>
      </c>
      <c r="H182" s="514" t="s">
        <v>663</v>
      </c>
      <c r="I182" s="514" t="s">
        <v>687</v>
      </c>
      <c r="J182" s="514" t="s">
        <v>709</v>
      </c>
      <c r="K182" s="516" t="s">
        <v>665</v>
      </c>
      <c r="L182" s="514" t="s">
        <v>122</v>
      </c>
      <c r="M182" s="516" t="s">
        <v>264</v>
      </c>
      <c r="N182" s="517">
        <v>72</v>
      </c>
      <c r="O182" s="517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08">
        <v>259.90000000000003</v>
      </c>
      <c r="U182" s="557">
        <f t="shared" si="7"/>
        <v>65.494799999999998</v>
      </c>
      <c r="V182" s="565">
        <v>2761.1</v>
      </c>
      <c r="W182" s="564">
        <v>138.05500000000001</v>
      </c>
      <c r="X182" s="564">
        <v>27.611000000000004</v>
      </c>
      <c r="Y182" s="519">
        <v>110.444</v>
      </c>
      <c r="Z182" s="569">
        <f>(Y182-U182)/Y182</f>
        <v>0.40698634602151318</v>
      </c>
      <c r="AA182" s="409">
        <v>175.3</v>
      </c>
      <c r="AB182" s="557">
        <f t="shared" si="6"/>
        <v>44.175599999999996</v>
      </c>
      <c r="AC182" s="565">
        <v>5800.99</v>
      </c>
      <c r="AD182" s="564">
        <v>290.04949999999997</v>
      </c>
      <c r="AE182" s="564">
        <v>58.009899999999995</v>
      </c>
      <c r="AF182" s="519">
        <v>232.03959999999998</v>
      </c>
      <c r="AG182" s="569">
        <f>(AF182-AB182)/AF182</f>
        <v>0.80962042685817415</v>
      </c>
    </row>
    <row r="183" spans="2:33" x14ac:dyDescent="0.25">
      <c r="B183" s="231">
        <v>30</v>
      </c>
      <c r="C183" s="512">
        <v>1</v>
      </c>
      <c r="D183" s="513" t="s">
        <v>298</v>
      </c>
      <c r="E183" s="514" t="s">
        <v>131</v>
      </c>
      <c r="F183" s="514" t="s">
        <v>116</v>
      </c>
      <c r="G183" s="515">
        <v>2</v>
      </c>
      <c r="H183" s="514" t="s">
        <v>663</v>
      </c>
      <c r="I183" s="514" t="s">
        <v>689</v>
      </c>
      <c r="J183" s="514" t="s">
        <v>709</v>
      </c>
      <c r="K183" s="516" t="s">
        <v>665</v>
      </c>
      <c r="L183" s="514" t="s">
        <v>122</v>
      </c>
      <c r="M183" s="516" t="s">
        <v>264</v>
      </c>
      <c r="N183" s="517">
        <v>72</v>
      </c>
      <c r="O183" s="517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08">
        <v>299.90000000000003</v>
      </c>
      <c r="U183" s="557">
        <f t="shared" si="7"/>
        <v>75.574799999999996</v>
      </c>
      <c r="V183" s="565">
        <v>3073.95</v>
      </c>
      <c r="W183" s="564">
        <v>153.69749999999999</v>
      </c>
      <c r="X183" s="564">
        <v>30.7395</v>
      </c>
      <c r="Y183" s="519">
        <v>122.958</v>
      </c>
      <c r="Z183" s="569">
        <f>(Y183-U183)/Y183</f>
        <v>0.38536085492607236</v>
      </c>
      <c r="AA183" s="409">
        <v>175.3</v>
      </c>
      <c r="AB183" s="557">
        <f t="shared" si="6"/>
        <v>44.175599999999996</v>
      </c>
      <c r="AC183" s="565">
        <v>5800.99</v>
      </c>
      <c r="AD183" s="564">
        <v>290.04949999999997</v>
      </c>
      <c r="AE183" s="564">
        <v>58.009899999999995</v>
      </c>
      <c r="AF183" s="519">
        <v>232.03959999999998</v>
      </c>
      <c r="AG183" s="569">
        <f>(AF183-AB183)/AF183</f>
        <v>0.80962042685817415</v>
      </c>
    </row>
    <row r="184" spans="2:33" x14ac:dyDescent="0.25">
      <c r="B184" s="231">
        <v>31</v>
      </c>
      <c r="C184" s="550">
        <v>1</v>
      </c>
      <c r="D184" s="551" t="s">
        <v>298</v>
      </c>
      <c r="E184" s="552" t="s">
        <v>131</v>
      </c>
      <c r="F184" s="552" t="s">
        <v>116</v>
      </c>
      <c r="G184" s="553">
        <v>2</v>
      </c>
      <c r="H184" s="552" t="s">
        <v>187</v>
      </c>
      <c r="I184" s="552" t="s">
        <v>323</v>
      </c>
      <c r="J184" s="552" t="s">
        <v>709</v>
      </c>
      <c r="K184" s="554" t="s">
        <v>665</v>
      </c>
      <c r="L184" s="552" t="s">
        <v>122</v>
      </c>
      <c r="M184" s="554" t="s">
        <v>264</v>
      </c>
      <c r="N184" s="555">
        <v>98</v>
      </c>
      <c r="O184" s="555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08">
        <v>161.20000000000002</v>
      </c>
      <c r="U184" s="557">
        <f t="shared" si="7"/>
        <v>40.622399999999992</v>
      </c>
      <c r="V184" s="565"/>
      <c r="W184" s="565"/>
      <c r="X184" s="564"/>
      <c r="Y184" s="519"/>
      <c r="Z184" s="519"/>
      <c r="AA184" s="409">
        <v>218.65</v>
      </c>
      <c r="AB184" s="557">
        <f t="shared" si="6"/>
        <v>55.099799999999995</v>
      </c>
      <c r="AC184" s="565"/>
      <c r="AD184" s="565"/>
      <c r="AE184" s="564"/>
      <c r="AF184" s="519"/>
      <c r="AG184" s="519"/>
    </row>
    <row r="185" spans="2:33" x14ac:dyDescent="0.25">
      <c r="B185" s="231">
        <v>32</v>
      </c>
      <c r="C185" s="506">
        <v>1</v>
      </c>
      <c r="D185" s="507" t="s">
        <v>298</v>
      </c>
      <c r="E185" s="508" t="s">
        <v>131</v>
      </c>
      <c r="F185" s="508" t="s">
        <v>116</v>
      </c>
      <c r="G185" s="509">
        <v>2</v>
      </c>
      <c r="H185" s="508" t="s">
        <v>691</v>
      </c>
      <c r="I185" s="508" t="s">
        <v>323</v>
      </c>
      <c r="J185" s="508" t="s">
        <v>709</v>
      </c>
      <c r="K185" s="510" t="s">
        <v>665</v>
      </c>
      <c r="L185" s="508" t="s">
        <v>122</v>
      </c>
      <c r="M185" s="510" t="s">
        <v>264</v>
      </c>
      <c r="N185" s="511">
        <v>98</v>
      </c>
      <c r="O185" s="511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08">
        <v>288.95</v>
      </c>
      <c r="U185" s="557">
        <f t="shared" si="7"/>
        <v>72.815399999999983</v>
      </c>
      <c r="V185" s="565"/>
      <c r="W185" s="565"/>
      <c r="X185" s="564"/>
      <c r="Y185" s="519"/>
      <c r="Z185" s="570">
        <f>AVERAGE(Z186:Z189)</f>
        <v>0.4356417698402314</v>
      </c>
      <c r="AA185" s="409">
        <v>218.65</v>
      </c>
      <c r="AB185" s="557">
        <f t="shared" si="6"/>
        <v>55.099799999999995</v>
      </c>
      <c r="AC185" s="565"/>
      <c r="AD185" s="565"/>
      <c r="AE185" s="564"/>
      <c r="AF185" s="519"/>
      <c r="AG185" s="570">
        <f>AVERAGE(AG186:AG189)</f>
        <v>0.79836687554616803</v>
      </c>
    </row>
    <row r="186" spans="2:33" x14ac:dyDescent="0.25">
      <c r="B186" s="231">
        <v>33</v>
      </c>
      <c r="C186" s="512">
        <v>1</v>
      </c>
      <c r="D186" s="513" t="s">
        <v>298</v>
      </c>
      <c r="E186" s="514" t="s">
        <v>131</v>
      </c>
      <c r="F186" s="514" t="s">
        <v>116</v>
      </c>
      <c r="G186" s="515">
        <v>2</v>
      </c>
      <c r="H186" s="514" t="s">
        <v>663</v>
      </c>
      <c r="I186" s="514" t="s">
        <v>681</v>
      </c>
      <c r="J186" s="514" t="s">
        <v>709</v>
      </c>
      <c r="K186" s="516" t="s">
        <v>665</v>
      </c>
      <c r="L186" s="514" t="s">
        <v>122</v>
      </c>
      <c r="M186" s="516" t="s">
        <v>264</v>
      </c>
      <c r="N186" s="517">
        <v>98</v>
      </c>
      <c r="O186" s="517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08">
        <v>238.55</v>
      </c>
      <c r="U186" s="557">
        <f t="shared" si="7"/>
        <v>60.114599999999989</v>
      </c>
      <c r="V186" s="565">
        <v>3127.68</v>
      </c>
      <c r="W186" s="564">
        <v>156.38399999999999</v>
      </c>
      <c r="X186" s="564">
        <v>31.276799999999998</v>
      </c>
      <c r="Y186" s="519">
        <v>125.10719999999999</v>
      </c>
      <c r="Z186" s="569">
        <f>(Y186-U186)/Y186</f>
        <v>0.51949528084714558</v>
      </c>
      <c r="AA186" s="409">
        <v>218.65</v>
      </c>
      <c r="AB186" s="557">
        <f t="shared" si="6"/>
        <v>55.099799999999995</v>
      </c>
      <c r="AC186" s="565">
        <v>6831.69</v>
      </c>
      <c r="AD186" s="564">
        <v>341.58449999999999</v>
      </c>
      <c r="AE186" s="564">
        <v>68.316900000000004</v>
      </c>
      <c r="AF186" s="519">
        <v>273.26760000000002</v>
      </c>
      <c r="AG186" s="569">
        <f>(AF186-AB186)/AF186</f>
        <v>0.79836687554616803</v>
      </c>
    </row>
    <row r="187" spans="2:33" x14ac:dyDescent="0.25">
      <c r="B187" s="231">
        <v>34</v>
      </c>
      <c r="C187" s="512">
        <v>1</v>
      </c>
      <c r="D187" s="513" t="s">
        <v>298</v>
      </c>
      <c r="E187" s="514" t="s">
        <v>131</v>
      </c>
      <c r="F187" s="514" t="s">
        <v>116</v>
      </c>
      <c r="G187" s="515">
        <v>2</v>
      </c>
      <c r="H187" s="514" t="s">
        <v>663</v>
      </c>
      <c r="I187" s="514" t="s">
        <v>685</v>
      </c>
      <c r="J187" s="514" t="s">
        <v>709</v>
      </c>
      <c r="K187" s="516" t="s">
        <v>665</v>
      </c>
      <c r="L187" s="514" t="s">
        <v>122</v>
      </c>
      <c r="M187" s="516" t="s">
        <v>264</v>
      </c>
      <c r="N187" s="517">
        <v>98</v>
      </c>
      <c r="O187" s="517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08">
        <v>284.40000000000003</v>
      </c>
      <c r="U187" s="557">
        <f t="shared" si="7"/>
        <v>71.668800000000005</v>
      </c>
      <c r="V187" s="565">
        <v>3459.22</v>
      </c>
      <c r="W187" s="564">
        <v>172.96099999999998</v>
      </c>
      <c r="X187" s="564">
        <v>34.592199999999998</v>
      </c>
      <c r="Y187" s="519">
        <v>138.36879999999999</v>
      </c>
      <c r="Z187" s="569">
        <f>(Y187-U187)/Y187</f>
        <v>0.48204508530824863</v>
      </c>
      <c r="AA187" s="409">
        <v>218.65</v>
      </c>
      <c r="AB187" s="557">
        <f t="shared" si="6"/>
        <v>55.099799999999995</v>
      </c>
      <c r="AC187" s="565">
        <v>6831.69</v>
      </c>
      <c r="AD187" s="564">
        <v>341.58449999999999</v>
      </c>
      <c r="AE187" s="564">
        <v>68.316900000000004</v>
      </c>
      <c r="AF187" s="519">
        <v>273.26760000000002</v>
      </c>
      <c r="AG187" s="569">
        <f>(AF187-AB187)/AF187</f>
        <v>0.79836687554616803</v>
      </c>
    </row>
    <row r="188" spans="2:33" x14ac:dyDescent="0.25">
      <c r="B188" s="231">
        <v>35</v>
      </c>
      <c r="C188" s="512">
        <v>1</v>
      </c>
      <c r="D188" s="513" t="s">
        <v>298</v>
      </c>
      <c r="E188" s="514" t="s">
        <v>131</v>
      </c>
      <c r="F188" s="514" t="s">
        <v>116</v>
      </c>
      <c r="G188" s="515">
        <v>2</v>
      </c>
      <c r="H188" s="514" t="s">
        <v>663</v>
      </c>
      <c r="I188" s="514" t="s">
        <v>687</v>
      </c>
      <c r="J188" s="514" t="s">
        <v>709</v>
      </c>
      <c r="K188" s="516" t="s">
        <v>665</v>
      </c>
      <c r="L188" s="514" t="s">
        <v>122</v>
      </c>
      <c r="M188" s="516" t="s">
        <v>264</v>
      </c>
      <c r="N188" s="517">
        <v>98</v>
      </c>
      <c r="O188" s="517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08">
        <v>339.3</v>
      </c>
      <c r="U188" s="557">
        <f t="shared" si="7"/>
        <v>85.503599999999992</v>
      </c>
      <c r="V188" s="565">
        <v>3456.49</v>
      </c>
      <c r="W188" s="564">
        <v>172.8245</v>
      </c>
      <c r="X188" s="564">
        <v>34.564900000000002</v>
      </c>
      <c r="Y188" s="519">
        <v>138.25960000000001</v>
      </c>
      <c r="Z188" s="569">
        <f>(Y188-U188)/Y188</f>
        <v>0.3815720572025379</v>
      </c>
      <c r="AA188" s="409">
        <v>218.65</v>
      </c>
      <c r="AB188" s="557">
        <f t="shared" si="6"/>
        <v>55.099799999999995</v>
      </c>
      <c r="AC188" s="565">
        <v>6831.69</v>
      </c>
      <c r="AD188" s="564">
        <v>341.58449999999999</v>
      </c>
      <c r="AE188" s="564">
        <v>68.316900000000004</v>
      </c>
      <c r="AF188" s="519">
        <v>273.26760000000002</v>
      </c>
      <c r="AG188" s="569">
        <f>(AF188-AB188)/AF188</f>
        <v>0.79836687554616803</v>
      </c>
    </row>
    <row r="189" spans="2:33" x14ac:dyDescent="0.25">
      <c r="B189" s="231">
        <v>36</v>
      </c>
      <c r="C189" s="512">
        <v>1</v>
      </c>
      <c r="D189" s="513" t="s">
        <v>298</v>
      </c>
      <c r="E189" s="514" t="s">
        <v>131</v>
      </c>
      <c r="F189" s="514" t="s">
        <v>116</v>
      </c>
      <c r="G189" s="515">
        <v>2</v>
      </c>
      <c r="H189" s="514" t="s">
        <v>663</v>
      </c>
      <c r="I189" s="514" t="s">
        <v>689</v>
      </c>
      <c r="J189" s="514" t="s">
        <v>709</v>
      </c>
      <c r="K189" s="516" t="s">
        <v>665</v>
      </c>
      <c r="L189" s="514" t="s">
        <v>122</v>
      </c>
      <c r="M189" s="516" t="s">
        <v>264</v>
      </c>
      <c r="N189" s="517">
        <v>98</v>
      </c>
      <c r="O189" s="517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08">
        <v>391.3</v>
      </c>
      <c r="U189" s="557">
        <f t="shared" si="7"/>
        <v>98.607599999999977</v>
      </c>
      <c r="V189" s="565">
        <v>3848.58</v>
      </c>
      <c r="W189" s="564">
        <v>192.429</v>
      </c>
      <c r="X189" s="564">
        <v>38.485800000000005</v>
      </c>
      <c r="Y189" s="519">
        <v>153.94319999999999</v>
      </c>
      <c r="Z189" s="569">
        <f>(Y189-U189)/Y189</f>
        <v>0.35945465600299342</v>
      </c>
      <c r="AA189" s="409">
        <v>218.65</v>
      </c>
      <c r="AB189" s="557">
        <f t="shared" si="6"/>
        <v>55.099799999999995</v>
      </c>
      <c r="AC189" s="565">
        <v>6831.69</v>
      </c>
      <c r="AD189" s="564">
        <v>341.58449999999999</v>
      </c>
      <c r="AE189" s="564">
        <v>68.316900000000004</v>
      </c>
      <c r="AF189" s="519">
        <v>273.26760000000002</v>
      </c>
      <c r="AG189" s="569">
        <f>(AF189-AB189)/AF189</f>
        <v>0.79836687554616803</v>
      </c>
    </row>
    <row r="190" spans="2:33" x14ac:dyDescent="0.25">
      <c r="B190" s="231">
        <v>37</v>
      </c>
      <c r="C190" s="550">
        <v>1</v>
      </c>
      <c r="D190" s="551" t="s">
        <v>298</v>
      </c>
      <c r="E190" s="552" t="s">
        <v>131</v>
      </c>
      <c r="F190" s="552" t="s">
        <v>116</v>
      </c>
      <c r="G190" s="553">
        <v>2</v>
      </c>
      <c r="H190" s="552" t="s">
        <v>187</v>
      </c>
      <c r="I190" s="552" t="s">
        <v>323</v>
      </c>
      <c r="J190" s="552" t="s">
        <v>709</v>
      </c>
      <c r="K190" s="554" t="s">
        <v>665</v>
      </c>
      <c r="L190" s="552" t="s">
        <v>122</v>
      </c>
      <c r="M190" s="554" t="s">
        <v>264</v>
      </c>
      <c r="N190" s="555">
        <v>124</v>
      </c>
      <c r="O190" s="555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08">
        <v>199.5</v>
      </c>
      <c r="U190" s="557">
        <f t="shared" si="7"/>
        <v>50.273999999999987</v>
      </c>
      <c r="V190" s="565"/>
      <c r="W190" s="565"/>
      <c r="X190" s="564"/>
      <c r="Y190" s="519"/>
      <c r="Z190" s="519"/>
      <c r="AA190" s="409">
        <v>262</v>
      </c>
      <c r="AB190" s="557">
        <f t="shared" si="6"/>
        <v>66.023999999999987</v>
      </c>
      <c r="AC190" s="565"/>
      <c r="AD190" s="565"/>
      <c r="AE190" s="564"/>
      <c r="AF190" s="519"/>
      <c r="AG190" s="519"/>
    </row>
    <row r="191" spans="2:33" x14ac:dyDescent="0.25">
      <c r="B191" s="231">
        <v>38</v>
      </c>
      <c r="C191" s="506">
        <v>1</v>
      </c>
      <c r="D191" s="507" t="s">
        <v>298</v>
      </c>
      <c r="E191" s="508" t="s">
        <v>131</v>
      </c>
      <c r="F191" s="508" t="s">
        <v>116</v>
      </c>
      <c r="G191" s="509">
        <v>2</v>
      </c>
      <c r="H191" s="508" t="s">
        <v>691</v>
      </c>
      <c r="I191" s="508" t="s">
        <v>323</v>
      </c>
      <c r="J191" s="508" t="s">
        <v>709</v>
      </c>
      <c r="K191" s="510" t="s">
        <v>665</v>
      </c>
      <c r="L191" s="508" t="s">
        <v>122</v>
      </c>
      <c r="M191" s="510" t="s">
        <v>264</v>
      </c>
      <c r="N191" s="511">
        <v>124</v>
      </c>
      <c r="O191" s="511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08">
        <v>356.70000000000005</v>
      </c>
      <c r="U191" s="557">
        <f t="shared" si="7"/>
        <v>89.888400000000004</v>
      </c>
      <c r="V191" s="565"/>
      <c r="W191" s="565"/>
      <c r="X191" s="564"/>
      <c r="Y191" s="519"/>
      <c r="Z191" s="570">
        <f>AVERAGE(Z192:Z195)</f>
        <v>0.4200433366337909</v>
      </c>
      <c r="AA191" s="409">
        <v>262</v>
      </c>
      <c r="AB191" s="557">
        <f t="shared" si="6"/>
        <v>66.023999999999987</v>
      </c>
      <c r="AC191" s="565"/>
      <c r="AD191" s="565"/>
      <c r="AE191" s="564"/>
      <c r="AF191" s="519"/>
      <c r="AG191" s="570">
        <f>AVERAGE(AG192:AG195)</f>
        <v>0.77588503415492527</v>
      </c>
    </row>
    <row r="192" spans="2:33" x14ac:dyDescent="0.25">
      <c r="B192" s="231">
        <v>39</v>
      </c>
      <c r="C192" s="512">
        <v>1</v>
      </c>
      <c r="D192" s="513" t="s">
        <v>298</v>
      </c>
      <c r="E192" s="514" t="s">
        <v>131</v>
      </c>
      <c r="F192" s="514" t="s">
        <v>116</v>
      </c>
      <c r="G192" s="515">
        <v>2</v>
      </c>
      <c r="H192" s="514" t="s">
        <v>663</v>
      </c>
      <c r="I192" s="514" t="s">
        <v>681</v>
      </c>
      <c r="J192" s="514" t="s">
        <v>709</v>
      </c>
      <c r="K192" s="516" t="s">
        <v>665</v>
      </c>
      <c r="L192" s="514" t="s">
        <v>122</v>
      </c>
      <c r="M192" s="516" t="s">
        <v>264</v>
      </c>
      <c r="N192" s="517">
        <v>124</v>
      </c>
      <c r="O192" s="517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08">
        <v>294.7</v>
      </c>
      <c r="U192" s="557">
        <f t="shared" si="7"/>
        <v>74.264399999999995</v>
      </c>
      <c r="V192" s="565">
        <v>3757.32</v>
      </c>
      <c r="W192" s="564">
        <v>187.86600000000001</v>
      </c>
      <c r="X192" s="564">
        <v>37.573200000000007</v>
      </c>
      <c r="Y192" s="519">
        <v>150.2928</v>
      </c>
      <c r="Z192" s="569">
        <f>(Y192-U192)/Y192</f>
        <v>0.505868544600939</v>
      </c>
      <c r="AA192" s="409">
        <v>262</v>
      </c>
      <c r="AB192" s="557">
        <f t="shared" si="6"/>
        <v>66.023999999999987</v>
      </c>
      <c r="AC192" s="565">
        <v>7364.9699999999993</v>
      </c>
      <c r="AD192" s="564">
        <v>368.24849999999998</v>
      </c>
      <c r="AE192" s="564">
        <v>73.649699999999996</v>
      </c>
      <c r="AF192" s="519">
        <v>294.59879999999998</v>
      </c>
      <c r="AG192" s="569">
        <f>(AF192-AB192)/AF192</f>
        <v>0.77588503415492527</v>
      </c>
    </row>
    <row r="193" spans="2:33" x14ac:dyDescent="0.25">
      <c r="B193" s="231">
        <v>40</v>
      </c>
      <c r="C193" s="512">
        <v>1</v>
      </c>
      <c r="D193" s="513" t="s">
        <v>298</v>
      </c>
      <c r="E193" s="514" t="s">
        <v>131</v>
      </c>
      <c r="F193" s="514" t="s">
        <v>116</v>
      </c>
      <c r="G193" s="515">
        <v>2</v>
      </c>
      <c r="H193" s="514" t="s">
        <v>663</v>
      </c>
      <c r="I193" s="514" t="s">
        <v>685</v>
      </c>
      <c r="J193" s="514" t="s">
        <v>709</v>
      </c>
      <c r="K193" s="516" t="s">
        <v>665</v>
      </c>
      <c r="L193" s="514" t="s">
        <v>122</v>
      </c>
      <c r="M193" s="516" t="s">
        <v>264</v>
      </c>
      <c r="N193" s="517">
        <v>124</v>
      </c>
      <c r="O193" s="517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08">
        <v>351.1</v>
      </c>
      <c r="U193" s="557">
        <f t="shared" si="7"/>
        <v>88.477199999999996</v>
      </c>
      <c r="V193" s="565">
        <v>4154.6099999999997</v>
      </c>
      <c r="W193" s="564">
        <v>207.73049999999998</v>
      </c>
      <c r="X193" s="564">
        <v>41.546099999999996</v>
      </c>
      <c r="Y193" s="519">
        <v>166.18439999999998</v>
      </c>
      <c r="Z193" s="569">
        <f>(Y193-U193)/Y193</f>
        <v>0.4675962364698491</v>
      </c>
      <c r="AA193" s="409">
        <v>262</v>
      </c>
      <c r="AB193" s="557">
        <f t="shared" si="6"/>
        <v>66.023999999999987</v>
      </c>
      <c r="AC193" s="565">
        <v>7364.9699999999993</v>
      </c>
      <c r="AD193" s="564">
        <v>368.24849999999998</v>
      </c>
      <c r="AE193" s="564">
        <v>73.649699999999996</v>
      </c>
      <c r="AF193" s="519">
        <v>294.59879999999998</v>
      </c>
      <c r="AG193" s="569">
        <f>(AF193-AB193)/AF193</f>
        <v>0.77588503415492527</v>
      </c>
    </row>
    <row r="194" spans="2:33" x14ac:dyDescent="0.25">
      <c r="B194" s="231">
        <v>41</v>
      </c>
      <c r="C194" s="512">
        <v>1</v>
      </c>
      <c r="D194" s="513" t="s">
        <v>298</v>
      </c>
      <c r="E194" s="514" t="s">
        <v>131</v>
      </c>
      <c r="F194" s="514" t="s">
        <v>116</v>
      </c>
      <c r="G194" s="515">
        <v>2</v>
      </c>
      <c r="H194" s="514" t="s">
        <v>663</v>
      </c>
      <c r="I194" s="514" t="s">
        <v>687</v>
      </c>
      <c r="J194" s="514" t="s">
        <v>709</v>
      </c>
      <c r="K194" s="516" t="s">
        <v>665</v>
      </c>
      <c r="L194" s="514" t="s">
        <v>122</v>
      </c>
      <c r="M194" s="516" t="s">
        <v>264</v>
      </c>
      <c r="N194" s="517">
        <v>124</v>
      </c>
      <c r="O194" s="517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08">
        <v>418.70000000000005</v>
      </c>
      <c r="U194" s="557">
        <f t="shared" si="7"/>
        <v>105.5124</v>
      </c>
      <c r="V194" s="565">
        <v>4151.88</v>
      </c>
      <c r="W194" s="564">
        <v>207.59399999999999</v>
      </c>
      <c r="X194" s="564">
        <v>41.518799999999999</v>
      </c>
      <c r="Y194" s="519">
        <v>166.0752</v>
      </c>
      <c r="Z194" s="569">
        <f>(Y194-U194)/Y194</f>
        <v>0.36467094424694352</v>
      </c>
      <c r="AA194" s="409">
        <v>262</v>
      </c>
      <c r="AB194" s="557">
        <f t="shared" si="6"/>
        <v>66.023999999999987</v>
      </c>
      <c r="AC194" s="565">
        <v>7364.9699999999993</v>
      </c>
      <c r="AD194" s="564">
        <v>368.24849999999998</v>
      </c>
      <c r="AE194" s="564">
        <v>73.649699999999996</v>
      </c>
      <c r="AF194" s="519">
        <v>294.59879999999998</v>
      </c>
      <c r="AG194" s="569">
        <f>(AF194-AB194)/AF194</f>
        <v>0.77588503415492527</v>
      </c>
    </row>
    <row r="195" spans="2:33" x14ac:dyDescent="0.25">
      <c r="B195" s="231">
        <v>42</v>
      </c>
      <c r="C195" s="512">
        <v>1</v>
      </c>
      <c r="D195" s="513" t="s">
        <v>298</v>
      </c>
      <c r="E195" s="514" t="s">
        <v>131</v>
      </c>
      <c r="F195" s="514" t="s">
        <v>116</v>
      </c>
      <c r="G195" s="515">
        <v>2</v>
      </c>
      <c r="H195" s="514" t="s">
        <v>663</v>
      </c>
      <c r="I195" s="514" t="s">
        <v>689</v>
      </c>
      <c r="J195" s="514" t="s">
        <v>709</v>
      </c>
      <c r="K195" s="516" t="s">
        <v>665</v>
      </c>
      <c r="L195" s="514" t="s">
        <v>122</v>
      </c>
      <c r="M195" s="516" t="s">
        <v>264</v>
      </c>
      <c r="N195" s="517">
        <v>124</v>
      </c>
      <c r="O195" s="517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08">
        <v>482.70000000000005</v>
      </c>
      <c r="U195" s="557">
        <f t="shared" si="7"/>
        <v>121.64039999999999</v>
      </c>
      <c r="V195" s="565">
        <v>4621.8599999999997</v>
      </c>
      <c r="W195" s="564">
        <v>231.09299999999999</v>
      </c>
      <c r="X195" s="564">
        <v>46.218600000000002</v>
      </c>
      <c r="Y195" s="519">
        <v>184.87439999999998</v>
      </c>
      <c r="Z195" s="569">
        <f>(Y195-U195)/Y195</f>
        <v>0.34203762121743198</v>
      </c>
      <c r="AA195" s="409">
        <v>262</v>
      </c>
      <c r="AB195" s="557">
        <f t="shared" si="6"/>
        <v>66.023999999999987</v>
      </c>
      <c r="AC195" s="565">
        <v>7364.9699999999993</v>
      </c>
      <c r="AD195" s="564">
        <v>368.24849999999998</v>
      </c>
      <c r="AE195" s="564">
        <v>73.649699999999996</v>
      </c>
      <c r="AF195" s="519">
        <v>294.59879999999998</v>
      </c>
      <c r="AG195" s="569">
        <f>(AF195-AB195)/AF195</f>
        <v>0.77588503415492527</v>
      </c>
    </row>
    <row r="196" spans="2:33" x14ac:dyDescent="0.25">
      <c r="B196" s="231">
        <v>43</v>
      </c>
      <c r="C196" s="550">
        <v>1</v>
      </c>
      <c r="D196" s="551" t="s">
        <v>298</v>
      </c>
      <c r="E196" s="552" t="s">
        <v>131</v>
      </c>
      <c r="F196" s="552" t="s">
        <v>116</v>
      </c>
      <c r="G196" s="553">
        <v>2</v>
      </c>
      <c r="H196" s="552" t="s">
        <v>187</v>
      </c>
      <c r="I196" s="552" t="s">
        <v>323</v>
      </c>
      <c r="J196" s="552" t="s">
        <v>709</v>
      </c>
      <c r="K196" s="554" t="s">
        <v>665</v>
      </c>
      <c r="L196" s="552" t="s">
        <v>122</v>
      </c>
      <c r="M196" s="554" t="s">
        <v>264</v>
      </c>
      <c r="N196" s="555">
        <v>150</v>
      </c>
      <c r="O196" s="555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08">
        <v>241.8</v>
      </c>
      <c r="U196" s="557">
        <f t="shared" si="7"/>
        <v>60.933599999999998</v>
      </c>
      <c r="V196" s="565"/>
      <c r="W196" s="565"/>
      <c r="X196" s="564"/>
      <c r="Y196" s="519"/>
      <c r="Z196" s="519"/>
      <c r="AA196" s="409">
        <v>305.3</v>
      </c>
      <c r="AB196" s="557">
        <f t="shared" si="6"/>
        <v>76.935599999999994</v>
      </c>
      <c r="AC196" s="565"/>
      <c r="AD196" s="565"/>
      <c r="AE196" s="564"/>
      <c r="AF196" s="519"/>
      <c r="AG196" s="519"/>
    </row>
    <row r="197" spans="2:33" x14ac:dyDescent="0.25">
      <c r="B197" s="231">
        <v>44</v>
      </c>
      <c r="C197" s="506">
        <v>1</v>
      </c>
      <c r="D197" s="507" t="s">
        <v>298</v>
      </c>
      <c r="E197" s="508" t="s">
        <v>131</v>
      </c>
      <c r="F197" s="508" t="s">
        <v>116</v>
      </c>
      <c r="G197" s="509">
        <v>2</v>
      </c>
      <c r="H197" s="508" t="s">
        <v>691</v>
      </c>
      <c r="I197" s="508" t="s">
        <v>323</v>
      </c>
      <c r="J197" s="508" t="s">
        <v>709</v>
      </c>
      <c r="K197" s="510" t="s">
        <v>665</v>
      </c>
      <c r="L197" s="508" t="s">
        <v>122</v>
      </c>
      <c r="M197" s="510" t="s">
        <v>264</v>
      </c>
      <c r="N197" s="511">
        <v>150</v>
      </c>
      <c r="O197" s="511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08">
        <v>433.40000000000003</v>
      </c>
      <c r="U197" s="557">
        <f t="shared" si="7"/>
        <v>109.21679999999999</v>
      </c>
      <c r="V197" s="565"/>
      <c r="W197" s="565"/>
      <c r="X197" s="564"/>
      <c r="Y197" s="519"/>
      <c r="Z197" s="570">
        <f>AVERAGE(Z198:Z201)</f>
        <v>0.42394968512632569</v>
      </c>
      <c r="AA197" s="409">
        <v>305.3</v>
      </c>
      <c r="AB197" s="557">
        <f t="shared" si="6"/>
        <v>76.935599999999994</v>
      </c>
      <c r="AC197" s="565"/>
      <c r="AD197" s="565"/>
      <c r="AE197" s="564"/>
      <c r="AF197" s="519"/>
      <c r="AG197" s="570">
        <f>AVERAGE(AG198:AG201)</f>
        <v>0.76116569231762621</v>
      </c>
    </row>
    <row r="198" spans="2:33" x14ac:dyDescent="0.25">
      <c r="B198" s="231">
        <v>45</v>
      </c>
      <c r="C198" s="512">
        <v>1</v>
      </c>
      <c r="D198" s="513" t="s">
        <v>298</v>
      </c>
      <c r="E198" s="514" t="s">
        <v>131</v>
      </c>
      <c r="F198" s="514" t="s">
        <v>116</v>
      </c>
      <c r="G198" s="515">
        <v>2</v>
      </c>
      <c r="H198" s="514" t="s">
        <v>663</v>
      </c>
      <c r="I198" s="514" t="s">
        <v>681</v>
      </c>
      <c r="J198" s="514" t="s">
        <v>709</v>
      </c>
      <c r="K198" s="516" t="s">
        <v>665</v>
      </c>
      <c r="L198" s="514" t="s">
        <v>122</v>
      </c>
      <c r="M198" s="516" t="s">
        <v>264</v>
      </c>
      <c r="N198" s="517">
        <v>150</v>
      </c>
      <c r="O198" s="517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08">
        <v>357.85</v>
      </c>
      <c r="U198" s="557">
        <f t="shared" si="7"/>
        <v>90.17819999999999</v>
      </c>
      <c r="V198" s="565">
        <v>4597.5600000000004</v>
      </c>
      <c r="W198" s="564">
        <v>229.87800000000001</v>
      </c>
      <c r="X198" s="564">
        <v>45.975600000000007</v>
      </c>
      <c r="Y198" s="519">
        <v>183.9024</v>
      </c>
      <c r="Z198" s="569">
        <f>(Y198-U198)/Y198</f>
        <v>0.50964098347819287</v>
      </c>
      <c r="AA198" s="409">
        <v>305.3</v>
      </c>
      <c r="AB198" s="557">
        <f t="shared" si="6"/>
        <v>76.935599999999994</v>
      </c>
      <c r="AC198" s="565">
        <v>8053.24</v>
      </c>
      <c r="AD198" s="564">
        <v>402.66199999999998</v>
      </c>
      <c r="AE198" s="564">
        <v>80.532399999999996</v>
      </c>
      <c r="AF198" s="519">
        <v>322.12959999999998</v>
      </c>
      <c r="AG198" s="569">
        <f>(AF198-AB198)/AF198</f>
        <v>0.76116569231762621</v>
      </c>
    </row>
    <row r="199" spans="2:33" x14ac:dyDescent="0.25">
      <c r="B199" s="231">
        <v>46</v>
      </c>
      <c r="C199" s="512">
        <v>1</v>
      </c>
      <c r="D199" s="513" t="s">
        <v>298</v>
      </c>
      <c r="E199" s="514" t="s">
        <v>131</v>
      </c>
      <c r="F199" s="514" t="s">
        <v>116</v>
      </c>
      <c r="G199" s="515">
        <v>2</v>
      </c>
      <c r="H199" s="514" t="s">
        <v>663</v>
      </c>
      <c r="I199" s="514" t="s">
        <v>685</v>
      </c>
      <c r="J199" s="514" t="s">
        <v>709</v>
      </c>
      <c r="K199" s="516" t="s">
        <v>665</v>
      </c>
      <c r="L199" s="514" t="s">
        <v>122</v>
      </c>
      <c r="M199" s="516" t="s">
        <v>264</v>
      </c>
      <c r="N199" s="517">
        <v>150</v>
      </c>
      <c r="O199" s="517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08">
        <v>426.6</v>
      </c>
      <c r="U199" s="557">
        <f t="shared" si="7"/>
        <v>107.50319999999999</v>
      </c>
      <c r="V199" s="565">
        <v>5083.62</v>
      </c>
      <c r="W199" s="564">
        <v>254.18099999999998</v>
      </c>
      <c r="X199" s="564">
        <v>50.836199999999998</v>
      </c>
      <c r="Y199" s="519">
        <v>203.34479999999999</v>
      </c>
      <c r="Z199" s="569">
        <f>(Y199-U199)/Y199</f>
        <v>0.47132555147709704</v>
      </c>
      <c r="AA199" s="409">
        <v>305.3</v>
      </c>
      <c r="AB199" s="557">
        <f t="shared" si="6"/>
        <v>76.935599999999994</v>
      </c>
      <c r="AC199" s="565">
        <v>8053.24</v>
      </c>
      <c r="AD199" s="564">
        <v>402.66199999999998</v>
      </c>
      <c r="AE199" s="564">
        <v>80.532399999999996</v>
      </c>
      <c r="AF199" s="519">
        <v>322.12959999999998</v>
      </c>
      <c r="AG199" s="569">
        <f>(AF199-AB199)/AF199</f>
        <v>0.76116569231762621</v>
      </c>
    </row>
    <row r="200" spans="2:33" x14ac:dyDescent="0.25">
      <c r="B200" s="231">
        <v>47</v>
      </c>
      <c r="C200" s="512">
        <v>1</v>
      </c>
      <c r="D200" s="513" t="s">
        <v>298</v>
      </c>
      <c r="E200" s="514" t="s">
        <v>131</v>
      </c>
      <c r="F200" s="514" t="s">
        <v>116</v>
      </c>
      <c r="G200" s="515">
        <v>2</v>
      </c>
      <c r="H200" s="514" t="s">
        <v>663</v>
      </c>
      <c r="I200" s="514" t="s">
        <v>687</v>
      </c>
      <c r="J200" s="514" t="s">
        <v>709</v>
      </c>
      <c r="K200" s="516" t="s">
        <v>665</v>
      </c>
      <c r="L200" s="514" t="s">
        <v>122</v>
      </c>
      <c r="M200" s="516" t="s">
        <v>264</v>
      </c>
      <c r="N200" s="517">
        <v>150</v>
      </c>
      <c r="O200" s="517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08">
        <v>508.95000000000005</v>
      </c>
      <c r="U200" s="557">
        <f t="shared" si="7"/>
        <v>128.25539999999998</v>
      </c>
      <c r="V200" s="565">
        <v>5079.53</v>
      </c>
      <c r="W200" s="564">
        <v>253.97649999999999</v>
      </c>
      <c r="X200" s="564">
        <v>50.795299999999997</v>
      </c>
      <c r="Y200" s="519">
        <v>203.18119999999999</v>
      </c>
      <c r="Z200" s="569">
        <f>(Y200-U200)/Y200</f>
        <v>0.36876344858677879</v>
      </c>
      <c r="AA200" s="409">
        <v>305.3</v>
      </c>
      <c r="AB200" s="557">
        <f t="shared" si="6"/>
        <v>76.935599999999994</v>
      </c>
      <c r="AC200" s="565">
        <v>8053.24</v>
      </c>
      <c r="AD200" s="564">
        <v>402.66199999999998</v>
      </c>
      <c r="AE200" s="564">
        <v>80.532399999999996</v>
      </c>
      <c r="AF200" s="519">
        <v>322.12959999999998</v>
      </c>
      <c r="AG200" s="569">
        <f>(AF200-AB200)/AF200</f>
        <v>0.76116569231762621</v>
      </c>
    </row>
    <row r="201" spans="2:33" x14ac:dyDescent="0.25">
      <c r="B201" s="231">
        <v>48</v>
      </c>
      <c r="C201" s="512">
        <v>1</v>
      </c>
      <c r="D201" s="513" t="s">
        <v>298</v>
      </c>
      <c r="E201" s="514" t="s">
        <v>131</v>
      </c>
      <c r="F201" s="514" t="s">
        <v>116</v>
      </c>
      <c r="G201" s="515">
        <v>2</v>
      </c>
      <c r="H201" s="514" t="s">
        <v>663</v>
      </c>
      <c r="I201" s="514" t="s">
        <v>689</v>
      </c>
      <c r="J201" s="514" t="s">
        <v>709</v>
      </c>
      <c r="K201" s="516" t="s">
        <v>665</v>
      </c>
      <c r="L201" s="514" t="s">
        <v>122</v>
      </c>
      <c r="M201" s="516" t="s">
        <v>264</v>
      </c>
      <c r="N201" s="517">
        <v>150</v>
      </c>
      <c r="O201" s="517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08">
        <v>586.95000000000005</v>
      </c>
      <c r="U201" s="557">
        <f t="shared" si="7"/>
        <v>147.91139999999999</v>
      </c>
      <c r="V201" s="565">
        <v>5654.7</v>
      </c>
      <c r="W201" s="564">
        <v>282.73500000000001</v>
      </c>
      <c r="X201" s="564">
        <v>56.547000000000004</v>
      </c>
      <c r="Y201" s="519">
        <v>226.18800000000002</v>
      </c>
      <c r="Z201" s="569">
        <f>(Y201-U201)/Y201</f>
        <v>0.34606875696323425</v>
      </c>
      <c r="AA201" s="409">
        <v>305.3</v>
      </c>
      <c r="AB201" s="557">
        <f t="shared" si="6"/>
        <v>76.935599999999994</v>
      </c>
      <c r="AC201" s="565">
        <v>8053.24</v>
      </c>
      <c r="AD201" s="564">
        <v>402.66199999999998</v>
      </c>
      <c r="AE201" s="564">
        <v>80.532399999999996</v>
      </c>
      <c r="AF201" s="519">
        <v>322.12959999999998</v>
      </c>
      <c r="AG201" s="569">
        <f>(AF201-AB201)/AF201</f>
        <v>0.76116569231762621</v>
      </c>
    </row>
    <row r="203" spans="2:33" x14ac:dyDescent="0.25">
      <c r="B203" s="230">
        <v>1</v>
      </c>
      <c r="C203" s="544">
        <v>1</v>
      </c>
      <c r="D203" s="545" t="s">
        <v>298</v>
      </c>
      <c r="E203" s="546" t="s">
        <v>132</v>
      </c>
      <c r="F203" s="546" t="s">
        <v>136</v>
      </c>
      <c r="G203" s="547">
        <v>2</v>
      </c>
      <c r="H203" s="546" t="s">
        <v>187</v>
      </c>
      <c r="I203" s="546" t="s">
        <v>321</v>
      </c>
      <c r="J203" s="546" t="s">
        <v>709</v>
      </c>
      <c r="K203" s="548" t="s">
        <v>664</v>
      </c>
      <c r="L203" s="546" t="s">
        <v>122</v>
      </c>
      <c r="M203" s="548" t="s">
        <v>264</v>
      </c>
      <c r="N203" s="549">
        <v>72</v>
      </c>
      <c r="O203" s="549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08">
        <v>189.5</v>
      </c>
      <c r="U203" s="557">
        <f t="shared" si="7"/>
        <v>47.753999999999998</v>
      </c>
      <c r="V203" s="564"/>
      <c r="W203" s="564"/>
      <c r="X203" s="564"/>
      <c r="Y203" s="519"/>
      <c r="Z203" s="631">
        <f>AVERAGE(Z205:Z208,Z211:Z214,Z217:Z220,Z223:Z226)</f>
        <v>0.46117011109019035</v>
      </c>
      <c r="AA203" s="409">
        <v>577.1</v>
      </c>
      <c r="AB203" s="557">
        <f t="shared" si="6"/>
        <v>145.42919999999998</v>
      </c>
      <c r="AC203" s="564"/>
      <c r="AD203" s="564"/>
      <c r="AE203" s="564"/>
      <c r="AF203" s="519"/>
      <c r="AG203" s="631">
        <f>AVERAGE(AG205:AG208,AG211:AG214,AG217:AG220,AG223:AG226)</f>
        <v>0.28567113723534676</v>
      </c>
    </row>
    <row r="204" spans="2:33" x14ac:dyDescent="0.25">
      <c r="B204" s="231">
        <v>2</v>
      </c>
      <c r="C204" s="538">
        <v>1</v>
      </c>
      <c r="D204" s="539" t="s">
        <v>298</v>
      </c>
      <c r="E204" s="540" t="s">
        <v>132</v>
      </c>
      <c r="F204" s="540" t="s">
        <v>136</v>
      </c>
      <c r="G204" s="541">
        <v>2</v>
      </c>
      <c r="H204" s="540" t="s">
        <v>691</v>
      </c>
      <c r="I204" s="540" t="s">
        <v>321</v>
      </c>
      <c r="J204" s="540" t="s">
        <v>709</v>
      </c>
      <c r="K204" s="542" t="s">
        <v>664</v>
      </c>
      <c r="L204" s="540" t="s">
        <v>122</v>
      </c>
      <c r="M204" s="542" t="s">
        <v>264</v>
      </c>
      <c r="N204" s="543">
        <v>72</v>
      </c>
      <c r="O204" s="543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08">
        <v>382.70000000000005</v>
      </c>
      <c r="U204" s="557">
        <f t="shared" si="7"/>
        <v>96.440399999999997</v>
      </c>
      <c r="V204" s="564"/>
      <c r="W204" s="564"/>
      <c r="X204" s="564"/>
      <c r="Y204" s="519"/>
      <c r="Z204" s="570">
        <f>AVERAGE(Z205:Z208)</f>
        <v>0.49950137578629744</v>
      </c>
      <c r="AA204" s="409">
        <v>577.1</v>
      </c>
      <c r="AB204" s="557">
        <f t="shared" si="6"/>
        <v>145.42919999999998</v>
      </c>
      <c r="AC204" s="564"/>
      <c r="AD204" s="564"/>
      <c r="AE204" s="564"/>
      <c r="AF204" s="519"/>
      <c r="AG204" s="570">
        <f>AVERAGE(AG205:AG208)</f>
        <v>0.48584919668577209</v>
      </c>
    </row>
    <row r="205" spans="2:33" x14ac:dyDescent="0.25">
      <c r="B205" s="231">
        <v>3</v>
      </c>
      <c r="C205" s="500">
        <v>1</v>
      </c>
      <c r="D205" s="501" t="s">
        <v>298</v>
      </c>
      <c r="E205" s="502" t="s">
        <v>132</v>
      </c>
      <c r="F205" s="502" t="s">
        <v>136</v>
      </c>
      <c r="G205" s="503">
        <v>2</v>
      </c>
      <c r="H205" s="502" t="s">
        <v>663</v>
      </c>
      <c r="I205" s="502" t="s">
        <v>674</v>
      </c>
      <c r="J205" s="502" t="s">
        <v>709</v>
      </c>
      <c r="K205" s="504" t="s">
        <v>664</v>
      </c>
      <c r="L205" s="502" t="s">
        <v>122</v>
      </c>
      <c r="M205" s="504" t="s">
        <v>264</v>
      </c>
      <c r="N205" s="505">
        <v>72</v>
      </c>
      <c r="O205" s="505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08">
        <v>225.4</v>
      </c>
      <c r="U205" s="557">
        <f t="shared" si="7"/>
        <v>56.800799999999995</v>
      </c>
      <c r="V205" s="565">
        <v>2981.05</v>
      </c>
      <c r="W205" s="564">
        <v>149.05250000000001</v>
      </c>
      <c r="X205" s="564">
        <v>29.810500000000005</v>
      </c>
      <c r="Y205" s="519">
        <v>119.242</v>
      </c>
      <c r="Z205" s="569">
        <f>(Y205-U205)/Y205</f>
        <v>0.52365106254507643</v>
      </c>
      <c r="AA205" s="409">
        <v>577.1</v>
      </c>
      <c r="AB205" s="557">
        <f t="shared" si="6"/>
        <v>145.42919999999998</v>
      </c>
      <c r="AC205" s="565">
        <v>7071.33</v>
      </c>
      <c r="AD205" s="564">
        <v>353.56650000000002</v>
      </c>
      <c r="AE205" s="564">
        <v>70.713300000000004</v>
      </c>
      <c r="AF205" s="519">
        <v>282.85320000000002</v>
      </c>
      <c r="AG205" s="569">
        <f>(AF205-AB205)/AF205</f>
        <v>0.48584919668577209</v>
      </c>
    </row>
    <row r="206" spans="2:33" x14ac:dyDescent="0.25">
      <c r="B206" s="231">
        <v>4</v>
      </c>
      <c r="C206" s="500">
        <v>1</v>
      </c>
      <c r="D206" s="501" t="s">
        <v>298</v>
      </c>
      <c r="E206" s="502" t="s">
        <v>132</v>
      </c>
      <c r="F206" s="502" t="s">
        <v>136</v>
      </c>
      <c r="G206" s="503">
        <v>2</v>
      </c>
      <c r="H206" s="502" t="s">
        <v>663</v>
      </c>
      <c r="I206" s="502" t="s">
        <v>675</v>
      </c>
      <c r="J206" s="502" t="s">
        <v>709</v>
      </c>
      <c r="K206" s="504" t="s">
        <v>664</v>
      </c>
      <c r="L206" s="502" t="s">
        <v>122</v>
      </c>
      <c r="M206" s="504" t="s">
        <v>264</v>
      </c>
      <c r="N206" s="505">
        <v>72</v>
      </c>
      <c r="O206" s="505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08">
        <v>313</v>
      </c>
      <c r="U206" s="557">
        <f t="shared" si="7"/>
        <v>78.875999999999991</v>
      </c>
      <c r="V206" s="565">
        <v>4206.6000000000004</v>
      </c>
      <c r="W206" s="564">
        <v>210.33</v>
      </c>
      <c r="X206" s="564">
        <v>42.066000000000003</v>
      </c>
      <c r="Y206" s="519">
        <v>168.26400000000001</v>
      </c>
      <c r="Z206" s="569">
        <f>(Y206-U206)/Y206</f>
        <v>0.53123662815575534</v>
      </c>
      <c r="AA206" s="409">
        <v>577.1</v>
      </c>
      <c r="AB206" s="557">
        <f t="shared" si="6"/>
        <v>145.42919999999998</v>
      </c>
      <c r="AC206" s="565">
        <v>7071.33</v>
      </c>
      <c r="AD206" s="564">
        <v>353.56650000000002</v>
      </c>
      <c r="AE206" s="564">
        <v>70.713300000000004</v>
      </c>
      <c r="AF206" s="519">
        <v>282.85320000000002</v>
      </c>
      <c r="AG206" s="569">
        <f>(AF206-AB206)/AF206</f>
        <v>0.48584919668577209</v>
      </c>
    </row>
    <row r="207" spans="2:33" x14ac:dyDescent="0.25">
      <c r="B207" s="231">
        <v>5</v>
      </c>
      <c r="C207" s="500">
        <v>1</v>
      </c>
      <c r="D207" s="501" t="s">
        <v>298</v>
      </c>
      <c r="E207" s="502" t="s">
        <v>132</v>
      </c>
      <c r="F207" s="502" t="s">
        <v>136</v>
      </c>
      <c r="G207" s="503">
        <v>2</v>
      </c>
      <c r="H207" s="502" t="s">
        <v>663</v>
      </c>
      <c r="I207" s="502" t="s">
        <v>676</v>
      </c>
      <c r="J207" s="502" t="s">
        <v>709</v>
      </c>
      <c r="K207" s="504" t="s">
        <v>664</v>
      </c>
      <c r="L207" s="502" t="s">
        <v>122</v>
      </c>
      <c r="M207" s="504" t="s">
        <v>264</v>
      </c>
      <c r="N207" s="505">
        <v>72</v>
      </c>
      <c r="O207" s="505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08">
        <v>335.05</v>
      </c>
      <c r="U207" s="557">
        <f t="shared" si="7"/>
        <v>84.432599999999994</v>
      </c>
      <c r="V207" s="565">
        <v>4359.54</v>
      </c>
      <c r="W207" s="564">
        <v>217.977</v>
      </c>
      <c r="X207" s="564">
        <v>43.595400000000005</v>
      </c>
      <c r="Y207" s="519">
        <v>174.38159999999999</v>
      </c>
      <c r="Z207" s="569">
        <f>(Y207-U207)/Y207</f>
        <v>0.51581703574230309</v>
      </c>
      <c r="AA207" s="409">
        <v>577.1</v>
      </c>
      <c r="AB207" s="557">
        <f t="shared" si="6"/>
        <v>145.42919999999998</v>
      </c>
      <c r="AC207" s="565">
        <v>7071.33</v>
      </c>
      <c r="AD207" s="564">
        <v>353.56650000000002</v>
      </c>
      <c r="AE207" s="564">
        <v>70.713300000000004</v>
      </c>
      <c r="AF207" s="519">
        <v>282.85320000000002</v>
      </c>
      <c r="AG207" s="569">
        <f>(AF207-AB207)/AF207</f>
        <v>0.48584919668577209</v>
      </c>
    </row>
    <row r="208" spans="2:33" x14ac:dyDescent="0.25">
      <c r="B208" s="231">
        <v>6</v>
      </c>
      <c r="C208" s="500">
        <v>1</v>
      </c>
      <c r="D208" s="501" t="s">
        <v>298</v>
      </c>
      <c r="E208" s="502" t="s">
        <v>132</v>
      </c>
      <c r="F208" s="502" t="s">
        <v>136</v>
      </c>
      <c r="G208" s="503">
        <v>2</v>
      </c>
      <c r="H208" s="502" t="s">
        <v>663</v>
      </c>
      <c r="I208" s="502" t="s">
        <v>677</v>
      </c>
      <c r="J208" s="502" t="s">
        <v>709</v>
      </c>
      <c r="K208" s="504" t="s">
        <v>664</v>
      </c>
      <c r="L208" s="502" t="s">
        <v>122</v>
      </c>
      <c r="M208" s="504" t="s">
        <v>264</v>
      </c>
      <c r="N208" s="505">
        <v>72</v>
      </c>
      <c r="O208" s="505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08">
        <v>408.35</v>
      </c>
      <c r="U208" s="557">
        <f t="shared" si="7"/>
        <v>102.90419999999999</v>
      </c>
      <c r="V208" s="565">
        <v>4492.07</v>
      </c>
      <c r="W208" s="564">
        <v>224.6035</v>
      </c>
      <c r="X208" s="564">
        <v>44.920700000000004</v>
      </c>
      <c r="Y208" s="519">
        <v>179.68279999999999</v>
      </c>
      <c r="Z208" s="569">
        <f>(Y208-U208)/Y208</f>
        <v>0.42730077670205496</v>
      </c>
      <c r="AA208" s="409">
        <v>577.1</v>
      </c>
      <c r="AB208" s="557">
        <f t="shared" si="6"/>
        <v>145.42919999999998</v>
      </c>
      <c r="AC208" s="565">
        <v>7071.33</v>
      </c>
      <c r="AD208" s="564">
        <v>353.56650000000002</v>
      </c>
      <c r="AE208" s="564">
        <v>70.713300000000004</v>
      </c>
      <c r="AF208" s="519">
        <v>282.85320000000002</v>
      </c>
      <c r="AG208" s="569">
        <f>(AF208-AB208)/AF208</f>
        <v>0.48584919668577209</v>
      </c>
    </row>
    <row r="209" spans="2:33" x14ac:dyDescent="0.25">
      <c r="B209" s="231">
        <v>7</v>
      </c>
      <c r="C209" s="544">
        <v>1</v>
      </c>
      <c r="D209" s="545" t="s">
        <v>298</v>
      </c>
      <c r="E209" s="546" t="s">
        <v>132</v>
      </c>
      <c r="F209" s="546" t="s">
        <v>136</v>
      </c>
      <c r="G209" s="547">
        <v>2</v>
      </c>
      <c r="H209" s="546" t="s">
        <v>187</v>
      </c>
      <c r="I209" s="546" t="s">
        <v>321</v>
      </c>
      <c r="J209" s="546" t="s">
        <v>709</v>
      </c>
      <c r="K209" s="548" t="s">
        <v>664</v>
      </c>
      <c r="L209" s="546" t="s">
        <v>122</v>
      </c>
      <c r="M209" s="548" t="s">
        <v>264</v>
      </c>
      <c r="N209" s="549">
        <v>98</v>
      </c>
      <c r="O209" s="549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08">
        <v>253.85000000000002</v>
      </c>
      <c r="U209" s="557">
        <f t="shared" si="7"/>
        <v>63.970199999999991</v>
      </c>
      <c r="V209" s="565"/>
      <c r="W209" s="565"/>
      <c r="X209" s="564"/>
      <c r="Y209" s="519"/>
      <c r="Z209" s="519"/>
      <c r="AA209" s="409">
        <v>783.05000000000007</v>
      </c>
      <c r="AB209" s="557">
        <f t="shared" si="6"/>
        <v>197.32859999999997</v>
      </c>
      <c r="AC209" s="565"/>
      <c r="AD209" s="565"/>
      <c r="AE209" s="564"/>
      <c r="AF209" s="519"/>
      <c r="AG209" s="519"/>
    </row>
    <row r="210" spans="2:33" x14ac:dyDescent="0.25">
      <c r="B210" s="231">
        <v>8</v>
      </c>
      <c r="C210" s="538">
        <v>1</v>
      </c>
      <c r="D210" s="539" t="s">
        <v>298</v>
      </c>
      <c r="E210" s="540" t="s">
        <v>132</v>
      </c>
      <c r="F210" s="540" t="s">
        <v>136</v>
      </c>
      <c r="G210" s="541">
        <v>2</v>
      </c>
      <c r="H210" s="540" t="s">
        <v>691</v>
      </c>
      <c r="I210" s="540" t="s">
        <v>321</v>
      </c>
      <c r="J210" s="540" t="s">
        <v>709</v>
      </c>
      <c r="K210" s="542" t="s">
        <v>664</v>
      </c>
      <c r="L210" s="540" t="s">
        <v>122</v>
      </c>
      <c r="M210" s="542" t="s">
        <v>264</v>
      </c>
      <c r="N210" s="543">
        <v>98</v>
      </c>
      <c r="O210" s="543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08">
        <v>513</v>
      </c>
      <c r="U210" s="557">
        <f t="shared" si="7"/>
        <v>129.27599999999998</v>
      </c>
      <c r="V210" s="565"/>
      <c r="W210" s="565"/>
      <c r="X210" s="564"/>
      <c r="Y210" s="519"/>
      <c r="Z210" s="570">
        <f>AVERAGE(Z211:Z214)</f>
        <v>0.4637214602727881</v>
      </c>
      <c r="AA210" s="409">
        <v>783.05000000000007</v>
      </c>
      <c r="AB210" s="557">
        <f t="shared" si="6"/>
        <v>197.32859999999997</v>
      </c>
      <c r="AC210" s="565"/>
      <c r="AD210" s="565"/>
      <c r="AE210" s="564"/>
      <c r="AF210" s="519"/>
      <c r="AG210" s="570">
        <f>AVERAGE(AG211:AG214)</f>
        <v>0.3364598927460325</v>
      </c>
    </row>
    <row r="211" spans="2:33" x14ac:dyDescent="0.25">
      <c r="B211" s="231">
        <v>9</v>
      </c>
      <c r="C211" s="500">
        <v>1</v>
      </c>
      <c r="D211" s="501" t="s">
        <v>298</v>
      </c>
      <c r="E211" s="502" t="s">
        <v>132</v>
      </c>
      <c r="F211" s="502" t="s">
        <v>136</v>
      </c>
      <c r="G211" s="503">
        <v>2</v>
      </c>
      <c r="H211" s="502" t="s">
        <v>663</v>
      </c>
      <c r="I211" s="502" t="s">
        <v>674</v>
      </c>
      <c r="J211" s="502" t="s">
        <v>709</v>
      </c>
      <c r="K211" s="504" t="s">
        <v>664</v>
      </c>
      <c r="L211" s="502" t="s">
        <v>122</v>
      </c>
      <c r="M211" s="504" t="s">
        <v>264</v>
      </c>
      <c r="N211" s="505">
        <v>98</v>
      </c>
      <c r="O211" s="505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08">
        <v>301.95</v>
      </c>
      <c r="U211" s="557">
        <f t="shared" si="7"/>
        <v>76.091399999999993</v>
      </c>
      <c r="V211" s="565">
        <v>3725.63</v>
      </c>
      <c r="W211" s="564">
        <v>186.28149999999999</v>
      </c>
      <c r="X211" s="564">
        <v>37.256300000000003</v>
      </c>
      <c r="Y211" s="519">
        <v>149.02519999999998</v>
      </c>
      <c r="Z211" s="569">
        <f>(Y211-U211)/Y211</f>
        <v>0.48940581861322779</v>
      </c>
      <c r="AA211" s="409">
        <v>783.05000000000007</v>
      </c>
      <c r="AB211" s="557">
        <f t="shared" si="6"/>
        <v>197.32859999999997</v>
      </c>
      <c r="AC211" s="565">
        <v>7434.69</v>
      </c>
      <c r="AD211" s="564">
        <v>371.73449999999997</v>
      </c>
      <c r="AE211" s="564">
        <v>74.346899999999991</v>
      </c>
      <c r="AF211" s="519">
        <v>297.38759999999996</v>
      </c>
      <c r="AG211" s="569">
        <f>(AF211-AB211)/AF211</f>
        <v>0.3364598927460325</v>
      </c>
    </row>
    <row r="212" spans="2:33" x14ac:dyDescent="0.25">
      <c r="B212" s="231">
        <v>10</v>
      </c>
      <c r="C212" s="500">
        <v>1</v>
      </c>
      <c r="D212" s="501" t="s">
        <v>298</v>
      </c>
      <c r="E212" s="502" t="s">
        <v>132</v>
      </c>
      <c r="F212" s="502" t="s">
        <v>136</v>
      </c>
      <c r="G212" s="503">
        <v>2</v>
      </c>
      <c r="H212" s="502" t="s">
        <v>663</v>
      </c>
      <c r="I212" s="502" t="s">
        <v>675</v>
      </c>
      <c r="J212" s="502" t="s">
        <v>709</v>
      </c>
      <c r="K212" s="504" t="s">
        <v>664</v>
      </c>
      <c r="L212" s="502" t="s">
        <v>122</v>
      </c>
      <c r="M212" s="504" t="s">
        <v>264</v>
      </c>
      <c r="N212" s="505">
        <v>98</v>
      </c>
      <c r="O212" s="505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08">
        <v>419.5</v>
      </c>
      <c r="U212" s="557">
        <f t="shared" si="7"/>
        <v>105.71399999999998</v>
      </c>
      <c r="V212" s="565">
        <v>5262.84</v>
      </c>
      <c r="W212" s="564">
        <v>263.142</v>
      </c>
      <c r="X212" s="564">
        <v>52.628399999999999</v>
      </c>
      <c r="Y212" s="519">
        <v>210.5136</v>
      </c>
      <c r="Z212" s="569">
        <f>(Y212-U212)/Y212</f>
        <v>0.49782816882139685</v>
      </c>
      <c r="AA212" s="409">
        <v>783.05000000000007</v>
      </c>
      <c r="AB212" s="557">
        <f t="shared" si="6"/>
        <v>197.32859999999997</v>
      </c>
      <c r="AC212" s="565">
        <v>7434.69</v>
      </c>
      <c r="AD212" s="564">
        <v>371.73449999999997</v>
      </c>
      <c r="AE212" s="564">
        <v>74.346899999999991</v>
      </c>
      <c r="AF212" s="519">
        <v>297.38759999999996</v>
      </c>
      <c r="AG212" s="569">
        <f>(AF212-AB212)/AF212</f>
        <v>0.3364598927460325</v>
      </c>
    </row>
    <row r="213" spans="2:33" x14ac:dyDescent="0.25">
      <c r="B213" s="231">
        <v>11</v>
      </c>
      <c r="C213" s="500">
        <v>1</v>
      </c>
      <c r="D213" s="501" t="s">
        <v>298</v>
      </c>
      <c r="E213" s="502" t="s">
        <v>132</v>
      </c>
      <c r="F213" s="502" t="s">
        <v>136</v>
      </c>
      <c r="G213" s="503">
        <v>2</v>
      </c>
      <c r="H213" s="502" t="s">
        <v>663</v>
      </c>
      <c r="I213" s="502" t="s">
        <v>676</v>
      </c>
      <c r="J213" s="502" t="s">
        <v>709</v>
      </c>
      <c r="K213" s="504" t="s">
        <v>664</v>
      </c>
      <c r="L213" s="502" t="s">
        <v>122</v>
      </c>
      <c r="M213" s="504" t="s">
        <v>264</v>
      </c>
      <c r="N213" s="505">
        <v>98</v>
      </c>
      <c r="O213" s="505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08">
        <v>449.1</v>
      </c>
      <c r="U213" s="557">
        <f t="shared" si="7"/>
        <v>113.17319999999999</v>
      </c>
      <c r="V213" s="565">
        <v>5453.87</v>
      </c>
      <c r="W213" s="564">
        <v>272.69349999999997</v>
      </c>
      <c r="X213" s="564">
        <v>54.538699999999999</v>
      </c>
      <c r="Y213" s="519">
        <v>218.15479999999997</v>
      </c>
      <c r="Z213" s="569">
        <f>(Y213-U213)/Y213</f>
        <v>0.48122525839449781</v>
      </c>
      <c r="AA213" s="409">
        <v>783.05000000000007</v>
      </c>
      <c r="AB213" s="557">
        <f t="shared" si="6"/>
        <v>197.32859999999997</v>
      </c>
      <c r="AC213" s="565">
        <v>7434.69</v>
      </c>
      <c r="AD213" s="564">
        <v>371.73449999999997</v>
      </c>
      <c r="AE213" s="564">
        <v>74.346899999999991</v>
      </c>
      <c r="AF213" s="519">
        <v>297.38759999999996</v>
      </c>
      <c r="AG213" s="569">
        <f>(AF213-AB213)/AF213</f>
        <v>0.3364598927460325</v>
      </c>
    </row>
    <row r="214" spans="2:33" x14ac:dyDescent="0.25">
      <c r="B214" s="231">
        <v>12</v>
      </c>
      <c r="C214" s="500">
        <v>1</v>
      </c>
      <c r="D214" s="501" t="s">
        <v>298</v>
      </c>
      <c r="E214" s="502" t="s">
        <v>132</v>
      </c>
      <c r="F214" s="502" t="s">
        <v>136</v>
      </c>
      <c r="G214" s="503">
        <v>2</v>
      </c>
      <c r="H214" s="502" t="s">
        <v>663</v>
      </c>
      <c r="I214" s="502" t="s">
        <v>677</v>
      </c>
      <c r="J214" s="502" t="s">
        <v>709</v>
      </c>
      <c r="K214" s="504" t="s">
        <v>664</v>
      </c>
      <c r="L214" s="502" t="s">
        <v>122</v>
      </c>
      <c r="M214" s="504" t="s">
        <v>264</v>
      </c>
      <c r="N214" s="505">
        <v>98</v>
      </c>
      <c r="O214" s="505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08">
        <v>547.4</v>
      </c>
      <c r="U214" s="557">
        <f t="shared" si="7"/>
        <v>137.94479999999996</v>
      </c>
      <c r="V214" s="565">
        <v>5620.55</v>
      </c>
      <c r="W214" s="564">
        <v>281.02750000000003</v>
      </c>
      <c r="X214" s="564">
        <v>56.205500000000008</v>
      </c>
      <c r="Y214" s="519">
        <v>224.82200000000003</v>
      </c>
      <c r="Z214" s="569">
        <f>(Y214-U214)/Y214</f>
        <v>0.38642659526202977</v>
      </c>
      <c r="AA214" s="409">
        <v>783.05000000000007</v>
      </c>
      <c r="AB214" s="557">
        <f t="shared" si="6"/>
        <v>197.32859999999997</v>
      </c>
      <c r="AC214" s="565">
        <v>7434.69</v>
      </c>
      <c r="AD214" s="564">
        <v>371.73449999999997</v>
      </c>
      <c r="AE214" s="564">
        <v>74.346899999999991</v>
      </c>
      <c r="AF214" s="519">
        <v>297.38759999999996</v>
      </c>
      <c r="AG214" s="569">
        <f>(AF214-AB214)/AF214</f>
        <v>0.3364598927460325</v>
      </c>
    </row>
    <row r="215" spans="2:33" x14ac:dyDescent="0.25">
      <c r="B215" s="231">
        <v>13</v>
      </c>
      <c r="C215" s="544">
        <v>1</v>
      </c>
      <c r="D215" s="545" t="s">
        <v>298</v>
      </c>
      <c r="E215" s="546" t="s">
        <v>132</v>
      </c>
      <c r="F215" s="546" t="s">
        <v>136</v>
      </c>
      <c r="G215" s="547">
        <v>2</v>
      </c>
      <c r="H215" s="546" t="s">
        <v>187</v>
      </c>
      <c r="I215" s="546" t="s">
        <v>321</v>
      </c>
      <c r="J215" s="546" t="s">
        <v>709</v>
      </c>
      <c r="K215" s="548" t="s">
        <v>664</v>
      </c>
      <c r="L215" s="546" t="s">
        <v>122</v>
      </c>
      <c r="M215" s="548" t="s">
        <v>264</v>
      </c>
      <c r="N215" s="549">
        <v>124</v>
      </c>
      <c r="O215" s="549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08">
        <v>314.65000000000003</v>
      </c>
      <c r="U215" s="557">
        <f t="shared" si="7"/>
        <v>79.291800000000009</v>
      </c>
      <c r="V215" s="565"/>
      <c r="W215" s="565"/>
      <c r="X215" s="564"/>
      <c r="Y215" s="519"/>
      <c r="Z215" s="519"/>
      <c r="AA215" s="409">
        <v>989</v>
      </c>
      <c r="AB215" s="557">
        <f t="shared" si="6"/>
        <v>249.22799999999995</v>
      </c>
      <c r="AC215" s="565"/>
      <c r="AD215" s="565"/>
      <c r="AE215" s="564"/>
      <c r="AF215" s="519"/>
      <c r="AG215" s="519"/>
    </row>
    <row r="216" spans="2:33" x14ac:dyDescent="0.25">
      <c r="B216" s="231">
        <v>14</v>
      </c>
      <c r="C216" s="538">
        <v>1</v>
      </c>
      <c r="D216" s="539" t="s">
        <v>298</v>
      </c>
      <c r="E216" s="540" t="s">
        <v>132</v>
      </c>
      <c r="F216" s="540" t="s">
        <v>136</v>
      </c>
      <c r="G216" s="541">
        <v>2</v>
      </c>
      <c r="H216" s="540" t="s">
        <v>691</v>
      </c>
      <c r="I216" s="540" t="s">
        <v>321</v>
      </c>
      <c r="J216" s="540" t="s">
        <v>709</v>
      </c>
      <c r="K216" s="542" t="s">
        <v>664</v>
      </c>
      <c r="L216" s="540" t="s">
        <v>122</v>
      </c>
      <c r="M216" s="542" t="s">
        <v>264</v>
      </c>
      <c r="N216" s="543">
        <v>124</v>
      </c>
      <c r="O216" s="543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08">
        <v>635.1</v>
      </c>
      <c r="U216" s="557">
        <f t="shared" si="7"/>
        <v>160.04519999999997</v>
      </c>
      <c r="V216" s="565"/>
      <c r="W216" s="565"/>
      <c r="X216" s="564"/>
      <c r="Y216" s="519"/>
      <c r="Z216" s="570">
        <f>AVERAGE(Z217:Z220)</f>
        <v>0.44687900560297045</v>
      </c>
      <c r="AA216" s="409">
        <v>989</v>
      </c>
      <c r="AB216" s="557">
        <f t="shared" si="6"/>
        <v>249.22799999999995</v>
      </c>
      <c r="AC216" s="565"/>
      <c r="AD216" s="565"/>
      <c r="AE216" s="564"/>
      <c r="AF216" s="519"/>
      <c r="AG216" s="570">
        <f>AVERAGE(AG217:AG220)</f>
        <v>0.21025813925780221</v>
      </c>
    </row>
    <row r="217" spans="2:33" x14ac:dyDescent="0.25">
      <c r="B217" s="231">
        <v>15</v>
      </c>
      <c r="C217" s="500">
        <v>1</v>
      </c>
      <c r="D217" s="501" t="s">
        <v>298</v>
      </c>
      <c r="E217" s="502" t="s">
        <v>132</v>
      </c>
      <c r="F217" s="502" t="s">
        <v>136</v>
      </c>
      <c r="G217" s="503">
        <v>2</v>
      </c>
      <c r="H217" s="502" t="s">
        <v>663</v>
      </c>
      <c r="I217" s="502" t="s">
        <v>674</v>
      </c>
      <c r="J217" s="502" t="s">
        <v>709</v>
      </c>
      <c r="K217" s="504" t="s">
        <v>664</v>
      </c>
      <c r="L217" s="502" t="s">
        <v>122</v>
      </c>
      <c r="M217" s="504" t="s">
        <v>264</v>
      </c>
      <c r="N217" s="505">
        <v>124</v>
      </c>
      <c r="O217" s="505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08">
        <v>374.15000000000003</v>
      </c>
      <c r="U217" s="557">
        <f t="shared" si="7"/>
        <v>94.285799999999995</v>
      </c>
      <c r="V217" s="565">
        <v>4470.21</v>
      </c>
      <c r="W217" s="564">
        <v>223.51050000000001</v>
      </c>
      <c r="X217" s="564">
        <v>44.702100000000002</v>
      </c>
      <c r="Y217" s="519">
        <v>178.80840000000001</v>
      </c>
      <c r="Z217" s="569">
        <f>(Y217-U217)/Y217</f>
        <v>0.47269926916185151</v>
      </c>
      <c r="AA217" s="409">
        <v>989</v>
      </c>
      <c r="AB217" s="557">
        <f t="shared" si="6"/>
        <v>249.22799999999995</v>
      </c>
      <c r="AC217" s="565">
        <v>7889.54</v>
      </c>
      <c r="AD217" s="564">
        <v>394.47699999999998</v>
      </c>
      <c r="AE217" s="564">
        <v>78.895399999999995</v>
      </c>
      <c r="AF217" s="519">
        <v>315.58159999999998</v>
      </c>
      <c r="AG217" s="569">
        <f>(AF217-AB217)/AF217</f>
        <v>0.21025813925780221</v>
      </c>
    </row>
    <row r="218" spans="2:33" x14ac:dyDescent="0.25">
      <c r="B218" s="231">
        <v>16</v>
      </c>
      <c r="C218" s="500">
        <v>1</v>
      </c>
      <c r="D218" s="501" t="s">
        <v>298</v>
      </c>
      <c r="E218" s="502" t="s">
        <v>132</v>
      </c>
      <c r="F218" s="502" t="s">
        <v>136</v>
      </c>
      <c r="G218" s="503">
        <v>2</v>
      </c>
      <c r="H218" s="502" t="s">
        <v>663</v>
      </c>
      <c r="I218" s="502" t="s">
        <v>675</v>
      </c>
      <c r="J218" s="502" t="s">
        <v>709</v>
      </c>
      <c r="K218" s="504" t="s">
        <v>664</v>
      </c>
      <c r="L218" s="502" t="s">
        <v>122</v>
      </c>
      <c r="M218" s="504" t="s">
        <v>264</v>
      </c>
      <c r="N218" s="505">
        <v>124</v>
      </c>
      <c r="O218" s="505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08">
        <v>519.5</v>
      </c>
      <c r="U218" s="557">
        <f t="shared" si="7"/>
        <v>130.91399999999999</v>
      </c>
      <c r="V218" s="565">
        <v>6319.08</v>
      </c>
      <c r="W218" s="564">
        <v>315.95400000000001</v>
      </c>
      <c r="X218" s="564">
        <v>63.190800000000003</v>
      </c>
      <c r="Y218" s="519">
        <v>252.76320000000001</v>
      </c>
      <c r="Z218" s="569">
        <f>(Y218-U218)/Y218</f>
        <v>0.48206859226343085</v>
      </c>
      <c r="AA218" s="409">
        <v>989</v>
      </c>
      <c r="AB218" s="557">
        <f t="shared" ref="AB218:AB250" si="8">AA218*0.7*0.6*0.6</f>
        <v>249.22799999999995</v>
      </c>
      <c r="AC218" s="565">
        <v>7889.54</v>
      </c>
      <c r="AD218" s="564">
        <v>394.47699999999998</v>
      </c>
      <c r="AE218" s="564">
        <v>78.895399999999995</v>
      </c>
      <c r="AF218" s="519">
        <v>315.58159999999998</v>
      </c>
      <c r="AG218" s="569">
        <f>(AF218-AB218)/AF218</f>
        <v>0.21025813925780221</v>
      </c>
    </row>
    <row r="219" spans="2:33" x14ac:dyDescent="0.25">
      <c r="B219" s="231">
        <v>17</v>
      </c>
      <c r="C219" s="500">
        <v>1</v>
      </c>
      <c r="D219" s="501" t="s">
        <v>298</v>
      </c>
      <c r="E219" s="502" t="s">
        <v>132</v>
      </c>
      <c r="F219" s="502" t="s">
        <v>136</v>
      </c>
      <c r="G219" s="503">
        <v>2</v>
      </c>
      <c r="H219" s="502" t="s">
        <v>663</v>
      </c>
      <c r="I219" s="502" t="s">
        <v>676</v>
      </c>
      <c r="J219" s="502" t="s">
        <v>709</v>
      </c>
      <c r="K219" s="504" t="s">
        <v>664</v>
      </c>
      <c r="L219" s="502" t="s">
        <v>122</v>
      </c>
      <c r="M219" s="504" t="s">
        <v>264</v>
      </c>
      <c r="N219" s="505">
        <v>124</v>
      </c>
      <c r="O219" s="505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08">
        <v>556.05000000000007</v>
      </c>
      <c r="U219" s="557">
        <f t="shared" si="7"/>
        <v>140.12459999999999</v>
      </c>
      <c r="V219" s="565">
        <v>6549.56</v>
      </c>
      <c r="W219" s="564">
        <v>327.47800000000001</v>
      </c>
      <c r="X219" s="564">
        <v>65.49560000000001</v>
      </c>
      <c r="Y219" s="519">
        <v>261.98239999999998</v>
      </c>
      <c r="Z219" s="569">
        <f>(Y219-U219)/Y219</f>
        <v>0.46513735273819923</v>
      </c>
      <c r="AA219" s="409">
        <v>989</v>
      </c>
      <c r="AB219" s="557">
        <f t="shared" si="8"/>
        <v>249.22799999999995</v>
      </c>
      <c r="AC219" s="565">
        <v>7889.54</v>
      </c>
      <c r="AD219" s="564">
        <v>394.47699999999998</v>
      </c>
      <c r="AE219" s="564">
        <v>78.895399999999995</v>
      </c>
      <c r="AF219" s="519">
        <v>315.58159999999998</v>
      </c>
      <c r="AG219" s="569">
        <f>(AF219-AB219)/AF219</f>
        <v>0.21025813925780221</v>
      </c>
    </row>
    <row r="220" spans="2:33" x14ac:dyDescent="0.25">
      <c r="B220" s="231">
        <v>18</v>
      </c>
      <c r="C220" s="500">
        <v>1</v>
      </c>
      <c r="D220" s="501" t="s">
        <v>298</v>
      </c>
      <c r="E220" s="502" t="s">
        <v>132</v>
      </c>
      <c r="F220" s="502" t="s">
        <v>136</v>
      </c>
      <c r="G220" s="503">
        <v>2</v>
      </c>
      <c r="H220" s="502" t="s">
        <v>663</v>
      </c>
      <c r="I220" s="502" t="s">
        <v>677</v>
      </c>
      <c r="J220" s="502" t="s">
        <v>709</v>
      </c>
      <c r="K220" s="504" t="s">
        <v>664</v>
      </c>
      <c r="L220" s="502" t="s">
        <v>122</v>
      </c>
      <c r="M220" s="504" t="s">
        <v>264</v>
      </c>
      <c r="N220" s="505">
        <v>124</v>
      </c>
      <c r="O220" s="505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08">
        <v>677.6</v>
      </c>
      <c r="U220" s="557">
        <f t="shared" ref="U220:U250" si="9">T220*0.7*0.6*0.6</f>
        <v>170.75519999999997</v>
      </c>
      <c r="V220" s="565">
        <v>6750.4</v>
      </c>
      <c r="W220" s="564">
        <v>337.52</v>
      </c>
      <c r="X220" s="564">
        <v>67.504000000000005</v>
      </c>
      <c r="Y220" s="519">
        <v>270.01599999999996</v>
      </c>
      <c r="Z220" s="569">
        <f>(Y220-U220)/Y220</f>
        <v>0.36761080824840009</v>
      </c>
      <c r="AA220" s="409">
        <v>989</v>
      </c>
      <c r="AB220" s="557">
        <f t="shared" si="8"/>
        <v>249.22799999999995</v>
      </c>
      <c r="AC220" s="565">
        <v>7889.54</v>
      </c>
      <c r="AD220" s="564">
        <v>394.47699999999998</v>
      </c>
      <c r="AE220" s="564">
        <v>78.895399999999995</v>
      </c>
      <c r="AF220" s="519">
        <v>315.58159999999998</v>
      </c>
      <c r="AG220" s="569">
        <f>(AF220-AB220)/AF220</f>
        <v>0.21025813925780221</v>
      </c>
    </row>
    <row r="221" spans="2:33" x14ac:dyDescent="0.25">
      <c r="B221" s="231">
        <v>19</v>
      </c>
      <c r="C221" s="544">
        <v>1</v>
      </c>
      <c r="D221" s="545" t="s">
        <v>298</v>
      </c>
      <c r="E221" s="546" t="s">
        <v>132</v>
      </c>
      <c r="F221" s="546" t="s">
        <v>136</v>
      </c>
      <c r="G221" s="547">
        <v>2</v>
      </c>
      <c r="H221" s="546" t="s">
        <v>187</v>
      </c>
      <c r="I221" s="546" t="s">
        <v>321</v>
      </c>
      <c r="J221" s="546" t="s">
        <v>709</v>
      </c>
      <c r="K221" s="548" t="s">
        <v>664</v>
      </c>
      <c r="L221" s="546" t="s">
        <v>122</v>
      </c>
      <c r="M221" s="548" t="s">
        <v>264</v>
      </c>
      <c r="N221" s="549">
        <v>150</v>
      </c>
      <c r="O221" s="549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08">
        <v>379</v>
      </c>
      <c r="U221" s="557">
        <f t="shared" si="9"/>
        <v>95.507999999999996</v>
      </c>
      <c r="V221" s="565"/>
      <c r="W221" s="565"/>
      <c r="X221" s="564"/>
      <c r="Y221" s="519"/>
      <c r="Z221" s="519"/>
      <c r="AA221" s="409">
        <v>1194.95</v>
      </c>
      <c r="AB221" s="557">
        <f t="shared" si="8"/>
        <v>301.12740000000002</v>
      </c>
      <c r="AC221" s="565"/>
      <c r="AD221" s="565"/>
      <c r="AE221" s="564"/>
      <c r="AF221" s="519"/>
      <c r="AG221" s="519"/>
    </row>
    <row r="222" spans="2:33" x14ac:dyDescent="0.25">
      <c r="B222" s="231">
        <v>20</v>
      </c>
      <c r="C222" s="538">
        <v>1</v>
      </c>
      <c r="D222" s="539" t="s">
        <v>298</v>
      </c>
      <c r="E222" s="540" t="s">
        <v>132</v>
      </c>
      <c r="F222" s="540" t="s">
        <v>136</v>
      </c>
      <c r="G222" s="541">
        <v>2</v>
      </c>
      <c r="H222" s="540" t="s">
        <v>691</v>
      </c>
      <c r="I222" s="540" t="s">
        <v>321</v>
      </c>
      <c r="J222" s="540" t="s">
        <v>709</v>
      </c>
      <c r="K222" s="542" t="s">
        <v>664</v>
      </c>
      <c r="L222" s="540" t="s">
        <v>122</v>
      </c>
      <c r="M222" s="542" t="s">
        <v>264</v>
      </c>
      <c r="N222" s="543">
        <v>150</v>
      </c>
      <c r="O222" s="543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08">
        <v>765.40000000000009</v>
      </c>
      <c r="U222" s="557">
        <f t="shared" si="9"/>
        <v>192.88079999999999</v>
      </c>
      <c r="V222" s="565"/>
      <c r="W222" s="565"/>
      <c r="X222" s="564"/>
      <c r="Y222" s="519"/>
      <c r="Z222" s="570">
        <f>AVERAGE(Z223:Z226)</f>
        <v>0.43457860269870535</v>
      </c>
      <c r="AA222" s="409">
        <v>1194.95</v>
      </c>
      <c r="AB222" s="557">
        <f t="shared" si="8"/>
        <v>301.12740000000002</v>
      </c>
      <c r="AC222" s="565"/>
      <c r="AD222" s="565"/>
      <c r="AE222" s="564"/>
      <c r="AF222" s="519"/>
      <c r="AG222" s="570">
        <f>AVERAGE(AG223:AG226)</f>
        <v>0.11011732025178039</v>
      </c>
    </row>
    <row r="223" spans="2:33" x14ac:dyDescent="0.25">
      <c r="B223" s="231">
        <v>21</v>
      </c>
      <c r="C223" s="500">
        <v>1</v>
      </c>
      <c r="D223" s="501" t="s">
        <v>298</v>
      </c>
      <c r="E223" s="502" t="s">
        <v>132</v>
      </c>
      <c r="F223" s="502" t="s">
        <v>136</v>
      </c>
      <c r="G223" s="503">
        <v>2</v>
      </c>
      <c r="H223" s="502" t="s">
        <v>663</v>
      </c>
      <c r="I223" s="502" t="s">
        <v>674</v>
      </c>
      <c r="J223" s="502" t="s">
        <v>709</v>
      </c>
      <c r="K223" s="504" t="s">
        <v>664</v>
      </c>
      <c r="L223" s="502" t="s">
        <v>122</v>
      </c>
      <c r="M223" s="504" t="s">
        <v>264</v>
      </c>
      <c r="N223" s="505">
        <v>150</v>
      </c>
      <c r="O223" s="505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08">
        <v>450.75</v>
      </c>
      <c r="U223" s="557">
        <f t="shared" si="9"/>
        <v>113.58899999999998</v>
      </c>
      <c r="V223" s="565">
        <v>5279</v>
      </c>
      <c r="W223" s="564">
        <v>263.95</v>
      </c>
      <c r="X223" s="564">
        <v>52.79</v>
      </c>
      <c r="Y223" s="519">
        <v>211.16</v>
      </c>
      <c r="Z223" s="569">
        <f>(Y223-U223)/Y223</f>
        <v>0.46207141504072746</v>
      </c>
      <c r="AA223" s="409">
        <v>1194.95</v>
      </c>
      <c r="AB223" s="557">
        <f t="shared" si="8"/>
        <v>301.12740000000002</v>
      </c>
      <c r="AC223" s="565">
        <v>8459.75</v>
      </c>
      <c r="AD223" s="564">
        <v>422.98750000000001</v>
      </c>
      <c r="AE223" s="564">
        <v>84.597500000000011</v>
      </c>
      <c r="AF223" s="519">
        <v>338.39</v>
      </c>
      <c r="AG223" s="569">
        <f>(AF223-AB223)/AF223</f>
        <v>0.11011732025178039</v>
      </c>
    </row>
    <row r="224" spans="2:33" x14ac:dyDescent="0.25">
      <c r="B224" s="231">
        <v>22</v>
      </c>
      <c r="C224" s="500">
        <v>1</v>
      </c>
      <c r="D224" s="501" t="s">
        <v>298</v>
      </c>
      <c r="E224" s="502" t="s">
        <v>132</v>
      </c>
      <c r="F224" s="502" t="s">
        <v>136</v>
      </c>
      <c r="G224" s="503">
        <v>2</v>
      </c>
      <c r="H224" s="502" t="s">
        <v>663</v>
      </c>
      <c r="I224" s="502" t="s">
        <v>675</v>
      </c>
      <c r="J224" s="502" t="s">
        <v>709</v>
      </c>
      <c r="K224" s="504" t="s">
        <v>664</v>
      </c>
      <c r="L224" s="502" t="s">
        <v>122</v>
      </c>
      <c r="M224" s="504" t="s">
        <v>264</v>
      </c>
      <c r="N224" s="505">
        <v>150</v>
      </c>
      <c r="O224" s="505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08">
        <v>626</v>
      </c>
      <c r="U224" s="557">
        <f t="shared" si="9"/>
        <v>157.75199999999998</v>
      </c>
      <c r="V224" s="565">
        <v>7456.32</v>
      </c>
      <c r="W224" s="564">
        <v>372.81599999999997</v>
      </c>
      <c r="X224" s="564">
        <v>74.563199999999995</v>
      </c>
      <c r="Y224" s="519">
        <v>298.25279999999998</v>
      </c>
      <c r="Z224" s="569">
        <f>(Y224-U224)/Y224</f>
        <v>0.4710795674005408</v>
      </c>
      <c r="AA224" s="409">
        <v>1194.95</v>
      </c>
      <c r="AB224" s="557">
        <f t="shared" si="8"/>
        <v>301.12740000000002</v>
      </c>
      <c r="AC224" s="565">
        <v>8459.75</v>
      </c>
      <c r="AD224" s="564">
        <v>422.98750000000001</v>
      </c>
      <c r="AE224" s="564">
        <v>84.597500000000011</v>
      </c>
      <c r="AF224" s="519">
        <v>338.39</v>
      </c>
      <c r="AG224" s="569">
        <f>(AF224-AB224)/AF224</f>
        <v>0.11011732025178039</v>
      </c>
    </row>
    <row r="225" spans="2:33" x14ac:dyDescent="0.25">
      <c r="B225" s="231">
        <v>23</v>
      </c>
      <c r="C225" s="500">
        <v>1</v>
      </c>
      <c r="D225" s="501" t="s">
        <v>298</v>
      </c>
      <c r="E225" s="502" t="s">
        <v>132</v>
      </c>
      <c r="F225" s="502" t="s">
        <v>136</v>
      </c>
      <c r="G225" s="503">
        <v>2</v>
      </c>
      <c r="H225" s="502" t="s">
        <v>663</v>
      </c>
      <c r="I225" s="502" t="s">
        <v>676</v>
      </c>
      <c r="J225" s="502" t="s">
        <v>709</v>
      </c>
      <c r="K225" s="504" t="s">
        <v>664</v>
      </c>
      <c r="L225" s="502" t="s">
        <v>122</v>
      </c>
      <c r="M225" s="504" t="s">
        <v>264</v>
      </c>
      <c r="N225" s="505">
        <v>150</v>
      </c>
      <c r="O225" s="505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08">
        <v>670.1</v>
      </c>
      <c r="U225" s="557">
        <f t="shared" si="9"/>
        <v>168.86519999999999</v>
      </c>
      <c r="V225" s="565">
        <v>7706.74</v>
      </c>
      <c r="W225" s="564">
        <v>385.33699999999999</v>
      </c>
      <c r="X225" s="564">
        <v>77.067400000000006</v>
      </c>
      <c r="Y225" s="519">
        <v>308.26959999999997</v>
      </c>
      <c r="Z225" s="569">
        <f>(Y225-U225)/Y225</f>
        <v>0.45221585261731939</v>
      </c>
      <c r="AA225" s="409">
        <v>1194.95</v>
      </c>
      <c r="AB225" s="557">
        <f t="shared" si="8"/>
        <v>301.12740000000002</v>
      </c>
      <c r="AC225" s="565">
        <v>8459.75</v>
      </c>
      <c r="AD225" s="564">
        <v>422.98750000000001</v>
      </c>
      <c r="AE225" s="564">
        <v>84.597500000000011</v>
      </c>
      <c r="AF225" s="519">
        <v>338.39</v>
      </c>
      <c r="AG225" s="569">
        <f>(AF225-AB225)/AF225</f>
        <v>0.11011732025178039</v>
      </c>
    </row>
    <row r="226" spans="2:33" x14ac:dyDescent="0.25">
      <c r="B226" s="231">
        <v>24</v>
      </c>
      <c r="C226" s="500">
        <v>1</v>
      </c>
      <c r="D226" s="501" t="s">
        <v>298</v>
      </c>
      <c r="E226" s="502" t="s">
        <v>132</v>
      </c>
      <c r="F226" s="502" t="s">
        <v>136</v>
      </c>
      <c r="G226" s="503">
        <v>2</v>
      </c>
      <c r="H226" s="502" t="s">
        <v>663</v>
      </c>
      <c r="I226" s="502" t="s">
        <v>677</v>
      </c>
      <c r="J226" s="502" t="s">
        <v>709</v>
      </c>
      <c r="K226" s="504" t="s">
        <v>664</v>
      </c>
      <c r="L226" s="502" t="s">
        <v>122</v>
      </c>
      <c r="M226" s="504" t="s">
        <v>264</v>
      </c>
      <c r="N226" s="505">
        <v>150</v>
      </c>
      <c r="O226" s="505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08">
        <v>816.65000000000009</v>
      </c>
      <c r="U226" s="557">
        <f t="shared" si="9"/>
        <v>205.79579999999999</v>
      </c>
      <c r="V226" s="565">
        <v>7951.28</v>
      </c>
      <c r="W226" s="564">
        <v>397.56399999999996</v>
      </c>
      <c r="X226" s="564">
        <v>79.512799999999999</v>
      </c>
      <c r="Y226" s="519">
        <v>318.05119999999999</v>
      </c>
      <c r="Z226" s="569">
        <f>(Y226-U226)/Y226</f>
        <v>0.3529475757362337</v>
      </c>
      <c r="AA226" s="409">
        <v>1194.95</v>
      </c>
      <c r="AB226" s="557">
        <f t="shared" si="8"/>
        <v>301.12740000000002</v>
      </c>
      <c r="AC226" s="565">
        <v>8459.75</v>
      </c>
      <c r="AD226" s="564">
        <v>422.98750000000001</v>
      </c>
      <c r="AE226" s="564">
        <v>84.597500000000011</v>
      </c>
      <c r="AF226" s="519">
        <v>338.39</v>
      </c>
      <c r="AG226" s="569">
        <f>(AF226-AB226)/AF226</f>
        <v>0.11011732025178039</v>
      </c>
    </row>
    <row r="227" spans="2:33" x14ac:dyDescent="0.25">
      <c r="B227" s="231">
        <v>25</v>
      </c>
      <c r="C227" s="550">
        <v>1</v>
      </c>
      <c r="D227" s="551" t="s">
        <v>298</v>
      </c>
      <c r="E227" s="552" t="s">
        <v>132</v>
      </c>
      <c r="F227" s="552" t="s">
        <v>116</v>
      </c>
      <c r="G227" s="553">
        <v>2</v>
      </c>
      <c r="H227" s="552" t="s">
        <v>187</v>
      </c>
      <c r="I227" s="552" t="s">
        <v>323</v>
      </c>
      <c r="J227" s="552" t="s">
        <v>709</v>
      </c>
      <c r="K227" s="554" t="s">
        <v>665</v>
      </c>
      <c r="L227" s="552" t="s">
        <v>122</v>
      </c>
      <c r="M227" s="554" t="s">
        <v>264</v>
      </c>
      <c r="N227" s="555">
        <v>72</v>
      </c>
      <c r="O227" s="555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08">
        <v>122.9</v>
      </c>
      <c r="U227" s="557">
        <f t="shared" si="9"/>
        <v>30.970800000000001</v>
      </c>
      <c r="V227" s="565"/>
      <c r="W227" s="565"/>
      <c r="X227" s="564"/>
      <c r="Y227" s="519"/>
      <c r="Z227" s="631">
        <f>AVERAGE(Z229:Z232,Z235:Z238,Z241:Z244,Z247:Z250)</f>
        <v>0.43465689702216354</v>
      </c>
      <c r="AA227" s="409">
        <v>577.1</v>
      </c>
      <c r="AB227" s="557">
        <f t="shared" si="8"/>
        <v>145.42919999999998</v>
      </c>
      <c r="AC227" s="565"/>
      <c r="AD227" s="565"/>
      <c r="AE227" s="564"/>
      <c r="AF227" s="519"/>
      <c r="AG227" s="631">
        <f>AVERAGE(AG229:AG232,AG235:AG238,AG241:AG244,AG247:AG250)</f>
        <v>0.28567113723534676</v>
      </c>
    </row>
    <row r="228" spans="2:33" x14ac:dyDescent="0.25">
      <c r="B228" s="231">
        <v>26</v>
      </c>
      <c r="C228" s="506">
        <v>1</v>
      </c>
      <c r="D228" s="507" t="s">
        <v>298</v>
      </c>
      <c r="E228" s="508" t="s">
        <v>132</v>
      </c>
      <c r="F228" s="508" t="s">
        <v>116</v>
      </c>
      <c r="G228" s="509">
        <v>2</v>
      </c>
      <c r="H228" s="508" t="s">
        <v>691</v>
      </c>
      <c r="I228" s="508" t="s">
        <v>323</v>
      </c>
      <c r="J228" s="508" t="s">
        <v>709</v>
      </c>
      <c r="K228" s="510" t="s">
        <v>665</v>
      </c>
      <c r="L228" s="508" t="s">
        <v>122</v>
      </c>
      <c r="M228" s="510" t="s">
        <v>264</v>
      </c>
      <c r="N228" s="511">
        <v>72</v>
      </c>
      <c r="O228" s="511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08">
        <v>221.15</v>
      </c>
      <c r="U228" s="557">
        <f t="shared" si="9"/>
        <v>55.729799999999997</v>
      </c>
      <c r="V228" s="565"/>
      <c r="W228" s="565"/>
      <c r="X228" s="564"/>
      <c r="Y228" s="519"/>
      <c r="Z228" s="570">
        <f>AVERAGE(Z229:Z232)</f>
        <v>0.4589927964883061</v>
      </c>
      <c r="AA228" s="409">
        <v>577.1</v>
      </c>
      <c r="AB228" s="557">
        <f t="shared" si="8"/>
        <v>145.42919999999998</v>
      </c>
      <c r="AC228" s="565"/>
      <c r="AD228" s="565"/>
      <c r="AE228" s="564"/>
      <c r="AF228" s="519"/>
      <c r="AG228" s="570">
        <f>AVERAGE(AG229:AG232)</f>
        <v>0.48584919668577209</v>
      </c>
    </row>
    <row r="229" spans="2:33" x14ac:dyDescent="0.25">
      <c r="B229" s="231">
        <v>27</v>
      </c>
      <c r="C229" s="512">
        <v>1</v>
      </c>
      <c r="D229" s="513" t="s">
        <v>298</v>
      </c>
      <c r="E229" s="514" t="s">
        <v>132</v>
      </c>
      <c r="F229" s="514" t="s">
        <v>116</v>
      </c>
      <c r="G229" s="515">
        <v>2</v>
      </c>
      <c r="H229" s="514" t="s">
        <v>663</v>
      </c>
      <c r="I229" s="514" t="s">
        <v>681</v>
      </c>
      <c r="J229" s="514" t="s">
        <v>709</v>
      </c>
      <c r="K229" s="516" t="s">
        <v>665</v>
      </c>
      <c r="L229" s="514" t="s">
        <v>122</v>
      </c>
      <c r="M229" s="516" t="s">
        <v>264</v>
      </c>
      <c r="N229" s="517">
        <v>72</v>
      </c>
      <c r="O229" s="517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08">
        <v>182.4</v>
      </c>
      <c r="U229" s="557">
        <f t="shared" si="9"/>
        <v>45.96479999999999</v>
      </c>
      <c r="V229" s="565">
        <v>2498.04</v>
      </c>
      <c r="W229" s="564">
        <v>124.902</v>
      </c>
      <c r="X229" s="564">
        <v>24.980400000000003</v>
      </c>
      <c r="Y229" s="519">
        <v>99.921599999999998</v>
      </c>
      <c r="Z229" s="569">
        <f>(Y229-U229)/Y229</f>
        <v>0.53999135322092529</v>
      </c>
      <c r="AA229" s="409">
        <v>577.1</v>
      </c>
      <c r="AB229" s="557">
        <f t="shared" si="8"/>
        <v>145.42919999999998</v>
      </c>
      <c r="AC229" s="565">
        <v>7071.33</v>
      </c>
      <c r="AD229" s="564">
        <v>353.56650000000002</v>
      </c>
      <c r="AE229" s="564">
        <v>70.713300000000004</v>
      </c>
      <c r="AF229" s="519">
        <v>282.85320000000002</v>
      </c>
      <c r="AG229" s="569">
        <f>(AF229-AB229)/AF229</f>
        <v>0.48584919668577209</v>
      </c>
    </row>
    <row r="230" spans="2:33" x14ac:dyDescent="0.25">
      <c r="B230" s="231">
        <v>28</v>
      </c>
      <c r="C230" s="512">
        <v>1</v>
      </c>
      <c r="D230" s="513" t="s">
        <v>298</v>
      </c>
      <c r="E230" s="514" t="s">
        <v>132</v>
      </c>
      <c r="F230" s="514" t="s">
        <v>116</v>
      </c>
      <c r="G230" s="515">
        <v>2</v>
      </c>
      <c r="H230" s="514" t="s">
        <v>663</v>
      </c>
      <c r="I230" s="514" t="s">
        <v>685</v>
      </c>
      <c r="J230" s="514" t="s">
        <v>709</v>
      </c>
      <c r="K230" s="516" t="s">
        <v>665</v>
      </c>
      <c r="L230" s="514" t="s">
        <v>122</v>
      </c>
      <c r="M230" s="516" t="s">
        <v>264</v>
      </c>
      <c r="N230" s="517">
        <v>72</v>
      </c>
      <c r="O230" s="517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08">
        <v>217.65</v>
      </c>
      <c r="U230" s="557">
        <f t="shared" si="9"/>
        <v>54.847799999999999</v>
      </c>
      <c r="V230" s="565">
        <v>2762.46</v>
      </c>
      <c r="W230" s="564">
        <v>138.12299999999999</v>
      </c>
      <c r="X230" s="564">
        <v>27.624600000000001</v>
      </c>
      <c r="Y230" s="519">
        <v>110.49839999999999</v>
      </c>
      <c r="Z230" s="569">
        <f>(Y230-U230)/Y230</f>
        <v>0.50363263178471362</v>
      </c>
      <c r="AA230" s="409">
        <v>577.1</v>
      </c>
      <c r="AB230" s="557">
        <f t="shared" si="8"/>
        <v>145.42919999999998</v>
      </c>
      <c r="AC230" s="565">
        <v>7071.33</v>
      </c>
      <c r="AD230" s="564">
        <v>353.56650000000002</v>
      </c>
      <c r="AE230" s="564">
        <v>70.713300000000004</v>
      </c>
      <c r="AF230" s="519">
        <v>282.85320000000002</v>
      </c>
      <c r="AG230" s="569">
        <f>(AF230-AB230)/AF230</f>
        <v>0.48584919668577209</v>
      </c>
    </row>
    <row r="231" spans="2:33" x14ac:dyDescent="0.25">
      <c r="B231" s="231">
        <v>29</v>
      </c>
      <c r="C231" s="512">
        <v>1</v>
      </c>
      <c r="D231" s="513" t="s">
        <v>298</v>
      </c>
      <c r="E231" s="514" t="s">
        <v>132</v>
      </c>
      <c r="F231" s="514" t="s">
        <v>116</v>
      </c>
      <c r="G231" s="515">
        <v>2</v>
      </c>
      <c r="H231" s="514" t="s">
        <v>663</v>
      </c>
      <c r="I231" s="514" t="s">
        <v>687</v>
      </c>
      <c r="J231" s="514" t="s">
        <v>709</v>
      </c>
      <c r="K231" s="516" t="s">
        <v>665</v>
      </c>
      <c r="L231" s="514" t="s">
        <v>122</v>
      </c>
      <c r="M231" s="516" t="s">
        <v>264</v>
      </c>
      <c r="N231" s="517">
        <v>72</v>
      </c>
      <c r="O231" s="517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08">
        <v>259.90000000000003</v>
      </c>
      <c r="U231" s="557">
        <f t="shared" si="9"/>
        <v>65.494799999999998</v>
      </c>
      <c r="V231" s="565">
        <v>2761.1</v>
      </c>
      <c r="W231" s="564">
        <v>138.05500000000001</v>
      </c>
      <c r="X231" s="564">
        <v>27.611000000000004</v>
      </c>
      <c r="Y231" s="519">
        <v>110.444</v>
      </c>
      <c r="Z231" s="569">
        <f>(Y231-U231)/Y231</f>
        <v>0.40698634602151318</v>
      </c>
      <c r="AA231" s="409">
        <v>577.1</v>
      </c>
      <c r="AB231" s="557">
        <f t="shared" si="8"/>
        <v>145.42919999999998</v>
      </c>
      <c r="AC231" s="565">
        <v>7071.33</v>
      </c>
      <c r="AD231" s="564">
        <v>353.56650000000002</v>
      </c>
      <c r="AE231" s="564">
        <v>70.713300000000004</v>
      </c>
      <c r="AF231" s="519">
        <v>282.85320000000002</v>
      </c>
      <c r="AG231" s="569">
        <f>(AF231-AB231)/AF231</f>
        <v>0.48584919668577209</v>
      </c>
    </row>
    <row r="232" spans="2:33" x14ac:dyDescent="0.25">
      <c r="B232" s="231">
        <v>30</v>
      </c>
      <c r="C232" s="512">
        <v>1</v>
      </c>
      <c r="D232" s="513" t="s">
        <v>298</v>
      </c>
      <c r="E232" s="514" t="s">
        <v>132</v>
      </c>
      <c r="F232" s="514" t="s">
        <v>116</v>
      </c>
      <c r="G232" s="515">
        <v>2</v>
      </c>
      <c r="H232" s="514" t="s">
        <v>663</v>
      </c>
      <c r="I232" s="514" t="s">
        <v>689</v>
      </c>
      <c r="J232" s="514" t="s">
        <v>709</v>
      </c>
      <c r="K232" s="516" t="s">
        <v>665</v>
      </c>
      <c r="L232" s="514" t="s">
        <v>122</v>
      </c>
      <c r="M232" s="516" t="s">
        <v>264</v>
      </c>
      <c r="N232" s="517">
        <v>72</v>
      </c>
      <c r="O232" s="517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08">
        <v>299.90000000000003</v>
      </c>
      <c r="U232" s="557">
        <f t="shared" si="9"/>
        <v>75.574799999999996</v>
      </c>
      <c r="V232" s="565">
        <v>3073.95</v>
      </c>
      <c r="W232" s="564">
        <v>153.69749999999999</v>
      </c>
      <c r="X232" s="564">
        <v>30.7395</v>
      </c>
      <c r="Y232" s="519">
        <v>122.958</v>
      </c>
      <c r="Z232" s="569">
        <f>(Y232-U232)/Y232</f>
        <v>0.38536085492607236</v>
      </c>
      <c r="AA232" s="409">
        <v>577.1</v>
      </c>
      <c r="AB232" s="557">
        <f t="shared" si="8"/>
        <v>145.42919999999998</v>
      </c>
      <c r="AC232" s="565">
        <v>7071.33</v>
      </c>
      <c r="AD232" s="564">
        <v>353.56650000000002</v>
      </c>
      <c r="AE232" s="564">
        <v>70.713300000000004</v>
      </c>
      <c r="AF232" s="519">
        <v>282.85320000000002</v>
      </c>
      <c r="AG232" s="569">
        <f>(AF232-AB232)/AF232</f>
        <v>0.48584919668577209</v>
      </c>
    </row>
    <row r="233" spans="2:33" x14ac:dyDescent="0.25">
      <c r="B233" s="231">
        <v>31</v>
      </c>
      <c r="C233" s="550">
        <v>1</v>
      </c>
      <c r="D233" s="551" t="s">
        <v>298</v>
      </c>
      <c r="E233" s="552" t="s">
        <v>132</v>
      </c>
      <c r="F233" s="552" t="s">
        <v>116</v>
      </c>
      <c r="G233" s="553">
        <v>2</v>
      </c>
      <c r="H233" s="552" t="s">
        <v>187</v>
      </c>
      <c r="I233" s="552" t="s">
        <v>323</v>
      </c>
      <c r="J233" s="552" t="s">
        <v>709</v>
      </c>
      <c r="K233" s="554" t="s">
        <v>665</v>
      </c>
      <c r="L233" s="552" t="s">
        <v>122</v>
      </c>
      <c r="M233" s="554" t="s">
        <v>264</v>
      </c>
      <c r="N233" s="555">
        <v>98</v>
      </c>
      <c r="O233" s="555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08">
        <v>161.20000000000002</v>
      </c>
      <c r="U233" s="557">
        <f t="shared" si="9"/>
        <v>40.622399999999992</v>
      </c>
      <c r="V233" s="565"/>
      <c r="W233" s="565"/>
      <c r="X233" s="564"/>
      <c r="Y233" s="519"/>
      <c r="Z233" s="519"/>
      <c r="AA233" s="409">
        <v>783.05000000000007</v>
      </c>
      <c r="AB233" s="557">
        <f t="shared" si="8"/>
        <v>197.32859999999997</v>
      </c>
      <c r="AC233" s="565"/>
      <c r="AD233" s="565"/>
      <c r="AE233" s="564"/>
      <c r="AF233" s="519"/>
      <c r="AG233" s="519"/>
    </row>
    <row r="234" spans="2:33" x14ac:dyDescent="0.25">
      <c r="B234" s="231">
        <v>32</v>
      </c>
      <c r="C234" s="506">
        <v>1</v>
      </c>
      <c r="D234" s="507" t="s">
        <v>298</v>
      </c>
      <c r="E234" s="508" t="s">
        <v>132</v>
      </c>
      <c r="F234" s="508" t="s">
        <v>116</v>
      </c>
      <c r="G234" s="509">
        <v>2</v>
      </c>
      <c r="H234" s="508" t="s">
        <v>691</v>
      </c>
      <c r="I234" s="508" t="s">
        <v>323</v>
      </c>
      <c r="J234" s="508" t="s">
        <v>709</v>
      </c>
      <c r="K234" s="510" t="s">
        <v>665</v>
      </c>
      <c r="L234" s="508" t="s">
        <v>122</v>
      </c>
      <c r="M234" s="510" t="s">
        <v>264</v>
      </c>
      <c r="N234" s="511">
        <v>98</v>
      </c>
      <c r="O234" s="511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08">
        <v>288.95</v>
      </c>
      <c r="U234" s="557">
        <f t="shared" si="9"/>
        <v>72.815399999999983</v>
      </c>
      <c r="V234" s="565"/>
      <c r="W234" s="565"/>
      <c r="X234" s="564"/>
      <c r="Y234" s="519"/>
      <c r="Z234" s="570">
        <f>AVERAGE(Z235:Z238)</f>
        <v>0.4356417698402314</v>
      </c>
      <c r="AA234" s="409">
        <v>783.05000000000007</v>
      </c>
      <c r="AB234" s="557">
        <f t="shared" si="8"/>
        <v>197.32859999999997</v>
      </c>
      <c r="AC234" s="565"/>
      <c r="AD234" s="565"/>
      <c r="AE234" s="564"/>
      <c r="AF234" s="519"/>
      <c r="AG234" s="570">
        <f>AVERAGE(AG235:AG238)</f>
        <v>0.3364598927460325</v>
      </c>
    </row>
    <row r="235" spans="2:33" x14ac:dyDescent="0.25">
      <c r="B235" s="231">
        <v>33</v>
      </c>
      <c r="C235" s="512">
        <v>1</v>
      </c>
      <c r="D235" s="513" t="s">
        <v>298</v>
      </c>
      <c r="E235" s="514" t="s">
        <v>132</v>
      </c>
      <c r="F235" s="514" t="s">
        <v>116</v>
      </c>
      <c r="G235" s="515">
        <v>2</v>
      </c>
      <c r="H235" s="514" t="s">
        <v>663</v>
      </c>
      <c r="I235" s="514" t="s">
        <v>681</v>
      </c>
      <c r="J235" s="514" t="s">
        <v>709</v>
      </c>
      <c r="K235" s="516" t="s">
        <v>665</v>
      </c>
      <c r="L235" s="514" t="s">
        <v>122</v>
      </c>
      <c r="M235" s="516" t="s">
        <v>264</v>
      </c>
      <c r="N235" s="517">
        <v>98</v>
      </c>
      <c r="O235" s="517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08">
        <v>238.55</v>
      </c>
      <c r="U235" s="557">
        <f t="shared" si="9"/>
        <v>60.114599999999989</v>
      </c>
      <c r="V235" s="565">
        <v>3127.68</v>
      </c>
      <c r="W235" s="564">
        <v>156.38399999999999</v>
      </c>
      <c r="X235" s="564">
        <v>31.276799999999998</v>
      </c>
      <c r="Y235" s="519">
        <v>125.10719999999999</v>
      </c>
      <c r="Z235" s="569">
        <f>(Y235-U235)/Y235</f>
        <v>0.51949528084714558</v>
      </c>
      <c r="AA235" s="409">
        <v>783.05000000000007</v>
      </c>
      <c r="AB235" s="557">
        <f t="shared" si="8"/>
        <v>197.32859999999997</v>
      </c>
      <c r="AC235" s="565">
        <v>7434.69</v>
      </c>
      <c r="AD235" s="564">
        <v>371.73449999999997</v>
      </c>
      <c r="AE235" s="564">
        <v>74.346899999999991</v>
      </c>
      <c r="AF235" s="519">
        <v>297.38759999999996</v>
      </c>
      <c r="AG235" s="569">
        <f>(AF235-AB235)/AF235</f>
        <v>0.3364598927460325</v>
      </c>
    </row>
    <row r="236" spans="2:33" x14ac:dyDescent="0.25">
      <c r="B236" s="231">
        <v>34</v>
      </c>
      <c r="C236" s="512">
        <v>1</v>
      </c>
      <c r="D236" s="513" t="s">
        <v>298</v>
      </c>
      <c r="E236" s="514" t="s">
        <v>132</v>
      </c>
      <c r="F236" s="514" t="s">
        <v>116</v>
      </c>
      <c r="G236" s="515">
        <v>2</v>
      </c>
      <c r="H236" s="514" t="s">
        <v>663</v>
      </c>
      <c r="I236" s="514" t="s">
        <v>685</v>
      </c>
      <c r="J236" s="514" t="s">
        <v>709</v>
      </c>
      <c r="K236" s="516" t="s">
        <v>665</v>
      </c>
      <c r="L236" s="514" t="s">
        <v>122</v>
      </c>
      <c r="M236" s="516" t="s">
        <v>264</v>
      </c>
      <c r="N236" s="517">
        <v>98</v>
      </c>
      <c r="O236" s="517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08">
        <v>284.40000000000003</v>
      </c>
      <c r="U236" s="557">
        <f t="shared" si="9"/>
        <v>71.668800000000005</v>
      </c>
      <c r="V236" s="565">
        <v>3459.22</v>
      </c>
      <c r="W236" s="564">
        <v>172.96099999999998</v>
      </c>
      <c r="X236" s="564">
        <v>34.592199999999998</v>
      </c>
      <c r="Y236" s="519">
        <v>138.36879999999999</v>
      </c>
      <c r="Z236" s="569">
        <f>(Y236-U236)/Y236</f>
        <v>0.48204508530824863</v>
      </c>
      <c r="AA236" s="409">
        <v>783.05000000000007</v>
      </c>
      <c r="AB236" s="557">
        <f t="shared" si="8"/>
        <v>197.32859999999997</v>
      </c>
      <c r="AC236" s="565">
        <v>7434.69</v>
      </c>
      <c r="AD236" s="564">
        <v>371.73449999999997</v>
      </c>
      <c r="AE236" s="564">
        <v>74.346899999999991</v>
      </c>
      <c r="AF236" s="519">
        <v>297.38759999999996</v>
      </c>
      <c r="AG236" s="569">
        <f>(AF236-AB236)/AF236</f>
        <v>0.3364598927460325</v>
      </c>
    </row>
    <row r="237" spans="2:33" x14ac:dyDescent="0.25">
      <c r="B237" s="231">
        <v>35</v>
      </c>
      <c r="C237" s="512">
        <v>1</v>
      </c>
      <c r="D237" s="513" t="s">
        <v>298</v>
      </c>
      <c r="E237" s="514" t="s">
        <v>132</v>
      </c>
      <c r="F237" s="514" t="s">
        <v>116</v>
      </c>
      <c r="G237" s="515">
        <v>2</v>
      </c>
      <c r="H237" s="514" t="s">
        <v>663</v>
      </c>
      <c r="I237" s="514" t="s">
        <v>687</v>
      </c>
      <c r="J237" s="514" t="s">
        <v>709</v>
      </c>
      <c r="K237" s="516" t="s">
        <v>665</v>
      </c>
      <c r="L237" s="514" t="s">
        <v>122</v>
      </c>
      <c r="M237" s="516" t="s">
        <v>264</v>
      </c>
      <c r="N237" s="517">
        <v>98</v>
      </c>
      <c r="O237" s="517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08">
        <v>339.3</v>
      </c>
      <c r="U237" s="557">
        <f t="shared" si="9"/>
        <v>85.503599999999992</v>
      </c>
      <c r="V237" s="565">
        <v>3456.49</v>
      </c>
      <c r="W237" s="564">
        <v>172.8245</v>
      </c>
      <c r="X237" s="564">
        <v>34.564900000000002</v>
      </c>
      <c r="Y237" s="519">
        <v>138.25960000000001</v>
      </c>
      <c r="Z237" s="569">
        <f>(Y237-U237)/Y237</f>
        <v>0.3815720572025379</v>
      </c>
      <c r="AA237" s="409">
        <v>783.05000000000007</v>
      </c>
      <c r="AB237" s="557">
        <f t="shared" si="8"/>
        <v>197.32859999999997</v>
      </c>
      <c r="AC237" s="565">
        <v>7434.69</v>
      </c>
      <c r="AD237" s="564">
        <v>371.73449999999997</v>
      </c>
      <c r="AE237" s="564">
        <v>74.346899999999991</v>
      </c>
      <c r="AF237" s="519">
        <v>297.38759999999996</v>
      </c>
      <c r="AG237" s="569">
        <f>(AF237-AB237)/AF237</f>
        <v>0.3364598927460325</v>
      </c>
    </row>
    <row r="238" spans="2:33" x14ac:dyDescent="0.25">
      <c r="B238" s="231">
        <v>36</v>
      </c>
      <c r="C238" s="512">
        <v>1</v>
      </c>
      <c r="D238" s="513" t="s">
        <v>298</v>
      </c>
      <c r="E238" s="514" t="s">
        <v>132</v>
      </c>
      <c r="F238" s="514" t="s">
        <v>116</v>
      </c>
      <c r="G238" s="515">
        <v>2</v>
      </c>
      <c r="H238" s="514" t="s">
        <v>663</v>
      </c>
      <c r="I238" s="514" t="s">
        <v>689</v>
      </c>
      <c r="J238" s="514" t="s">
        <v>709</v>
      </c>
      <c r="K238" s="516" t="s">
        <v>665</v>
      </c>
      <c r="L238" s="514" t="s">
        <v>122</v>
      </c>
      <c r="M238" s="516" t="s">
        <v>264</v>
      </c>
      <c r="N238" s="517">
        <v>98</v>
      </c>
      <c r="O238" s="517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08">
        <v>391.3</v>
      </c>
      <c r="U238" s="557">
        <f t="shared" si="9"/>
        <v>98.607599999999977</v>
      </c>
      <c r="V238" s="565">
        <v>3848.58</v>
      </c>
      <c r="W238" s="564">
        <v>192.429</v>
      </c>
      <c r="X238" s="564">
        <v>38.485800000000005</v>
      </c>
      <c r="Y238" s="519">
        <v>153.94319999999999</v>
      </c>
      <c r="Z238" s="569">
        <f>(Y238-U238)/Y238</f>
        <v>0.35945465600299342</v>
      </c>
      <c r="AA238" s="409">
        <v>783.05000000000007</v>
      </c>
      <c r="AB238" s="557">
        <f t="shared" si="8"/>
        <v>197.32859999999997</v>
      </c>
      <c r="AC238" s="565">
        <v>7434.69</v>
      </c>
      <c r="AD238" s="564">
        <v>371.73449999999997</v>
      </c>
      <c r="AE238" s="564">
        <v>74.346899999999991</v>
      </c>
      <c r="AF238" s="519">
        <v>297.38759999999996</v>
      </c>
      <c r="AG238" s="569">
        <f>(AF238-AB238)/AF238</f>
        <v>0.3364598927460325</v>
      </c>
    </row>
    <row r="239" spans="2:33" x14ac:dyDescent="0.25">
      <c r="B239" s="231">
        <v>37</v>
      </c>
      <c r="C239" s="550">
        <v>1</v>
      </c>
      <c r="D239" s="551" t="s">
        <v>298</v>
      </c>
      <c r="E239" s="552" t="s">
        <v>132</v>
      </c>
      <c r="F239" s="552" t="s">
        <v>116</v>
      </c>
      <c r="G239" s="553">
        <v>2</v>
      </c>
      <c r="H239" s="552" t="s">
        <v>187</v>
      </c>
      <c r="I239" s="552" t="s">
        <v>323</v>
      </c>
      <c r="J239" s="552" t="s">
        <v>709</v>
      </c>
      <c r="K239" s="554" t="s">
        <v>665</v>
      </c>
      <c r="L239" s="552" t="s">
        <v>122</v>
      </c>
      <c r="M239" s="554" t="s">
        <v>264</v>
      </c>
      <c r="N239" s="555">
        <v>124</v>
      </c>
      <c r="O239" s="555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08">
        <v>199.5</v>
      </c>
      <c r="U239" s="557">
        <f t="shared" si="9"/>
        <v>50.273999999999987</v>
      </c>
      <c r="V239" s="565"/>
      <c r="W239" s="565"/>
      <c r="X239" s="564"/>
      <c r="Y239" s="519"/>
      <c r="Z239" s="519"/>
      <c r="AA239" s="409">
        <v>989</v>
      </c>
      <c r="AB239" s="557">
        <f t="shared" si="8"/>
        <v>249.22799999999995</v>
      </c>
      <c r="AC239" s="565"/>
      <c r="AD239" s="565"/>
      <c r="AE239" s="564"/>
      <c r="AF239" s="519"/>
      <c r="AG239" s="519"/>
    </row>
    <row r="240" spans="2:33" x14ac:dyDescent="0.25">
      <c r="B240" s="231">
        <v>38</v>
      </c>
      <c r="C240" s="506">
        <v>1</v>
      </c>
      <c r="D240" s="507" t="s">
        <v>298</v>
      </c>
      <c r="E240" s="508" t="s">
        <v>132</v>
      </c>
      <c r="F240" s="508" t="s">
        <v>116</v>
      </c>
      <c r="G240" s="509">
        <v>2</v>
      </c>
      <c r="H240" s="508" t="s">
        <v>691</v>
      </c>
      <c r="I240" s="508" t="s">
        <v>323</v>
      </c>
      <c r="J240" s="508" t="s">
        <v>709</v>
      </c>
      <c r="K240" s="510" t="s">
        <v>665</v>
      </c>
      <c r="L240" s="508" t="s">
        <v>122</v>
      </c>
      <c r="M240" s="510" t="s">
        <v>264</v>
      </c>
      <c r="N240" s="511">
        <v>124</v>
      </c>
      <c r="O240" s="511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08">
        <v>356.70000000000005</v>
      </c>
      <c r="U240" s="557">
        <f t="shared" si="9"/>
        <v>89.888400000000004</v>
      </c>
      <c r="V240" s="565"/>
      <c r="W240" s="565"/>
      <c r="X240" s="564"/>
      <c r="Y240" s="519"/>
      <c r="Z240" s="570">
        <f>AVERAGE(Z241:Z244)</f>
        <v>0.4200433366337909</v>
      </c>
      <c r="AA240" s="409">
        <v>989</v>
      </c>
      <c r="AB240" s="557">
        <f t="shared" si="8"/>
        <v>249.22799999999995</v>
      </c>
      <c r="AC240" s="565"/>
      <c r="AD240" s="565"/>
      <c r="AE240" s="564"/>
      <c r="AF240" s="519"/>
      <c r="AG240" s="570">
        <f>AVERAGE(AG241:AG244)</f>
        <v>0.21025813925780221</v>
      </c>
    </row>
    <row r="241" spans="2:33" x14ac:dyDescent="0.25">
      <c r="B241" s="231">
        <v>39</v>
      </c>
      <c r="C241" s="512">
        <v>1</v>
      </c>
      <c r="D241" s="513" t="s">
        <v>298</v>
      </c>
      <c r="E241" s="514" t="s">
        <v>132</v>
      </c>
      <c r="F241" s="514" t="s">
        <v>116</v>
      </c>
      <c r="G241" s="515">
        <v>2</v>
      </c>
      <c r="H241" s="514" t="s">
        <v>663</v>
      </c>
      <c r="I241" s="514" t="s">
        <v>681</v>
      </c>
      <c r="J241" s="514" t="s">
        <v>709</v>
      </c>
      <c r="K241" s="516" t="s">
        <v>665</v>
      </c>
      <c r="L241" s="514" t="s">
        <v>122</v>
      </c>
      <c r="M241" s="516" t="s">
        <v>264</v>
      </c>
      <c r="N241" s="517">
        <v>124</v>
      </c>
      <c r="O241" s="517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08">
        <v>294.7</v>
      </c>
      <c r="U241" s="557">
        <f t="shared" si="9"/>
        <v>74.264399999999995</v>
      </c>
      <c r="V241" s="565">
        <v>3757.32</v>
      </c>
      <c r="W241" s="564">
        <v>187.86600000000001</v>
      </c>
      <c r="X241" s="564">
        <v>37.573200000000007</v>
      </c>
      <c r="Y241" s="519">
        <v>150.2928</v>
      </c>
      <c r="Z241" s="569">
        <f>(Y241-U241)/Y241</f>
        <v>0.505868544600939</v>
      </c>
      <c r="AA241" s="409">
        <v>989</v>
      </c>
      <c r="AB241" s="557">
        <f t="shared" si="8"/>
        <v>249.22799999999995</v>
      </c>
      <c r="AC241" s="565">
        <v>7889.54</v>
      </c>
      <c r="AD241" s="564">
        <v>394.47699999999998</v>
      </c>
      <c r="AE241" s="564">
        <v>78.895399999999995</v>
      </c>
      <c r="AF241" s="519">
        <v>315.58159999999998</v>
      </c>
      <c r="AG241" s="569">
        <f>(AF241-AB241)/AF241</f>
        <v>0.21025813925780221</v>
      </c>
    </row>
    <row r="242" spans="2:33" x14ac:dyDescent="0.25">
      <c r="B242" s="231">
        <v>40</v>
      </c>
      <c r="C242" s="512">
        <v>1</v>
      </c>
      <c r="D242" s="513" t="s">
        <v>298</v>
      </c>
      <c r="E242" s="514" t="s">
        <v>132</v>
      </c>
      <c r="F242" s="514" t="s">
        <v>116</v>
      </c>
      <c r="G242" s="515">
        <v>2</v>
      </c>
      <c r="H242" s="514" t="s">
        <v>663</v>
      </c>
      <c r="I242" s="514" t="s">
        <v>685</v>
      </c>
      <c r="J242" s="514" t="s">
        <v>709</v>
      </c>
      <c r="K242" s="516" t="s">
        <v>665</v>
      </c>
      <c r="L242" s="514" t="s">
        <v>122</v>
      </c>
      <c r="M242" s="516" t="s">
        <v>264</v>
      </c>
      <c r="N242" s="517">
        <v>124</v>
      </c>
      <c r="O242" s="517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08">
        <v>351.1</v>
      </c>
      <c r="U242" s="557">
        <f t="shared" si="9"/>
        <v>88.477199999999996</v>
      </c>
      <c r="V242" s="565">
        <v>4154.6099999999997</v>
      </c>
      <c r="W242" s="564">
        <v>207.73049999999998</v>
      </c>
      <c r="X242" s="564">
        <v>41.546099999999996</v>
      </c>
      <c r="Y242" s="519">
        <v>166.18439999999998</v>
      </c>
      <c r="Z242" s="569">
        <f>(Y242-U242)/Y242</f>
        <v>0.4675962364698491</v>
      </c>
      <c r="AA242" s="409">
        <v>989</v>
      </c>
      <c r="AB242" s="557">
        <f t="shared" si="8"/>
        <v>249.22799999999995</v>
      </c>
      <c r="AC242" s="565">
        <v>7889.54</v>
      </c>
      <c r="AD242" s="564">
        <v>394.47699999999998</v>
      </c>
      <c r="AE242" s="564">
        <v>78.895399999999995</v>
      </c>
      <c r="AF242" s="519">
        <v>315.58159999999998</v>
      </c>
      <c r="AG242" s="569">
        <f>(AF242-AB242)/AF242</f>
        <v>0.21025813925780221</v>
      </c>
    </row>
    <row r="243" spans="2:33" x14ac:dyDescent="0.25">
      <c r="B243" s="231">
        <v>41</v>
      </c>
      <c r="C243" s="512">
        <v>1</v>
      </c>
      <c r="D243" s="513" t="s">
        <v>298</v>
      </c>
      <c r="E243" s="514" t="s">
        <v>132</v>
      </c>
      <c r="F243" s="514" t="s">
        <v>116</v>
      </c>
      <c r="G243" s="515">
        <v>2</v>
      </c>
      <c r="H243" s="514" t="s">
        <v>663</v>
      </c>
      <c r="I243" s="514" t="s">
        <v>687</v>
      </c>
      <c r="J243" s="514" t="s">
        <v>709</v>
      </c>
      <c r="K243" s="516" t="s">
        <v>665</v>
      </c>
      <c r="L243" s="514" t="s">
        <v>122</v>
      </c>
      <c r="M243" s="516" t="s">
        <v>264</v>
      </c>
      <c r="N243" s="517">
        <v>124</v>
      </c>
      <c r="O243" s="517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08">
        <v>418.70000000000005</v>
      </c>
      <c r="U243" s="557">
        <f t="shared" si="9"/>
        <v>105.5124</v>
      </c>
      <c r="V243" s="565">
        <v>4151.88</v>
      </c>
      <c r="W243" s="564">
        <v>207.59399999999999</v>
      </c>
      <c r="X243" s="564">
        <v>41.518799999999999</v>
      </c>
      <c r="Y243" s="519">
        <v>166.0752</v>
      </c>
      <c r="Z243" s="569">
        <f>(Y243-U243)/Y243</f>
        <v>0.36467094424694352</v>
      </c>
      <c r="AA243" s="409">
        <v>989</v>
      </c>
      <c r="AB243" s="557">
        <f t="shared" si="8"/>
        <v>249.22799999999995</v>
      </c>
      <c r="AC243" s="565">
        <v>7889.54</v>
      </c>
      <c r="AD243" s="564">
        <v>394.47699999999998</v>
      </c>
      <c r="AE243" s="564">
        <v>78.895399999999995</v>
      </c>
      <c r="AF243" s="519">
        <v>315.58159999999998</v>
      </c>
      <c r="AG243" s="569">
        <f>(AF243-AB243)/AF243</f>
        <v>0.21025813925780221</v>
      </c>
    </row>
    <row r="244" spans="2:33" x14ac:dyDescent="0.25">
      <c r="B244" s="231">
        <v>42</v>
      </c>
      <c r="C244" s="512">
        <v>1</v>
      </c>
      <c r="D244" s="513" t="s">
        <v>298</v>
      </c>
      <c r="E244" s="514" t="s">
        <v>132</v>
      </c>
      <c r="F244" s="514" t="s">
        <v>116</v>
      </c>
      <c r="G244" s="515">
        <v>2</v>
      </c>
      <c r="H244" s="514" t="s">
        <v>663</v>
      </c>
      <c r="I244" s="514" t="s">
        <v>689</v>
      </c>
      <c r="J244" s="514" t="s">
        <v>709</v>
      </c>
      <c r="K244" s="516" t="s">
        <v>665</v>
      </c>
      <c r="L244" s="514" t="s">
        <v>122</v>
      </c>
      <c r="M244" s="516" t="s">
        <v>264</v>
      </c>
      <c r="N244" s="517">
        <v>124</v>
      </c>
      <c r="O244" s="517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08">
        <v>482.70000000000005</v>
      </c>
      <c r="U244" s="557">
        <f t="shared" si="9"/>
        <v>121.64039999999999</v>
      </c>
      <c r="V244" s="565">
        <v>4621.8599999999997</v>
      </c>
      <c r="W244" s="564">
        <v>231.09299999999999</v>
      </c>
      <c r="X244" s="564">
        <v>46.218600000000002</v>
      </c>
      <c r="Y244" s="519">
        <v>184.87439999999998</v>
      </c>
      <c r="Z244" s="569">
        <f>(Y244-U244)/Y244</f>
        <v>0.34203762121743198</v>
      </c>
      <c r="AA244" s="409">
        <v>989</v>
      </c>
      <c r="AB244" s="557">
        <f t="shared" si="8"/>
        <v>249.22799999999995</v>
      </c>
      <c r="AC244" s="565">
        <v>7889.54</v>
      </c>
      <c r="AD244" s="564">
        <v>394.47699999999998</v>
      </c>
      <c r="AE244" s="564">
        <v>78.895399999999995</v>
      </c>
      <c r="AF244" s="519">
        <v>315.58159999999998</v>
      </c>
      <c r="AG244" s="569">
        <f>(AF244-AB244)/AF244</f>
        <v>0.21025813925780221</v>
      </c>
    </row>
    <row r="245" spans="2:33" x14ac:dyDescent="0.25">
      <c r="B245" s="231">
        <v>43</v>
      </c>
      <c r="C245" s="550">
        <v>1</v>
      </c>
      <c r="D245" s="551" t="s">
        <v>298</v>
      </c>
      <c r="E245" s="552" t="s">
        <v>132</v>
      </c>
      <c r="F245" s="552" t="s">
        <v>116</v>
      </c>
      <c r="G245" s="553">
        <v>2</v>
      </c>
      <c r="H245" s="552" t="s">
        <v>187</v>
      </c>
      <c r="I245" s="552" t="s">
        <v>323</v>
      </c>
      <c r="J245" s="552" t="s">
        <v>709</v>
      </c>
      <c r="K245" s="554" t="s">
        <v>665</v>
      </c>
      <c r="L245" s="552" t="s">
        <v>122</v>
      </c>
      <c r="M245" s="554" t="s">
        <v>264</v>
      </c>
      <c r="N245" s="555">
        <v>150</v>
      </c>
      <c r="O245" s="555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08">
        <v>241.8</v>
      </c>
      <c r="U245" s="557">
        <f t="shared" si="9"/>
        <v>60.933599999999998</v>
      </c>
      <c r="V245" s="565"/>
      <c r="W245" s="565"/>
      <c r="X245" s="564"/>
      <c r="Y245" s="519"/>
      <c r="Z245" s="519"/>
      <c r="AA245" s="409">
        <v>1194.95</v>
      </c>
      <c r="AB245" s="557">
        <f t="shared" si="8"/>
        <v>301.12740000000002</v>
      </c>
      <c r="AC245" s="565"/>
      <c r="AD245" s="565"/>
      <c r="AE245" s="564"/>
      <c r="AF245" s="519"/>
      <c r="AG245" s="519"/>
    </row>
    <row r="246" spans="2:33" x14ac:dyDescent="0.25">
      <c r="B246" s="231">
        <v>44</v>
      </c>
      <c r="C246" s="506">
        <v>1</v>
      </c>
      <c r="D246" s="507" t="s">
        <v>298</v>
      </c>
      <c r="E246" s="508" t="s">
        <v>132</v>
      </c>
      <c r="F246" s="508" t="s">
        <v>116</v>
      </c>
      <c r="G246" s="509">
        <v>2</v>
      </c>
      <c r="H246" s="508" t="s">
        <v>691</v>
      </c>
      <c r="I246" s="508" t="s">
        <v>323</v>
      </c>
      <c r="J246" s="508" t="s">
        <v>709</v>
      </c>
      <c r="K246" s="510" t="s">
        <v>665</v>
      </c>
      <c r="L246" s="508" t="s">
        <v>122</v>
      </c>
      <c r="M246" s="510" t="s">
        <v>264</v>
      </c>
      <c r="N246" s="511">
        <v>150</v>
      </c>
      <c r="O246" s="511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08">
        <v>433.40000000000003</v>
      </c>
      <c r="U246" s="557">
        <f t="shared" si="9"/>
        <v>109.21679999999999</v>
      </c>
      <c r="V246" s="565"/>
      <c r="W246" s="565"/>
      <c r="X246" s="564"/>
      <c r="Y246" s="519"/>
      <c r="Z246" s="570">
        <f>AVERAGE(Z247:Z250)</f>
        <v>0.42394968512632569</v>
      </c>
      <c r="AA246" s="409">
        <v>1194.95</v>
      </c>
      <c r="AB246" s="557">
        <f t="shared" si="8"/>
        <v>301.12740000000002</v>
      </c>
      <c r="AC246" s="565"/>
      <c r="AD246" s="565"/>
      <c r="AE246" s="564"/>
      <c r="AF246" s="519"/>
      <c r="AG246" s="570">
        <f>AVERAGE(AG247:AG250)</f>
        <v>0.11011732025178039</v>
      </c>
    </row>
    <row r="247" spans="2:33" x14ac:dyDescent="0.25">
      <c r="B247" s="231">
        <v>45</v>
      </c>
      <c r="C247" s="512">
        <v>1</v>
      </c>
      <c r="D247" s="513" t="s">
        <v>298</v>
      </c>
      <c r="E247" s="514" t="s">
        <v>132</v>
      </c>
      <c r="F247" s="514" t="s">
        <v>116</v>
      </c>
      <c r="G247" s="515">
        <v>2</v>
      </c>
      <c r="H247" s="514" t="s">
        <v>663</v>
      </c>
      <c r="I247" s="514" t="s">
        <v>681</v>
      </c>
      <c r="J247" s="514" t="s">
        <v>709</v>
      </c>
      <c r="K247" s="516" t="s">
        <v>665</v>
      </c>
      <c r="L247" s="514" t="s">
        <v>122</v>
      </c>
      <c r="M247" s="516" t="s">
        <v>264</v>
      </c>
      <c r="N247" s="517">
        <v>150</v>
      </c>
      <c r="O247" s="517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08">
        <v>357.85</v>
      </c>
      <c r="U247" s="557">
        <f t="shared" si="9"/>
        <v>90.17819999999999</v>
      </c>
      <c r="V247" s="565">
        <v>4597.5600000000004</v>
      </c>
      <c r="W247" s="564">
        <v>229.87800000000001</v>
      </c>
      <c r="X247" s="564">
        <v>45.975600000000007</v>
      </c>
      <c r="Y247" s="519">
        <v>183.9024</v>
      </c>
      <c r="Z247" s="569">
        <f>(Y247-U247)/Y247</f>
        <v>0.50964098347819287</v>
      </c>
      <c r="AA247" s="409">
        <v>1194.95</v>
      </c>
      <c r="AB247" s="557">
        <f t="shared" si="8"/>
        <v>301.12740000000002</v>
      </c>
      <c r="AC247" s="565">
        <v>8459.75</v>
      </c>
      <c r="AD247" s="564">
        <v>422.98750000000001</v>
      </c>
      <c r="AE247" s="564">
        <v>84.597500000000011</v>
      </c>
      <c r="AF247" s="519">
        <v>338.39</v>
      </c>
      <c r="AG247" s="569">
        <f>(AF247-AB247)/AF247</f>
        <v>0.11011732025178039</v>
      </c>
    </row>
    <row r="248" spans="2:33" x14ac:dyDescent="0.25">
      <c r="B248" s="231">
        <v>46</v>
      </c>
      <c r="C248" s="512">
        <v>1</v>
      </c>
      <c r="D248" s="513" t="s">
        <v>298</v>
      </c>
      <c r="E248" s="514" t="s">
        <v>132</v>
      </c>
      <c r="F248" s="514" t="s">
        <v>116</v>
      </c>
      <c r="G248" s="515">
        <v>2</v>
      </c>
      <c r="H248" s="514" t="s">
        <v>663</v>
      </c>
      <c r="I248" s="514" t="s">
        <v>685</v>
      </c>
      <c r="J248" s="514" t="s">
        <v>709</v>
      </c>
      <c r="K248" s="516" t="s">
        <v>665</v>
      </c>
      <c r="L248" s="514" t="s">
        <v>122</v>
      </c>
      <c r="M248" s="516" t="s">
        <v>264</v>
      </c>
      <c r="N248" s="517">
        <v>150</v>
      </c>
      <c r="O248" s="517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08">
        <v>426.6</v>
      </c>
      <c r="U248" s="557">
        <f t="shared" si="9"/>
        <v>107.50319999999999</v>
      </c>
      <c r="V248" s="565">
        <v>5083.62</v>
      </c>
      <c r="W248" s="564">
        <v>254.18099999999998</v>
      </c>
      <c r="X248" s="564">
        <v>50.836199999999998</v>
      </c>
      <c r="Y248" s="519">
        <v>203.34479999999999</v>
      </c>
      <c r="Z248" s="569">
        <f>(Y248-U248)/Y248</f>
        <v>0.47132555147709704</v>
      </c>
      <c r="AA248" s="409">
        <v>1194.95</v>
      </c>
      <c r="AB248" s="557">
        <f t="shared" si="8"/>
        <v>301.12740000000002</v>
      </c>
      <c r="AC248" s="565">
        <v>8459.75</v>
      </c>
      <c r="AD248" s="564">
        <v>422.98750000000001</v>
      </c>
      <c r="AE248" s="564">
        <v>84.597500000000011</v>
      </c>
      <c r="AF248" s="519">
        <v>338.39</v>
      </c>
      <c r="AG248" s="569">
        <f>(AF248-AB248)/AF248</f>
        <v>0.11011732025178039</v>
      </c>
    </row>
    <row r="249" spans="2:33" x14ac:dyDescent="0.25">
      <c r="B249" s="231">
        <v>47</v>
      </c>
      <c r="C249" s="512">
        <v>1</v>
      </c>
      <c r="D249" s="513" t="s">
        <v>298</v>
      </c>
      <c r="E249" s="514" t="s">
        <v>132</v>
      </c>
      <c r="F249" s="514" t="s">
        <v>116</v>
      </c>
      <c r="G249" s="515">
        <v>2</v>
      </c>
      <c r="H249" s="514" t="s">
        <v>663</v>
      </c>
      <c r="I249" s="514" t="s">
        <v>687</v>
      </c>
      <c r="J249" s="514" t="s">
        <v>709</v>
      </c>
      <c r="K249" s="516" t="s">
        <v>665</v>
      </c>
      <c r="L249" s="514" t="s">
        <v>122</v>
      </c>
      <c r="M249" s="516" t="s">
        <v>264</v>
      </c>
      <c r="N249" s="517">
        <v>150</v>
      </c>
      <c r="O249" s="517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08">
        <v>508.95000000000005</v>
      </c>
      <c r="U249" s="557">
        <f t="shared" si="9"/>
        <v>128.25539999999998</v>
      </c>
      <c r="V249" s="565">
        <v>5079.53</v>
      </c>
      <c r="W249" s="564">
        <v>253.97649999999999</v>
      </c>
      <c r="X249" s="564">
        <v>50.795299999999997</v>
      </c>
      <c r="Y249" s="519">
        <v>203.18119999999999</v>
      </c>
      <c r="Z249" s="569">
        <f>(Y249-U249)/Y249</f>
        <v>0.36876344858677879</v>
      </c>
      <c r="AA249" s="409">
        <v>1194.95</v>
      </c>
      <c r="AB249" s="557">
        <f t="shared" si="8"/>
        <v>301.12740000000002</v>
      </c>
      <c r="AC249" s="565">
        <v>8459.75</v>
      </c>
      <c r="AD249" s="564">
        <v>422.98750000000001</v>
      </c>
      <c r="AE249" s="564">
        <v>84.597500000000011</v>
      </c>
      <c r="AF249" s="519">
        <v>338.39</v>
      </c>
      <c r="AG249" s="569">
        <f>(AF249-AB249)/AF249</f>
        <v>0.11011732025178039</v>
      </c>
    </row>
    <row r="250" spans="2:33" x14ac:dyDescent="0.25">
      <c r="B250" s="231">
        <v>48</v>
      </c>
      <c r="C250" s="512">
        <v>1</v>
      </c>
      <c r="D250" s="513" t="s">
        <v>298</v>
      </c>
      <c r="E250" s="514" t="s">
        <v>132</v>
      </c>
      <c r="F250" s="514" t="s">
        <v>116</v>
      </c>
      <c r="G250" s="515">
        <v>2</v>
      </c>
      <c r="H250" s="514" t="s">
        <v>663</v>
      </c>
      <c r="I250" s="514" t="s">
        <v>689</v>
      </c>
      <c r="J250" s="514" t="s">
        <v>709</v>
      </c>
      <c r="K250" s="516" t="s">
        <v>665</v>
      </c>
      <c r="L250" s="514" t="s">
        <v>122</v>
      </c>
      <c r="M250" s="516" t="s">
        <v>264</v>
      </c>
      <c r="N250" s="517">
        <v>150</v>
      </c>
      <c r="O250" s="517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08">
        <v>586.95000000000005</v>
      </c>
      <c r="U250" s="557">
        <f t="shared" si="9"/>
        <v>147.91139999999999</v>
      </c>
      <c r="V250" s="565">
        <v>5654.7</v>
      </c>
      <c r="W250" s="564">
        <v>282.73500000000001</v>
      </c>
      <c r="X250" s="564">
        <v>56.547000000000004</v>
      </c>
      <c r="Y250" s="519">
        <v>226.18800000000002</v>
      </c>
      <c r="Z250" s="569">
        <f>(Y250-U250)/Y250</f>
        <v>0.34606875696323425</v>
      </c>
      <c r="AA250" s="409">
        <v>1194.95</v>
      </c>
      <c r="AB250" s="557">
        <f t="shared" si="8"/>
        <v>301.12740000000002</v>
      </c>
      <c r="AC250" s="565">
        <v>8459.75</v>
      </c>
      <c r="AD250" s="564">
        <v>422.98750000000001</v>
      </c>
      <c r="AE250" s="564">
        <v>84.597500000000011</v>
      </c>
      <c r="AF250" s="519">
        <v>338.39</v>
      </c>
      <c r="AG250" s="569">
        <f>(AF250-AB250)/AF250</f>
        <v>0.11011732025178039</v>
      </c>
    </row>
    <row r="252" spans="2:33" x14ac:dyDescent="0.25">
      <c r="B252" s="230">
        <v>1</v>
      </c>
      <c r="C252" s="544">
        <v>1</v>
      </c>
      <c r="D252" s="545" t="s">
        <v>298</v>
      </c>
      <c r="E252" s="546" t="s">
        <v>131</v>
      </c>
      <c r="F252" s="546" t="s">
        <v>136</v>
      </c>
      <c r="G252" s="547">
        <v>2</v>
      </c>
      <c r="H252" s="546" t="s">
        <v>187</v>
      </c>
      <c r="I252" s="546" t="s">
        <v>321</v>
      </c>
      <c r="J252" s="546" t="s">
        <v>709</v>
      </c>
      <c r="K252" s="548" t="s">
        <v>664</v>
      </c>
      <c r="L252" s="546" t="s">
        <v>122</v>
      </c>
      <c r="M252" s="548" t="s">
        <v>264</v>
      </c>
      <c r="N252" s="549">
        <v>72</v>
      </c>
      <c r="O252" s="549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08">
        <v>189.5</v>
      </c>
      <c r="U252" s="557">
        <f t="shared" ref="U252:U299" si="10">T252*0.7*0.6*0.6</f>
        <v>47.753999999999998</v>
      </c>
      <c r="V252" s="564"/>
      <c r="W252" s="564"/>
      <c r="X252" s="564"/>
      <c r="Y252" s="519"/>
      <c r="Z252" s="631">
        <f>AVERAGE(Z254:Z257,Z260:Z263,Z266:Z269,Z272:Z275)</f>
        <v>0.46117011109019035</v>
      </c>
      <c r="AA252" s="409">
        <v>577.1</v>
      </c>
      <c r="AB252" s="557">
        <f t="shared" ref="AB252:AB299" si="11">AA252*0.7*0.6*0.6</f>
        <v>145.42919999999998</v>
      </c>
      <c r="AC252" s="564"/>
      <c r="AD252" s="564"/>
      <c r="AE252" s="564"/>
      <c r="AF252" s="519"/>
      <c r="AG252" s="631">
        <f>AVERAGE(AG254:AG257,AG260:AG263,AG266:AG269,AG272:AG275)</f>
        <v>0.23489928623448647</v>
      </c>
    </row>
    <row r="253" spans="2:33" x14ac:dyDescent="0.25">
      <c r="B253" s="231">
        <v>2</v>
      </c>
      <c r="C253" s="538">
        <v>1</v>
      </c>
      <c r="D253" s="539" t="s">
        <v>298</v>
      </c>
      <c r="E253" s="540" t="s">
        <v>131</v>
      </c>
      <c r="F253" s="540" t="s">
        <v>136</v>
      </c>
      <c r="G253" s="541">
        <v>2</v>
      </c>
      <c r="H253" s="540" t="s">
        <v>691</v>
      </c>
      <c r="I253" s="540" t="s">
        <v>321</v>
      </c>
      <c r="J253" s="540" t="s">
        <v>709</v>
      </c>
      <c r="K253" s="542" t="s">
        <v>664</v>
      </c>
      <c r="L253" s="540" t="s">
        <v>122</v>
      </c>
      <c r="M253" s="542" t="s">
        <v>264</v>
      </c>
      <c r="N253" s="543">
        <v>72</v>
      </c>
      <c r="O253" s="543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08">
        <v>382.70000000000005</v>
      </c>
      <c r="U253" s="557">
        <f t="shared" si="10"/>
        <v>96.440399999999997</v>
      </c>
      <c r="V253" s="564"/>
      <c r="W253" s="564"/>
      <c r="X253" s="564"/>
      <c r="Y253" s="519"/>
      <c r="Z253" s="570">
        <f>AVERAGE(Z254:Z257)</f>
        <v>0.49950137578629744</v>
      </c>
      <c r="AA253" s="409">
        <v>577.1</v>
      </c>
      <c r="AB253" s="557">
        <f t="shared" si="11"/>
        <v>145.42919999999998</v>
      </c>
      <c r="AC253" s="564"/>
      <c r="AD253" s="564"/>
      <c r="AE253" s="564"/>
      <c r="AF253" s="519"/>
      <c r="AG253" s="570">
        <f>AVERAGE(AG254:AG257)</f>
        <v>0.46212635643432531</v>
      </c>
    </row>
    <row r="254" spans="2:33" x14ac:dyDescent="0.25">
      <c r="B254" s="231">
        <v>3</v>
      </c>
      <c r="C254" s="500">
        <v>1</v>
      </c>
      <c r="D254" s="501" t="s">
        <v>298</v>
      </c>
      <c r="E254" s="502" t="s">
        <v>131</v>
      </c>
      <c r="F254" s="502" t="s">
        <v>136</v>
      </c>
      <c r="G254" s="503">
        <v>2</v>
      </c>
      <c r="H254" s="502" t="s">
        <v>663</v>
      </c>
      <c r="I254" s="502" t="s">
        <v>674</v>
      </c>
      <c r="J254" s="502" t="s">
        <v>709</v>
      </c>
      <c r="K254" s="504" t="s">
        <v>664</v>
      </c>
      <c r="L254" s="502" t="s">
        <v>122</v>
      </c>
      <c r="M254" s="504" t="s">
        <v>264</v>
      </c>
      <c r="N254" s="505">
        <v>72</v>
      </c>
      <c r="O254" s="505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08">
        <v>225.4</v>
      </c>
      <c r="U254" s="557">
        <f t="shared" si="10"/>
        <v>56.800799999999995</v>
      </c>
      <c r="V254" s="565">
        <v>2981.05</v>
      </c>
      <c r="W254" s="564">
        <v>149.05250000000001</v>
      </c>
      <c r="X254" s="564">
        <v>29.810500000000005</v>
      </c>
      <c r="Y254" s="519">
        <v>119.242</v>
      </c>
      <c r="Z254" s="569">
        <f>(Y254-U254)/Y254</f>
        <v>0.52365106254507643</v>
      </c>
      <c r="AA254" s="409">
        <v>577.1</v>
      </c>
      <c r="AB254" s="557">
        <f t="shared" si="11"/>
        <v>145.42919999999998</v>
      </c>
      <c r="AC254" s="565">
        <v>6759.45</v>
      </c>
      <c r="AD254" s="564">
        <v>337.97249999999997</v>
      </c>
      <c r="AE254" s="564">
        <v>67.594499999999996</v>
      </c>
      <c r="AF254" s="519">
        <v>270.37799999999999</v>
      </c>
      <c r="AG254" s="569">
        <f>(AF254-AB254)/AF254</f>
        <v>0.46212635643432531</v>
      </c>
    </row>
    <row r="255" spans="2:33" x14ac:dyDescent="0.25">
      <c r="B255" s="231">
        <v>4</v>
      </c>
      <c r="C255" s="500">
        <v>1</v>
      </c>
      <c r="D255" s="501" t="s">
        <v>298</v>
      </c>
      <c r="E255" s="502" t="s">
        <v>131</v>
      </c>
      <c r="F255" s="502" t="s">
        <v>136</v>
      </c>
      <c r="G255" s="503">
        <v>2</v>
      </c>
      <c r="H255" s="502" t="s">
        <v>663</v>
      </c>
      <c r="I255" s="502" t="s">
        <v>675</v>
      </c>
      <c r="J255" s="502" t="s">
        <v>709</v>
      </c>
      <c r="K255" s="504" t="s">
        <v>664</v>
      </c>
      <c r="L255" s="502" t="s">
        <v>122</v>
      </c>
      <c r="M255" s="504" t="s">
        <v>264</v>
      </c>
      <c r="N255" s="505">
        <v>72</v>
      </c>
      <c r="O255" s="505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08">
        <v>313</v>
      </c>
      <c r="U255" s="557">
        <f t="shared" si="10"/>
        <v>78.875999999999991</v>
      </c>
      <c r="V255" s="565">
        <v>4206.6000000000004</v>
      </c>
      <c r="W255" s="564">
        <v>210.33</v>
      </c>
      <c r="X255" s="564">
        <v>42.066000000000003</v>
      </c>
      <c r="Y255" s="519">
        <v>168.26400000000001</v>
      </c>
      <c r="Z255" s="569">
        <f>(Y255-U255)/Y255</f>
        <v>0.53123662815575534</v>
      </c>
      <c r="AA255" s="409">
        <v>577.1</v>
      </c>
      <c r="AB255" s="557">
        <f t="shared" si="11"/>
        <v>145.42919999999998</v>
      </c>
      <c r="AC255" s="565">
        <v>6759.45</v>
      </c>
      <c r="AD255" s="564">
        <v>337.97249999999997</v>
      </c>
      <c r="AE255" s="564">
        <v>67.594499999999996</v>
      </c>
      <c r="AF255" s="519">
        <v>270.37799999999999</v>
      </c>
      <c r="AG255" s="569">
        <f>(AF255-AB255)/AF255</f>
        <v>0.46212635643432531</v>
      </c>
    </row>
    <row r="256" spans="2:33" x14ac:dyDescent="0.25">
      <c r="B256" s="231">
        <v>5</v>
      </c>
      <c r="C256" s="500">
        <v>1</v>
      </c>
      <c r="D256" s="501" t="s">
        <v>298</v>
      </c>
      <c r="E256" s="502" t="s">
        <v>131</v>
      </c>
      <c r="F256" s="502" t="s">
        <v>136</v>
      </c>
      <c r="G256" s="503">
        <v>2</v>
      </c>
      <c r="H256" s="502" t="s">
        <v>663</v>
      </c>
      <c r="I256" s="502" t="s">
        <v>676</v>
      </c>
      <c r="J256" s="502" t="s">
        <v>709</v>
      </c>
      <c r="K256" s="504" t="s">
        <v>664</v>
      </c>
      <c r="L256" s="502" t="s">
        <v>122</v>
      </c>
      <c r="M256" s="504" t="s">
        <v>264</v>
      </c>
      <c r="N256" s="505">
        <v>72</v>
      </c>
      <c r="O256" s="505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08">
        <v>335.05</v>
      </c>
      <c r="U256" s="557">
        <f t="shared" si="10"/>
        <v>84.432599999999994</v>
      </c>
      <c r="V256" s="565">
        <v>4359.54</v>
      </c>
      <c r="W256" s="564">
        <v>217.977</v>
      </c>
      <c r="X256" s="564">
        <v>43.595400000000005</v>
      </c>
      <c r="Y256" s="519">
        <v>174.38159999999999</v>
      </c>
      <c r="Z256" s="569">
        <f>(Y256-U256)/Y256</f>
        <v>0.51581703574230309</v>
      </c>
      <c r="AA256" s="409">
        <v>577.1</v>
      </c>
      <c r="AB256" s="557">
        <f t="shared" si="11"/>
        <v>145.42919999999998</v>
      </c>
      <c r="AC256" s="565">
        <v>6759.45</v>
      </c>
      <c r="AD256" s="564">
        <v>337.97249999999997</v>
      </c>
      <c r="AE256" s="564">
        <v>67.594499999999996</v>
      </c>
      <c r="AF256" s="519">
        <v>270.37799999999999</v>
      </c>
      <c r="AG256" s="569">
        <f>(AF256-AB256)/AF256</f>
        <v>0.46212635643432531</v>
      </c>
    </row>
    <row r="257" spans="2:33" x14ac:dyDescent="0.25">
      <c r="B257" s="231">
        <v>6</v>
      </c>
      <c r="C257" s="500">
        <v>1</v>
      </c>
      <c r="D257" s="501" t="s">
        <v>298</v>
      </c>
      <c r="E257" s="502" t="s">
        <v>131</v>
      </c>
      <c r="F257" s="502" t="s">
        <v>136</v>
      </c>
      <c r="G257" s="503">
        <v>2</v>
      </c>
      <c r="H257" s="502" t="s">
        <v>663</v>
      </c>
      <c r="I257" s="502" t="s">
        <v>677</v>
      </c>
      <c r="J257" s="502" t="s">
        <v>709</v>
      </c>
      <c r="K257" s="504" t="s">
        <v>664</v>
      </c>
      <c r="L257" s="502" t="s">
        <v>122</v>
      </c>
      <c r="M257" s="504" t="s">
        <v>264</v>
      </c>
      <c r="N257" s="505">
        <v>72</v>
      </c>
      <c r="O257" s="505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08">
        <v>408.35</v>
      </c>
      <c r="U257" s="557">
        <f t="shared" si="10"/>
        <v>102.90419999999999</v>
      </c>
      <c r="V257" s="565">
        <v>4492.07</v>
      </c>
      <c r="W257" s="564">
        <v>224.6035</v>
      </c>
      <c r="X257" s="564">
        <v>44.920700000000004</v>
      </c>
      <c r="Y257" s="519">
        <v>179.68279999999999</v>
      </c>
      <c r="Z257" s="569">
        <f>(Y257-U257)/Y257</f>
        <v>0.42730077670205496</v>
      </c>
      <c r="AA257" s="409">
        <v>577.1</v>
      </c>
      <c r="AB257" s="557">
        <f t="shared" si="11"/>
        <v>145.42919999999998</v>
      </c>
      <c r="AC257" s="565">
        <v>6759.45</v>
      </c>
      <c r="AD257" s="564">
        <v>337.97249999999997</v>
      </c>
      <c r="AE257" s="564">
        <v>67.594499999999996</v>
      </c>
      <c r="AF257" s="519">
        <v>270.37799999999999</v>
      </c>
      <c r="AG257" s="569">
        <f>(AF257-AB257)/AF257</f>
        <v>0.46212635643432531</v>
      </c>
    </row>
    <row r="258" spans="2:33" x14ac:dyDescent="0.25">
      <c r="B258" s="231">
        <v>7</v>
      </c>
      <c r="C258" s="544">
        <v>1</v>
      </c>
      <c r="D258" s="545" t="s">
        <v>298</v>
      </c>
      <c r="E258" s="546" t="s">
        <v>131</v>
      </c>
      <c r="F258" s="546" t="s">
        <v>136</v>
      </c>
      <c r="G258" s="547">
        <v>2</v>
      </c>
      <c r="H258" s="546" t="s">
        <v>187</v>
      </c>
      <c r="I258" s="546" t="s">
        <v>321</v>
      </c>
      <c r="J258" s="546" t="s">
        <v>709</v>
      </c>
      <c r="K258" s="548" t="s">
        <v>664</v>
      </c>
      <c r="L258" s="546" t="s">
        <v>122</v>
      </c>
      <c r="M258" s="548" t="s">
        <v>264</v>
      </c>
      <c r="N258" s="549">
        <v>98</v>
      </c>
      <c r="O258" s="549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08">
        <v>253.85000000000002</v>
      </c>
      <c r="U258" s="557">
        <f t="shared" si="10"/>
        <v>63.970199999999991</v>
      </c>
      <c r="V258" s="565"/>
      <c r="W258" s="565"/>
      <c r="X258" s="564"/>
      <c r="Y258" s="519"/>
      <c r="Z258" s="519"/>
      <c r="AA258" s="409">
        <v>783.05000000000007</v>
      </c>
      <c r="AB258" s="557">
        <f t="shared" si="11"/>
        <v>197.32859999999997</v>
      </c>
      <c r="AC258" s="565"/>
      <c r="AD258" s="565"/>
      <c r="AE258" s="564"/>
      <c r="AF258" s="519"/>
      <c r="AG258" s="519"/>
    </row>
    <row r="259" spans="2:33" x14ac:dyDescent="0.25">
      <c r="B259" s="231">
        <v>8</v>
      </c>
      <c r="C259" s="538">
        <v>1</v>
      </c>
      <c r="D259" s="539" t="s">
        <v>298</v>
      </c>
      <c r="E259" s="540" t="s">
        <v>131</v>
      </c>
      <c r="F259" s="540" t="s">
        <v>136</v>
      </c>
      <c r="G259" s="541">
        <v>2</v>
      </c>
      <c r="H259" s="540" t="s">
        <v>691</v>
      </c>
      <c r="I259" s="540" t="s">
        <v>321</v>
      </c>
      <c r="J259" s="540" t="s">
        <v>709</v>
      </c>
      <c r="K259" s="542" t="s">
        <v>664</v>
      </c>
      <c r="L259" s="540" t="s">
        <v>122</v>
      </c>
      <c r="M259" s="542" t="s">
        <v>264</v>
      </c>
      <c r="N259" s="543">
        <v>98</v>
      </c>
      <c r="O259" s="543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08">
        <v>513</v>
      </c>
      <c r="U259" s="557">
        <f t="shared" si="10"/>
        <v>129.27599999999998</v>
      </c>
      <c r="V259" s="565"/>
      <c r="W259" s="565"/>
      <c r="X259" s="564"/>
      <c r="Y259" s="519"/>
      <c r="Z259" s="570">
        <f>AVERAGE(Z260:Z263)</f>
        <v>0.4637214602727881</v>
      </c>
      <c r="AA259" s="409">
        <v>783.05000000000007</v>
      </c>
      <c r="AB259" s="557">
        <f t="shared" si="11"/>
        <v>197.32859999999997</v>
      </c>
      <c r="AC259" s="565"/>
      <c r="AD259" s="565"/>
      <c r="AE259" s="564"/>
      <c r="AF259" s="519"/>
      <c r="AG259" s="570">
        <f>AVERAGE(AG260:AG263)</f>
        <v>0.29475225911042302</v>
      </c>
    </row>
    <row r="260" spans="2:33" x14ac:dyDescent="0.25">
      <c r="B260" s="231">
        <v>9</v>
      </c>
      <c r="C260" s="500">
        <v>1</v>
      </c>
      <c r="D260" s="501" t="s">
        <v>298</v>
      </c>
      <c r="E260" s="502" t="s">
        <v>131</v>
      </c>
      <c r="F260" s="502" t="s">
        <v>136</v>
      </c>
      <c r="G260" s="503">
        <v>2</v>
      </c>
      <c r="H260" s="502" t="s">
        <v>663</v>
      </c>
      <c r="I260" s="502" t="s">
        <v>674</v>
      </c>
      <c r="J260" s="502" t="s">
        <v>709</v>
      </c>
      <c r="K260" s="504" t="s">
        <v>664</v>
      </c>
      <c r="L260" s="502" t="s">
        <v>122</v>
      </c>
      <c r="M260" s="504" t="s">
        <v>264</v>
      </c>
      <c r="N260" s="505">
        <v>98</v>
      </c>
      <c r="O260" s="505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08">
        <v>301.95</v>
      </c>
      <c r="U260" s="557">
        <f t="shared" si="10"/>
        <v>76.091399999999993</v>
      </c>
      <c r="V260" s="565">
        <v>3725.63</v>
      </c>
      <c r="W260" s="564">
        <v>186.28149999999999</v>
      </c>
      <c r="X260" s="564">
        <v>37.256300000000003</v>
      </c>
      <c r="Y260" s="519">
        <v>149.02519999999998</v>
      </c>
      <c r="Z260" s="569">
        <f>(Y260-U260)/Y260</f>
        <v>0.48940581861322779</v>
      </c>
      <c r="AA260" s="409">
        <v>783.05000000000007</v>
      </c>
      <c r="AB260" s="557">
        <f t="shared" si="11"/>
        <v>197.32859999999997</v>
      </c>
      <c r="AC260" s="565">
        <v>6995.0099999999993</v>
      </c>
      <c r="AD260" s="564">
        <v>349.75049999999999</v>
      </c>
      <c r="AE260" s="564">
        <v>69.950100000000006</v>
      </c>
      <c r="AF260" s="519">
        <v>279.80039999999997</v>
      </c>
      <c r="AG260" s="569">
        <f>(AF260-AB260)/AF260</f>
        <v>0.29475225911042302</v>
      </c>
    </row>
    <row r="261" spans="2:33" x14ac:dyDescent="0.25">
      <c r="B261" s="231">
        <v>10</v>
      </c>
      <c r="C261" s="500">
        <v>1</v>
      </c>
      <c r="D261" s="501" t="s">
        <v>298</v>
      </c>
      <c r="E261" s="502" t="s">
        <v>131</v>
      </c>
      <c r="F261" s="502" t="s">
        <v>136</v>
      </c>
      <c r="G261" s="503">
        <v>2</v>
      </c>
      <c r="H261" s="502" t="s">
        <v>663</v>
      </c>
      <c r="I261" s="502" t="s">
        <v>675</v>
      </c>
      <c r="J261" s="502" t="s">
        <v>709</v>
      </c>
      <c r="K261" s="504" t="s">
        <v>664</v>
      </c>
      <c r="L261" s="502" t="s">
        <v>122</v>
      </c>
      <c r="M261" s="504" t="s">
        <v>264</v>
      </c>
      <c r="N261" s="505">
        <v>98</v>
      </c>
      <c r="O261" s="505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08">
        <v>419.5</v>
      </c>
      <c r="U261" s="557">
        <f t="shared" si="10"/>
        <v>105.71399999999998</v>
      </c>
      <c r="V261" s="565">
        <v>5262.84</v>
      </c>
      <c r="W261" s="564">
        <v>263.142</v>
      </c>
      <c r="X261" s="564">
        <v>52.628399999999999</v>
      </c>
      <c r="Y261" s="519">
        <v>210.5136</v>
      </c>
      <c r="Z261" s="569">
        <f>(Y261-U261)/Y261</f>
        <v>0.49782816882139685</v>
      </c>
      <c r="AA261" s="409">
        <v>783.05000000000007</v>
      </c>
      <c r="AB261" s="557">
        <f t="shared" si="11"/>
        <v>197.32859999999997</v>
      </c>
      <c r="AC261" s="565">
        <v>6995.0099999999993</v>
      </c>
      <c r="AD261" s="564">
        <v>349.75049999999999</v>
      </c>
      <c r="AE261" s="564">
        <v>69.950100000000006</v>
      </c>
      <c r="AF261" s="519">
        <v>279.80039999999997</v>
      </c>
      <c r="AG261" s="569">
        <f>(AF261-AB261)/AF261</f>
        <v>0.29475225911042302</v>
      </c>
    </row>
    <row r="262" spans="2:33" x14ac:dyDescent="0.25">
      <c r="B262" s="231">
        <v>11</v>
      </c>
      <c r="C262" s="500">
        <v>1</v>
      </c>
      <c r="D262" s="501" t="s">
        <v>298</v>
      </c>
      <c r="E262" s="502" t="s">
        <v>131</v>
      </c>
      <c r="F262" s="502" t="s">
        <v>136</v>
      </c>
      <c r="G262" s="503">
        <v>2</v>
      </c>
      <c r="H262" s="502" t="s">
        <v>663</v>
      </c>
      <c r="I262" s="502" t="s">
        <v>676</v>
      </c>
      <c r="J262" s="502" t="s">
        <v>709</v>
      </c>
      <c r="K262" s="504" t="s">
        <v>664</v>
      </c>
      <c r="L262" s="502" t="s">
        <v>122</v>
      </c>
      <c r="M262" s="504" t="s">
        <v>264</v>
      </c>
      <c r="N262" s="505">
        <v>98</v>
      </c>
      <c r="O262" s="505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08">
        <v>449.1</v>
      </c>
      <c r="U262" s="557">
        <f t="shared" si="10"/>
        <v>113.17319999999999</v>
      </c>
      <c r="V262" s="565">
        <v>5453.87</v>
      </c>
      <c r="W262" s="564">
        <v>272.69349999999997</v>
      </c>
      <c r="X262" s="564">
        <v>54.538699999999999</v>
      </c>
      <c r="Y262" s="519">
        <v>218.15479999999997</v>
      </c>
      <c r="Z262" s="569">
        <f>(Y262-U262)/Y262</f>
        <v>0.48122525839449781</v>
      </c>
      <c r="AA262" s="409">
        <v>783.05000000000007</v>
      </c>
      <c r="AB262" s="557">
        <f t="shared" si="11"/>
        <v>197.32859999999997</v>
      </c>
      <c r="AC262" s="565">
        <v>6995.0099999999993</v>
      </c>
      <c r="AD262" s="564">
        <v>349.75049999999999</v>
      </c>
      <c r="AE262" s="564">
        <v>69.950100000000006</v>
      </c>
      <c r="AF262" s="519">
        <v>279.80039999999997</v>
      </c>
      <c r="AG262" s="569">
        <f>(AF262-AB262)/AF262</f>
        <v>0.29475225911042302</v>
      </c>
    </row>
    <row r="263" spans="2:33" x14ac:dyDescent="0.25">
      <c r="B263" s="231">
        <v>12</v>
      </c>
      <c r="C263" s="500">
        <v>1</v>
      </c>
      <c r="D263" s="501" t="s">
        <v>298</v>
      </c>
      <c r="E263" s="502" t="s">
        <v>131</v>
      </c>
      <c r="F263" s="502" t="s">
        <v>136</v>
      </c>
      <c r="G263" s="503">
        <v>2</v>
      </c>
      <c r="H263" s="502" t="s">
        <v>663</v>
      </c>
      <c r="I263" s="502" t="s">
        <v>677</v>
      </c>
      <c r="J263" s="502" t="s">
        <v>709</v>
      </c>
      <c r="K263" s="504" t="s">
        <v>664</v>
      </c>
      <c r="L263" s="502" t="s">
        <v>122</v>
      </c>
      <c r="M263" s="504" t="s">
        <v>264</v>
      </c>
      <c r="N263" s="505">
        <v>98</v>
      </c>
      <c r="O263" s="505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08">
        <v>547.4</v>
      </c>
      <c r="U263" s="557">
        <f t="shared" si="10"/>
        <v>137.94479999999996</v>
      </c>
      <c r="V263" s="565">
        <v>5620.55</v>
      </c>
      <c r="W263" s="564">
        <v>281.02750000000003</v>
      </c>
      <c r="X263" s="564">
        <v>56.205500000000008</v>
      </c>
      <c r="Y263" s="519">
        <v>224.82200000000003</v>
      </c>
      <c r="Z263" s="569">
        <f>(Y263-U263)/Y263</f>
        <v>0.38642659526202977</v>
      </c>
      <c r="AA263" s="409">
        <v>783.05000000000007</v>
      </c>
      <c r="AB263" s="557">
        <f t="shared" si="11"/>
        <v>197.32859999999997</v>
      </c>
      <c r="AC263" s="565">
        <v>6995.0099999999993</v>
      </c>
      <c r="AD263" s="564">
        <v>349.75049999999999</v>
      </c>
      <c r="AE263" s="564">
        <v>69.950100000000006</v>
      </c>
      <c r="AF263" s="519">
        <v>279.80039999999997</v>
      </c>
      <c r="AG263" s="569">
        <f>(AF263-AB263)/AF263</f>
        <v>0.29475225911042302</v>
      </c>
    </row>
    <row r="264" spans="2:33" x14ac:dyDescent="0.25">
      <c r="B264" s="231">
        <v>13</v>
      </c>
      <c r="C264" s="544">
        <v>1</v>
      </c>
      <c r="D264" s="545" t="s">
        <v>298</v>
      </c>
      <c r="E264" s="546" t="s">
        <v>131</v>
      </c>
      <c r="F264" s="546" t="s">
        <v>136</v>
      </c>
      <c r="G264" s="547">
        <v>2</v>
      </c>
      <c r="H264" s="546" t="s">
        <v>187</v>
      </c>
      <c r="I264" s="546" t="s">
        <v>321</v>
      </c>
      <c r="J264" s="546" t="s">
        <v>709</v>
      </c>
      <c r="K264" s="548" t="s">
        <v>664</v>
      </c>
      <c r="L264" s="546" t="s">
        <v>122</v>
      </c>
      <c r="M264" s="548" t="s">
        <v>264</v>
      </c>
      <c r="N264" s="549">
        <v>124</v>
      </c>
      <c r="O264" s="549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08">
        <v>314.65000000000003</v>
      </c>
      <c r="U264" s="557">
        <f t="shared" si="10"/>
        <v>79.291800000000009</v>
      </c>
      <c r="V264" s="565"/>
      <c r="W264" s="565"/>
      <c r="X264" s="564"/>
      <c r="Y264" s="519"/>
      <c r="Z264" s="519"/>
      <c r="AA264" s="409">
        <v>989</v>
      </c>
      <c r="AB264" s="557">
        <f t="shared" si="11"/>
        <v>249.22799999999995</v>
      </c>
      <c r="AC264" s="565"/>
      <c r="AD264" s="565"/>
      <c r="AE264" s="564"/>
      <c r="AF264" s="519"/>
      <c r="AG264" s="519"/>
    </row>
    <row r="265" spans="2:33" x14ac:dyDescent="0.25">
      <c r="B265" s="231">
        <v>14</v>
      </c>
      <c r="C265" s="538">
        <v>1</v>
      </c>
      <c r="D265" s="539" t="s">
        <v>298</v>
      </c>
      <c r="E265" s="540" t="s">
        <v>131</v>
      </c>
      <c r="F265" s="540" t="s">
        <v>136</v>
      </c>
      <c r="G265" s="541">
        <v>2</v>
      </c>
      <c r="H265" s="540" t="s">
        <v>691</v>
      </c>
      <c r="I265" s="540" t="s">
        <v>321</v>
      </c>
      <c r="J265" s="540" t="s">
        <v>709</v>
      </c>
      <c r="K265" s="542" t="s">
        <v>664</v>
      </c>
      <c r="L265" s="540" t="s">
        <v>122</v>
      </c>
      <c r="M265" s="542" t="s">
        <v>264</v>
      </c>
      <c r="N265" s="543">
        <v>124</v>
      </c>
      <c r="O265" s="543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08">
        <v>635.1</v>
      </c>
      <c r="U265" s="557">
        <f t="shared" si="10"/>
        <v>160.04519999999997</v>
      </c>
      <c r="V265" s="565"/>
      <c r="W265" s="565"/>
      <c r="X265" s="564"/>
      <c r="Y265" s="519"/>
      <c r="Z265" s="570">
        <f>AVERAGE(Z266:Z269)</f>
        <v>0.44687900560297045</v>
      </c>
      <c r="AA265" s="409">
        <v>989</v>
      </c>
      <c r="AB265" s="557">
        <f t="shared" si="11"/>
        <v>249.22799999999995</v>
      </c>
      <c r="AC265" s="565"/>
      <c r="AD265" s="565"/>
      <c r="AE265" s="564"/>
      <c r="AF265" s="519"/>
      <c r="AG265" s="570">
        <f>AVERAGE(AG266:AG269)</f>
        <v>0.15117936030908333</v>
      </c>
    </row>
    <row r="266" spans="2:33" x14ac:dyDescent="0.25">
      <c r="B266" s="231">
        <v>15</v>
      </c>
      <c r="C266" s="500">
        <v>1</v>
      </c>
      <c r="D266" s="501" t="s">
        <v>298</v>
      </c>
      <c r="E266" s="502" t="s">
        <v>131</v>
      </c>
      <c r="F266" s="502" t="s">
        <v>136</v>
      </c>
      <c r="G266" s="503">
        <v>2</v>
      </c>
      <c r="H266" s="502" t="s">
        <v>663</v>
      </c>
      <c r="I266" s="502" t="s">
        <v>674</v>
      </c>
      <c r="J266" s="502" t="s">
        <v>709</v>
      </c>
      <c r="K266" s="504" t="s">
        <v>664</v>
      </c>
      <c r="L266" s="502" t="s">
        <v>122</v>
      </c>
      <c r="M266" s="504" t="s">
        <v>264</v>
      </c>
      <c r="N266" s="505">
        <v>124</v>
      </c>
      <c r="O266" s="505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08">
        <v>374.15000000000003</v>
      </c>
      <c r="U266" s="557">
        <f t="shared" si="10"/>
        <v>94.285799999999995</v>
      </c>
      <c r="V266" s="565">
        <v>4470.21</v>
      </c>
      <c r="W266" s="564">
        <v>223.51050000000001</v>
      </c>
      <c r="X266" s="564">
        <v>44.702100000000002</v>
      </c>
      <c r="Y266" s="519">
        <v>178.80840000000001</v>
      </c>
      <c r="Z266" s="569">
        <f>(Y266-U266)/Y266</f>
        <v>0.47269926916185151</v>
      </c>
      <c r="AA266" s="409">
        <v>989</v>
      </c>
      <c r="AB266" s="557">
        <f t="shared" si="11"/>
        <v>249.22799999999995</v>
      </c>
      <c r="AC266" s="565">
        <v>7340.42</v>
      </c>
      <c r="AD266" s="564">
        <v>367.02100000000002</v>
      </c>
      <c r="AE266" s="564">
        <v>73.404200000000003</v>
      </c>
      <c r="AF266" s="519">
        <v>293.61680000000001</v>
      </c>
      <c r="AG266" s="569">
        <f>(AF266-AB266)/AF266</f>
        <v>0.15117936030908333</v>
      </c>
    </row>
    <row r="267" spans="2:33" x14ac:dyDescent="0.25">
      <c r="B267" s="231">
        <v>16</v>
      </c>
      <c r="C267" s="500">
        <v>1</v>
      </c>
      <c r="D267" s="501" t="s">
        <v>298</v>
      </c>
      <c r="E267" s="502" t="s">
        <v>131</v>
      </c>
      <c r="F267" s="502" t="s">
        <v>136</v>
      </c>
      <c r="G267" s="503">
        <v>2</v>
      </c>
      <c r="H267" s="502" t="s">
        <v>663</v>
      </c>
      <c r="I267" s="502" t="s">
        <v>675</v>
      </c>
      <c r="J267" s="502" t="s">
        <v>709</v>
      </c>
      <c r="K267" s="504" t="s">
        <v>664</v>
      </c>
      <c r="L267" s="502" t="s">
        <v>122</v>
      </c>
      <c r="M267" s="504" t="s">
        <v>264</v>
      </c>
      <c r="N267" s="505">
        <v>124</v>
      </c>
      <c r="O267" s="505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08">
        <v>519.5</v>
      </c>
      <c r="U267" s="557">
        <f t="shared" si="10"/>
        <v>130.91399999999999</v>
      </c>
      <c r="V267" s="565">
        <v>6319.08</v>
      </c>
      <c r="W267" s="564">
        <v>315.95400000000001</v>
      </c>
      <c r="X267" s="564">
        <v>63.190800000000003</v>
      </c>
      <c r="Y267" s="519">
        <v>252.76320000000001</v>
      </c>
      <c r="Z267" s="569">
        <f>(Y267-U267)/Y267</f>
        <v>0.48206859226343085</v>
      </c>
      <c r="AA267" s="409">
        <v>989</v>
      </c>
      <c r="AB267" s="557">
        <f t="shared" si="11"/>
        <v>249.22799999999995</v>
      </c>
      <c r="AC267" s="565">
        <v>7340.42</v>
      </c>
      <c r="AD267" s="564">
        <v>367.02100000000002</v>
      </c>
      <c r="AE267" s="564">
        <v>73.404200000000003</v>
      </c>
      <c r="AF267" s="519">
        <v>293.61680000000001</v>
      </c>
      <c r="AG267" s="569">
        <f>(AF267-AB267)/AF267</f>
        <v>0.15117936030908333</v>
      </c>
    </row>
    <row r="268" spans="2:33" x14ac:dyDescent="0.25">
      <c r="B268" s="231">
        <v>17</v>
      </c>
      <c r="C268" s="500">
        <v>1</v>
      </c>
      <c r="D268" s="501" t="s">
        <v>298</v>
      </c>
      <c r="E268" s="502" t="s">
        <v>131</v>
      </c>
      <c r="F268" s="502" t="s">
        <v>136</v>
      </c>
      <c r="G268" s="503">
        <v>2</v>
      </c>
      <c r="H268" s="502" t="s">
        <v>663</v>
      </c>
      <c r="I268" s="502" t="s">
        <v>676</v>
      </c>
      <c r="J268" s="502" t="s">
        <v>709</v>
      </c>
      <c r="K268" s="504" t="s">
        <v>664</v>
      </c>
      <c r="L268" s="502" t="s">
        <v>122</v>
      </c>
      <c r="M268" s="504" t="s">
        <v>264</v>
      </c>
      <c r="N268" s="505">
        <v>124</v>
      </c>
      <c r="O268" s="505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08">
        <v>556.05000000000007</v>
      </c>
      <c r="U268" s="557">
        <f t="shared" si="10"/>
        <v>140.12459999999999</v>
      </c>
      <c r="V268" s="565">
        <v>6549.56</v>
      </c>
      <c r="W268" s="564">
        <v>327.47800000000001</v>
      </c>
      <c r="X268" s="564">
        <v>65.49560000000001</v>
      </c>
      <c r="Y268" s="519">
        <v>261.98239999999998</v>
      </c>
      <c r="Z268" s="569">
        <f>(Y268-U268)/Y268</f>
        <v>0.46513735273819923</v>
      </c>
      <c r="AA268" s="409">
        <v>989</v>
      </c>
      <c r="AB268" s="557">
        <f t="shared" si="11"/>
        <v>249.22799999999995</v>
      </c>
      <c r="AC268" s="565">
        <v>7340.42</v>
      </c>
      <c r="AD268" s="564">
        <v>367.02100000000002</v>
      </c>
      <c r="AE268" s="564">
        <v>73.404200000000003</v>
      </c>
      <c r="AF268" s="519">
        <v>293.61680000000001</v>
      </c>
      <c r="AG268" s="569">
        <f>(AF268-AB268)/AF268</f>
        <v>0.15117936030908333</v>
      </c>
    </row>
    <row r="269" spans="2:33" x14ac:dyDescent="0.25">
      <c r="B269" s="231">
        <v>18</v>
      </c>
      <c r="C269" s="500">
        <v>1</v>
      </c>
      <c r="D269" s="501" t="s">
        <v>298</v>
      </c>
      <c r="E269" s="502" t="s">
        <v>131</v>
      </c>
      <c r="F269" s="502" t="s">
        <v>136</v>
      </c>
      <c r="G269" s="503">
        <v>2</v>
      </c>
      <c r="H269" s="502" t="s">
        <v>663</v>
      </c>
      <c r="I269" s="502" t="s">
        <v>677</v>
      </c>
      <c r="J269" s="502" t="s">
        <v>709</v>
      </c>
      <c r="K269" s="504" t="s">
        <v>664</v>
      </c>
      <c r="L269" s="502" t="s">
        <v>122</v>
      </c>
      <c r="M269" s="504" t="s">
        <v>264</v>
      </c>
      <c r="N269" s="505">
        <v>124</v>
      </c>
      <c r="O269" s="505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08">
        <v>677.6</v>
      </c>
      <c r="U269" s="557">
        <f t="shared" si="10"/>
        <v>170.75519999999997</v>
      </c>
      <c r="V269" s="565">
        <v>6750.4</v>
      </c>
      <c r="W269" s="564">
        <v>337.52</v>
      </c>
      <c r="X269" s="564">
        <v>67.504000000000005</v>
      </c>
      <c r="Y269" s="519">
        <v>270.01599999999996</v>
      </c>
      <c r="Z269" s="569">
        <f>(Y269-U269)/Y269</f>
        <v>0.36761080824840009</v>
      </c>
      <c r="AA269" s="409">
        <v>989</v>
      </c>
      <c r="AB269" s="557">
        <f t="shared" si="11"/>
        <v>249.22799999999995</v>
      </c>
      <c r="AC269" s="565">
        <v>7340.42</v>
      </c>
      <c r="AD269" s="564">
        <v>367.02100000000002</v>
      </c>
      <c r="AE269" s="564">
        <v>73.404200000000003</v>
      </c>
      <c r="AF269" s="519">
        <v>293.61680000000001</v>
      </c>
      <c r="AG269" s="569">
        <f>(AF269-AB269)/AF269</f>
        <v>0.15117936030908333</v>
      </c>
    </row>
    <row r="270" spans="2:33" x14ac:dyDescent="0.25">
      <c r="B270" s="231">
        <v>19</v>
      </c>
      <c r="C270" s="544">
        <v>1</v>
      </c>
      <c r="D270" s="545" t="s">
        <v>298</v>
      </c>
      <c r="E270" s="546" t="s">
        <v>131</v>
      </c>
      <c r="F270" s="546" t="s">
        <v>136</v>
      </c>
      <c r="G270" s="547">
        <v>2</v>
      </c>
      <c r="H270" s="546" t="s">
        <v>187</v>
      </c>
      <c r="I270" s="546" t="s">
        <v>321</v>
      </c>
      <c r="J270" s="546" t="s">
        <v>709</v>
      </c>
      <c r="K270" s="548" t="s">
        <v>664</v>
      </c>
      <c r="L270" s="546" t="s">
        <v>122</v>
      </c>
      <c r="M270" s="548" t="s">
        <v>264</v>
      </c>
      <c r="N270" s="549">
        <v>150</v>
      </c>
      <c r="O270" s="549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08">
        <v>379</v>
      </c>
      <c r="U270" s="557">
        <f t="shared" si="10"/>
        <v>95.507999999999996</v>
      </c>
      <c r="V270" s="565"/>
      <c r="W270" s="565"/>
      <c r="X270" s="564"/>
      <c r="Y270" s="519"/>
      <c r="Z270" s="519"/>
      <c r="AA270" s="409">
        <v>1194.95</v>
      </c>
      <c r="AB270" s="557">
        <f t="shared" si="11"/>
        <v>301.12740000000002</v>
      </c>
      <c r="AC270" s="565"/>
      <c r="AD270" s="565"/>
      <c r="AE270" s="564"/>
      <c r="AF270" s="519"/>
      <c r="AG270" s="519"/>
    </row>
    <row r="271" spans="2:33" x14ac:dyDescent="0.25">
      <c r="B271" s="231">
        <v>20</v>
      </c>
      <c r="C271" s="538">
        <v>1</v>
      </c>
      <c r="D271" s="539" t="s">
        <v>298</v>
      </c>
      <c r="E271" s="540" t="s">
        <v>131</v>
      </c>
      <c r="F271" s="540" t="s">
        <v>136</v>
      </c>
      <c r="G271" s="541">
        <v>2</v>
      </c>
      <c r="H271" s="540" t="s">
        <v>691</v>
      </c>
      <c r="I271" s="540" t="s">
        <v>321</v>
      </c>
      <c r="J271" s="540" t="s">
        <v>709</v>
      </c>
      <c r="K271" s="542" t="s">
        <v>664</v>
      </c>
      <c r="L271" s="540" t="s">
        <v>122</v>
      </c>
      <c r="M271" s="542" t="s">
        <v>264</v>
      </c>
      <c r="N271" s="543">
        <v>150</v>
      </c>
      <c r="O271" s="543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08">
        <v>765.40000000000009</v>
      </c>
      <c r="U271" s="557">
        <f t="shared" si="10"/>
        <v>192.88079999999999</v>
      </c>
      <c r="V271" s="565"/>
      <c r="W271" s="565"/>
      <c r="X271" s="564"/>
      <c r="Y271" s="519"/>
      <c r="Z271" s="570">
        <f>AVERAGE(Z272:Z275)</f>
        <v>0.43457860269870535</v>
      </c>
      <c r="AA271" s="409">
        <v>1194.95</v>
      </c>
      <c r="AB271" s="557">
        <f t="shared" si="11"/>
        <v>301.12740000000002</v>
      </c>
      <c r="AC271" s="565"/>
      <c r="AD271" s="565"/>
      <c r="AE271" s="564"/>
      <c r="AF271" s="519"/>
      <c r="AG271" s="570">
        <f>AVERAGE(AG272:AG275)</f>
        <v>3.1539169084114145E-2</v>
      </c>
    </row>
    <row r="272" spans="2:33" x14ac:dyDescent="0.25">
      <c r="B272" s="231">
        <v>21</v>
      </c>
      <c r="C272" s="500">
        <v>1</v>
      </c>
      <c r="D272" s="501" t="s">
        <v>298</v>
      </c>
      <c r="E272" s="502" t="s">
        <v>131</v>
      </c>
      <c r="F272" s="502" t="s">
        <v>136</v>
      </c>
      <c r="G272" s="503">
        <v>2</v>
      </c>
      <c r="H272" s="502" t="s">
        <v>663</v>
      </c>
      <c r="I272" s="502" t="s">
        <v>674</v>
      </c>
      <c r="J272" s="502" t="s">
        <v>709</v>
      </c>
      <c r="K272" s="504" t="s">
        <v>664</v>
      </c>
      <c r="L272" s="502" t="s">
        <v>122</v>
      </c>
      <c r="M272" s="504" t="s">
        <v>264</v>
      </c>
      <c r="N272" s="505">
        <v>150</v>
      </c>
      <c r="O272" s="505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08">
        <v>450.75</v>
      </c>
      <c r="U272" s="557">
        <f t="shared" si="10"/>
        <v>113.58899999999998</v>
      </c>
      <c r="V272" s="565">
        <v>5279</v>
      </c>
      <c r="W272" s="564">
        <v>263.95</v>
      </c>
      <c r="X272" s="564">
        <v>52.79</v>
      </c>
      <c r="Y272" s="519">
        <v>211.16</v>
      </c>
      <c r="Z272" s="569">
        <f>(Y272-U272)/Y272</f>
        <v>0.46207141504072746</v>
      </c>
      <c r="AA272" s="409">
        <v>1194.95</v>
      </c>
      <c r="AB272" s="557">
        <f t="shared" si="11"/>
        <v>301.12740000000002</v>
      </c>
      <c r="AC272" s="565">
        <v>7773.3499999999995</v>
      </c>
      <c r="AD272" s="564">
        <v>388.66749999999996</v>
      </c>
      <c r="AE272" s="564">
        <v>77.733499999999992</v>
      </c>
      <c r="AF272" s="519">
        <v>310.93399999999997</v>
      </c>
      <c r="AG272" s="569">
        <f>(AF272-AB272)/AF272</f>
        <v>3.1539169084114145E-2</v>
      </c>
    </row>
    <row r="273" spans="2:33" x14ac:dyDescent="0.25">
      <c r="B273" s="231">
        <v>22</v>
      </c>
      <c r="C273" s="500">
        <v>1</v>
      </c>
      <c r="D273" s="501" t="s">
        <v>298</v>
      </c>
      <c r="E273" s="502" t="s">
        <v>131</v>
      </c>
      <c r="F273" s="502" t="s">
        <v>136</v>
      </c>
      <c r="G273" s="503">
        <v>2</v>
      </c>
      <c r="H273" s="502" t="s">
        <v>663</v>
      </c>
      <c r="I273" s="502" t="s">
        <v>675</v>
      </c>
      <c r="J273" s="502" t="s">
        <v>709</v>
      </c>
      <c r="K273" s="504" t="s">
        <v>664</v>
      </c>
      <c r="L273" s="502" t="s">
        <v>122</v>
      </c>
      <c r="M273" s="504" t="s">
        <v>264</v>
      </c>
      <c r="N273" s="505">
        <v>150</v>
      </c>
      <c r="O273" s="505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08">
        <v>626</v>
      </c>
      <c r="U273" s="557">
        <f t="shared" si="10"/>
        <v>157.75199999999998</v>
      </c>
      <c r="V273" s="565">
        <v>7456.32</v>
      </c>
      <c r="W273" s="564">
        <v>372.81599999999997</v>
      </c>
      <c r="X273" s="564">
        <v>74.563199999999995</v>
      </c>
      <c r="Y273" s="519">
        <v>298.25279999999998</v>
      </c>
      <c r="Z273" s="569">
        <f>(Y273-U273)/Y273</f>
        <v>0.4710795674005408</v>
      </c>
      <c r="AA273" s="409">
        <v>1194.95</v>
      </c>
      <c r="AB273" s="557">
        <f t="shared" si="11"/>
        <v>301.12740000000002</v>
      </c>
      <c r="AC273" s="565">
        <v>7773.3499999999995</v>
      </c>
      <c r="AD273" s="564">
        <v>388.66749999999996</v>
      </c>
      <c r="AE273" s="564">
        <v>77.733499999999992</v>
      </c>
      <c r="AF273" s="519">
        <v>310.93399999999997</v>
      </c>
      <c r="AG273" s="569">
        <f>(AF273-AB273)/AF273</f>
        <v>3.1539169084114145E-2</v>
      </c>
    </row>
    <row r="274" spans="2:33" x14ac:dyDescent="0.25">
      <c r="B274" s="231">
        <v>23</v>
      </c>
      <c r="C274" s="500">
        <v>1</v>
      </c>
      <c r="D274" s="501" t="s">
        <v>298</v>
      </c>
      <c r="E274" s="502" t="s">
        <v>131</v>
      </c>
      <c r="F274" s="502" t="s">
        <v>136</v>
      </c>
      <c r="G274" s="503">
        <v>2</v>
      </c>
      <c r="H274" s="502" t="s">
        <v>663</v>
      </c>
      <c r="I274" s="502" t="s">
        <v>676</v>
      </c>
      <c r="J274" s="502" t="s">
        <v>709</v>
      </c>
      <c r="K274" s="504" t="s">
        <v>664</v>
      </c>
      <c r="L274" s="502" t="s">
        <v>122</v>
      </c>
      <c r="M274" s="504" t="s">
        <v>264</v>
      </c>
      <c r="N274" s="505">
        <v>150</v>
      </c>
      <c r="O274" s="505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08">
        <v>670.1</v>
      </c>
      <c r="U274" s="557">
        <f t="shared" si="10"/>
        <v>168.86519999999999</v>
      </c>
      <c r="V274" s="565">
        <v>7706.74</v>
      </c>
      <c r="W274" s="564">
        <v>385.33699999999999</v>
      </c>
      <c r="X274" s="564">
        <v>77.067400000000006</v>
      </c>
      <c r="Y274" s="519">
        <v>308.26959999999997</v>
      </c>
      <c r="Z274" s="569">
        <f>(Y274-U274)/Y274</f>
        <v>0.45221585261731939</v>
      </c>
      <c r="AA274" s="409">
        <v>1194.95</v>
      </c>
      <c r="AB274" s="557">
        <f t="shared" si="11"/>
        <v>301.12740000000002</v>
      </c>
      <c r="AC274" s="565">
        <v>7773.3499999999995</v>
      </c>
      <c r="AD274" s="564">
        <v>388.66749999999996</v>
      </c>
      <c r="AE274" s="564">
        <v>77.733499999999992</v>
      </c>
      <c r="AF274" s="519">
        <v>310.93399999999997</v>
      </c>
      <c r="AG274" s="569">
        <f>(AF274-AB274)/AF274</f>
        <v>3.1539169084114145E-2</v>
      </c>
    </row>
    <row r="275" spans="2:33" x14ac:dyDescent="0.25">
      <c r="B275" s="231">
        <v>24</v>
      </c>
      <c r="C275" s="500">
        <v>1</v>
      </c>
      <c r="D275" s="501" t="s">
        <v>298</v>
      </c>
      <c r="E275" s="502" t="s">
        <v>131</v>
      </c>
      <c r="F275" s="502" t="s">
        <v>136</v>
      </c>
      <c r="G275" s="503">
        <v>2</v>
      </c>
      <c r="H275" s="502" t="s">
        <v>663</v>
      </c>
      <c r="I275" s="502" t="s">
        <v>677</v>
      </c>
      <c r="J275" s="502" t="s">
        <v>709</v>
      </c>
      <c r="K275" s="504" t="s">
        <v>664</v>
      </c>
      <c r="L275" s="502" t="s">
        <v>122</v>
      </c>
      <c r="M275" s="504" t="s">
        <v>264</v>
      </c>
      <c r="N275" s="505">
        <v>150</v>
      </c>
      <c r="O275" s="505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08">
        <v>816.65000000000009</v>
      </c>
      <c r="U275" s="557">
        <f t="shared" si="10"/>
        <v>205.79579999999999</v>
      </c>
      <c r="V275" s="565">
        <v>7951.28</v>
      </c>
      <c r="W275" s="564">
        <v>397.56399999999996</v>
      </c>
      <c r="X275" s="564">
        <v>79.512799999999999</v>
      </c>
      <c r="Y275" s="519">
        <v>318.05119999999999</v>
      </c>
      <c r="Z275" s="569">
        <f>(Y275-U275)/Y275</f>
        <v>0.3529475757362337</v>
      </c>
      <c r="AA275" s="409">
        <v>1194.95</v>
      </c>
      <c r="AB275" s="557">
        <f t="shared" si="11"/>
        <v>301.12740000000002</v>
      </c>
      <c r="AC275" s="565">
        <v>7773.3499999999995</v>
      </c>
      <c r="AD275" s="564">
        <v>388.66749999999996</v>
      </c>
      <c r="AE275" s="564">
        <v>77.733499999999992</v>
      </c>
      <c r="AF275" s="519">
        <v>310.93399999999997</v>
      </c>
      <c r="AG275" s="569">
        <f>(AF275-AB275)/AF275</f>
        <v>3.1539169084114145E-2</v>
      </c>
    </row>
    <row r="276" spans="2:33" x14ac:dyDescent="0.25">
      <c r="B276" s="231">
        <v>25</v>
      </c>
      <c r="C276" s="550">
        <v>1</v>
      </c>
      <c r="D276" s="551" t="s">
        <v>298</v>
      </c>
      <c r="E276" s="552" t="s">
        <v>131</v>
      </c>
      <c r="F276" s="552" t="s">
        <v>116</v>
      </c>
      <c r="G276" s="553">
        <v>2</v>
      </c>
      <c r="H276" s="552" t="s">
        <v>187</v>
      </c>
      <c r="I276" s="552" t="s">
        <v>323</v>
      </c>
      <c r="J276" s="552" t="s">
        <v>709</v>
      </c>
      <c r="K276" s="554" t="s">
        <v>665</v>
      </c>
      <c r="L276" s="552" t="s">
        <v>122</v>
      </c>
      <c r="M276" s="554" t="s">
        <v>264</v>
      </c>
      <c r="N276" s="555">
        <v>72</v>
      </c>
      <c r="O276" s="555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08">
        <v>122.9</v>
      </c>
      <c r="U276" s="557">
        <f t="shared" si="10"/>
        <v>30.970800000000001</v>
      </c>
      <c r="V276" s="565"/>
      <c r="W276" s="565"/>
      <c r="X276" s="564"/>
      <c r="Y276" s="519"/>
      <c r="Z276" s="631">
        <f>AVERAGE(Z278:Z281,Z284:Z287,Z290:Z293,Z296:Z299)</f>
        <v>0.43465689702216354</v>
      </c>
      <c r="AA276" s="409">
        <v>577.1</v>
      </c>
      <c r="AB276" s="557">
        <f t="shared" si="11"/>
        <v>145.42919999999998</v>
      </c>
      <c r="AC276" s="565"/>
      <c r="AD276" s="565"/>
      <c r="AE276" s="564"/>
      <c r="AF276" s="519"/>
      <c r="AG276" s="631">
        <f>AVERAGE(AG278:AG281,AG284:AG287,AG290:AG293,AG296:AG299)</f>
        <v>0.23489928623448647</v>
      </c>
    </row>
    <row r="277" spans="2:33" x14ac:dyDescent="0.25">
      <c r="B277" s="231">
        <v>26</v>
      </c>
      <c r="C277" s="506">
        <v>1</v>
      </c>
      <c r="D277" s="507" t="s">
        <v>298</v>
      </c>
      <c r="E277" s="508" t="s">
        <v>131</v>
      </c>
      <c r="F277" s="508" t="s">
        <v>116</v>
      </c>
      <c r="G277" s="509">
        <v>2</v>
      </c>
      <c r="H277" s="508" t="s">
        <v>691</v>
      </c>
      <c r="I277" s="508" t="s">
        <v>323</v>
      </c>
      <c r="J277" s="508" t="s">
        <v>709</v>
      </c>
      <c r="K277" s="510" t="s">
        <v>665</v>
      </c>
      <c r="L277" s="508" t="s">
        <v>122</v>
      </c>
      <c r="M277" s="510" t="s">
        <v>264</v>
      </c>
      <c r="N277" s="511">
        <v>72</v>
      </c>
      <c r="O277" s="511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08">
        <v>221.15</v>
      </c>
      <c r="U277" s="557">
        <f t="shared" si="10"/>
        <v>55.729799999999997</v>
      </c>
      <c r="V277" s="565"/>
      <c r="W277" s="565"/>
      <c r="X277" s="564"/>
      <c r="Y277" s="519"/>
      <c r="Z277" s="570">
        <f>AVERAGE(Z278:Z281)</f>
        <v>0.4589927964883061</v>
      </c>
      <c r="AA277" s="409">
        <v>577.1</v>
      </c>
      <c r="AB277" s="557">
        <f t="shared" si="11"/>
        <v>145.42919999999998</v>
      </c>
      <c r="AC277" s="565"/>
      <c r="AD277" s="565"/>
      <c r="AE277" s="564"/>
      <c r="AF277" s="519"/>
      <c r="AG277" s="570">
        <f>AVERAGE(AG278:AG281)</f>
        <v>0.46212635643432531</v>
      </c>
    </row>
    <row r="278" spans="2:33" x14ac:dyDescent="0.25">
      <c r="B278" s="231">
        <v>27</v>
      </c>
      <c r="C278" s="512">
        <v>1</v>
      </c>
      <c r="D278" s="513" t="s">
        <v>298</v>
      </c>
      <c r="E278" s="514" t="s">
        <v>131</v>
      </c>
      <c r="F278" s="514" t="s">
        <v>116</v>
      </c>
      <c r="G278" s="515">
        <v>2</v>
      </c>
      <c r="H278" s="514" t="s">
        <v>663</v>
      </c>
      <c r="I278" s="514" t="s">
        <v>681</v>
      </c>
      <c r="J278" s="514" t="s">
        <v>709</v>
      </c>
      <c r="K278" s="516" t="s">
        <v>665</v>
      </c>
      <c r="L278" s="514" t="s">
        <v>122</v>
      </c>
      <c r="M278" s="516" t="s">
        <v>264</v>
      </c>
      <c r="N278" s="517">
        <v>72</v>
      </c>
      <c r="O278" s="517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08">
        <v>182.4</v>
      </c>
      <c r="U278" s="557">
        <f t="shared" si="10"/>
        <v>45.96479999999999</v>
      </c>
      <c r="V278" s="565">
        <v>2498.04</v>
      </c>
      <c r="W278" s="564">
        <v>124.902</v>
      </c>
      <c r="X278" s="564">
        <v>24.980400000000003</v>
      </c>
      <c r="Y278" s="519">
        <v>99.921599999999998</v>
      </c>
      <c r="Z278" s="569">
        <f>(Y278-U278)/Y278</f>
        <v>0.53999135322092529</v>
      </c>
      <c r="AA278" s="409">
        <v>577.1</v>
      </c>
      <c r="AB278" s="557">
        <f t="shared" si="11"/>
        <v>145.42919999999998</v>
      </c>
      <c r="AC278" s="565">
        <v>6759.45</v>
      </c>
      <c r="AD278" s="564">
        <v>337.97249999999997</v>
      </c>
      <c r="AE278" s="564">
        <v>67.594499999999996</v>
      </c>
      <c r="AF278" s="519">
        <v>270.37799999999999</v>
      </c>
      <c r="AG278" s="569">
        <f>(AF278-AB278)/AF278</f>
        <v>0.46212635643432531</v>
      </c>
    </row>
    <row r="279" spans="2:33" x14ac:dyDescent="0.25">
      <c r="B279" s="231">
        <v>28</v>
      </c>
      <c r="C279" s="512">
        <v>1</v>
      </c>
      <c r="D279" s="513" t="s">
        <v>298</v>
      </c>
      <c r="E279" s="514" t="s">
        <v>131</v>
      </c>
      <c r="F279" s="514" t="s">
        <v>116</v>
      </c>
      <c r="G279" s="515">
        <v>2</v>
      </c>
      <c r="H279" s="514" t="s">
        <v>663</v>
      </c>
      <c r="I279" s="514" t="s">
        <v>685</v>
      </c>
      <c r="J279" s="514" t="s">
        <v>709</v>
      </c>
      <c r="K279" s="516" t="s">
        <v>665</v>
      </c>
      <c r="L279" s="514" t="s">
        <v>122</v>
      </c>
      <c r="M279" s="516" t="s">
        <v>264</v>
      </c>
      <c r="N279" s="517">
        <v>72</v>
      </c>
      <c r="O279" s="517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08">
        <v>217.65</v>
      </c>
      <c r="U279" s="557">
        <f t="shared" si="10"/>
        <v>54.847799999999999</v>
      </c>
      <c r="V279" s="565">
        <v>2762.46</v>
      </c>
      <c r="W279" s="564">
        <v>138.12299999999999</v>
      </c>
      <c r="X279" s="564">
        <v>27.624600000000001</v>
      </c>
      <c r="Y279" s="519">
        <v>110.49839999999999</v>
      </c>
      <c r="Z279" s="569">
        <f>(Y279-U279)/Y279</f>
        <v>0.50363263178471362</v>
      </c>
      <c r="AA279" s="409">
        <v>577.1</v>
      </c>
      <c r="AB279" s="557">
        <f t="shared" si="11"/>
        <v>145.42919999999998</v>
      </c>
      <c r="AC279" s="565">
        <v>6759.45</v>
      </c>
      <c r="AD279" s="564">
        <v>337.97249999999997</v>
      </c>
      <c r="AE279" s="564">
        <v>67.594499999999996</v>
      </c>
      <c r="AF279" s="519">
        <v>270.37799999999999</v>
      </c>
      <c r="AG279" s="569">
        <f>(AF279-AB279)/AF279</f>
        <v>0.46212635643432531</v>
      </c>
    </row>
    <row r="280" spans="2:33" x14ac:dyDescent="0.25">
      <c r="B280" s="231">
        <v>29</v>
      </c>
      <c r="C280" s="512">
        <v>1</v>
      </c>
      <c r="D280" s="513" t="s">
        <v>298</v>
      </c>
      <c r="E280" s="514" t="s">
        <v>131</v>
      </c>
      <c r="F280" s="514" t="s">
        <v>116</v>
      </c>
      <c r="G280" s="515">
        <v>2</v>
      </c>
      <c r="H280" s="514" t="s">
        <v>663</v>
      </c>
      <c r="I280" s="514" t="s">
        <v>687</v>
      </c>
      <c r="J280" s="514" t="s">
        <v>709</v>
      </c>
      <c r="K280" s="516" t="s">
        <v>665</v>
      </c>
      <c r="L280" s="514" t="s">
        <v>122</v>
      </c>
      <c r="M280" s="516" t="s">
        <v>264</v>
      </c>
      <c r="N280" s="517">
        <v>72</v>
      </c>
      <c r="O280" s="517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08">
        <v>259.90000000000003</v>
      </c>
      <c r="U280" s="557">
        <f t="shared" si="10"/>
        <v>65.494799999999998</v>
      </c>
      <c r="V280" s="565">
        <v>2761.1</v>
      </c>
      <c r="W280" s="564">
        <v>138.05500000000001</v>
      </c>
      <c r="X280" s="564">
        <v>27.611000000000004</v>
      </c>
      <c r="Y280" s="519">
        <v>110.444</v>
      </c>
      <c r="Z280" s="569">
        <f>(Y280-U280)/Y280</f>
        <v>0.40698634602151318</v>
      </c>
      <c r="AA280" s="409">
        <v>577.1</v>
      </c>
      <c r="AB280" s="557">
        <f t="shared" si="11"/>
        <v>145.42919999999998</v>
      </c>
      <c r="AC280" s="565">
        <v>6759.45</v>
      </c>
      <c r="AD280" s="564">
        <v>337.97249999999997</v>
      </c>
      <c r="AE280" s="564">
        <v>67.594499999999996</v>
      </c>
      <c r="AF280" s="519">
        <v>270.37799999999999</v>
      </c>
      <c r="AG280" s="569">
        <f>(AF280-AB280)/AF280</f>
        <v>0.46212635643432531</v>
      </c>
    </row>
    <row r="281" spans="2:33" x14ac:dyDescent="0.25">
      <c r="B281" s="231">
        <v>30</v>
      </c>
      <c r="C281" s="512">
        <v>1</v>
      </c>
      <c r="D281" s="513" t="s">
        <v>298</v>
      </c>
      <c r="E281" s="514" t="s">
        <v>131</v>
      </c>
      <c r="F281" s="514" t="s">
        <v>116</v>
      </c>
      <c r="G281" s="515">
        <v>2</v>
      </c>
      <c r="H281" s="514" t="s">
        <v>663</v>
      </c>
      <c r="I281" s="514" t="s">
        <v>689</v>
      </c>
      <c r="J281" s="514" t="s">
        <v>709</v>
      </c>
      <c r="K281" s="516" t="s">
        <v>665</v>
      </c>
      <c r="L281" s="514" t="s">
        <v>122</v>
      </c>
      <c r="M281" s="516" t="s">
        <v>264</v>
      </c>
      <c r="N281" s="517">
        <v>72</v>
      </c>
      <c r="O281" s="517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08">
        <v>299.90000000000003</v>
      </c>
      <c r="U281" s="557">
        <f t="shared" si="10"/>
        <v>75.574799999999996</v>
      </c>
      <c r="V281" s="565">
        <v>3073.95</v>
      </c>
      <c r="W281" s="564">
        <v>153.69749999999999</v>
      </c>
      <c r="X281" s="564">
        <v>30.7395</v>
      </c>
      <c r="Y281" s="519">
        <v>122.958</v>
      </c>
      <c r="Z281" s="569">
        <f>(Y281-U281)/Y281</f>
        <v>0.38536085492607236</v>
      </c>
      <c r="AA281" s="409">
        <v>577.1</v>
      </c>
      <c r="AB281" s="557">
        <f t="shared" si="11"/>
        <v>145.42919999999998</v>
      </c>
      <c r="AC281" s="565">
        <v>6759.45</v>
      </c>
      <c r="AD281" s="564">
        <v>337.97249999999997</v>
      </c>
      <c r="AE281" s="564">
        <v>67.594499999999996</v>
      </c>
      <c r="AF281" s="519">
        <v>270.37799999999999</v>
      </c>
      <c r="AG281" s="569">
        <f>(AF281-AB281)/AF281</f>
        <v>0.46212635643432531</v>
      </c>
    </row>
    <row r="282" spans="2:33" x14ac:dyDescent="0.25">
      <c r="B282" s="231">
        <v>31</v>
      </c>
      <c r="C282" s="550">
        <v>1</v>
      </c>
      <c r="D282" s="551" t="s">
        <v>298</v>
      </c>
      <c r="E282" s="552" t="s">
        <v>131</v>
      </c>
      <c r="F282" s="552" t="s">
        <v>116</v>
      </c>
      <c r="G282" s="553">
        <v>2</v>
      </c>
      <c r="H282" s="552" t="s">
        <v>187</v>
      </c>
      <c r="I282" s="552" t="s">
        <v>323</v>
      </c>
      <c r="J282" s="552" t="s">
        <v>709</v>
      </c>
      <c r="K282" s="554" t="s">
        <v>665</v>
      </c>
      <c r="L282" s="552" t="s">
        <v>122</v>
      </c>
      <c r="M282" s="554" t="s">
        <v>264</v>
      </c>
      <c r="N282" s="555">
        <v>98</v>
      </c>
      <c r="O282" s="555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08">
        <v>161.20000000000002</v>
      </c>
      <c r="U282" s="557">
        <f t="shared" si="10"/>
        <v>40.622399999999992</v>
      </c>
      <c r="V282" s="565"/>
      <c r="W282" s="565"/>
      <c r="X282" s="564"/>
      <c r="Y282" s="519"/>
      <c r="Z282" s="519"/>
      <c r="AA282" s="409">
        <v>783.05000000000007</v>
      </c>
      <c r="AB282" s="557">
        <f t="shared" si="11"/>
        <v>197.32859999999997</v>
      </c>
      <c r="AC282" s="565"/>
      <c r="AD282" s="565"/>
      <c r="AE282" s="564"/>
      <c r="AF282" s="519"/>
      <c r="AG282" s="519"/>
    </row>
    <row r="283" spans="2:33" x14ac:dyDescent="0.25">
      <c r="B283" s="231">
        <v>32</v>
      </c>
      <c r="C283" s="506">
        <v>1</v>
      </c>
      <c r="D283" s="507" t="s">
        <v>298</v>
      </c>
      <c r="E283" s="508" t="s">
        <v>131</v>
      </c>
      <c r="F283" s="508" t="s">
        <v>116</v>
      </c>
      <c r="G283" s="509">
        <v>2</v>
      </c>
      <c r="H283" s="508" t="s">
        <v>691</v>
      </c>
      <c r="I283" s="508" t="s">
        <v>323</v>
      </c>
      <c r="J283" s="508" t="s">
        <v>709</v>
      </c>
      <c r="K283" s="510" t="s">
        <v>665</v>
      </c>
      <c r="L283" s="508" t="s">
        <v>122</v>
      </c>
      <c r="M283" s="510" t="s">
        <v>264</v>
      </c>
      <c r="N283" s="511">
        <v>98</v>
      </c>
      <c r="O283" s="511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08">
        <v>288.95</v>
      </c>
      <c r="U283" s="557">
        <f t="shared" si="10"/>
        <v>72.815399999999983</v>
      </c>
      <c r="V283" s="565"/>
      <c r="W283" s="565"/>
      <c r="X283" s="564"/>
      <c r="Y283" s="519"/>
      <c r="Z283" s="570">
        <f>AVERAGE(Z284:Z287)</f>
        <v>0.4356417698402314</v>
      </c>
      <c r="AA283" s="409">
        <v>783.05000000000007</v>
      </c>
      <c r="AB283" s="557">
        <f t="shared" si="11"/>
        <v>197.32859999999997</v>
      </c>
      <c r="AC283" s="565"/>
      <c r="AD283" s="565"/>
      <c r="AE283" s="564"/>
      <c r="AF283" s="519"/>
      <c r="AG283" s="570">
        <f>AVERAGE(AG284:AG287)</f>
        <v>0.29475225911042302</v>
      </c>
    </row>
    <row r="284" spans="2:33" x14ac:dyDescent="0.25">
      <c r="B284" s="231">
        <v>33</v>
      </c>
      <c r="C284" s="512">
        <v>1</v>
      </c>
      <c r="D284" s="513" t="s">
        <v>298</v>
      </c>
      <c r="E284" s="514" t="s">
        <v>131</v>
      </c>
      <c r="F284" s="514" t="s">
        <v>116</v>
      </c>
      <c r="G284" s="515">
        <v>2</v>
      </c>
      <c r="H284" s="514" t="s">
        <v>663</v>
      </c>
      <c r="I284" s="514" t="s">
        <v>681</v>
      </c>
      <c r="J284" s="514" t="s">
        <v>709</v>
      </c>
      <c r="K284" s="516" t="s">
        <v>665</v>
      </c>
      <c r="L284" s="514" t="s">
        <v>122</v>
      </c>
      <c r="M284" s="516" t="s">
        <v>264</v>
      </c>
      <c r="N284" s="517">
        <v>98</v>
      </c>
      <c r="O284" s="517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08">
        <v>238.55</v>
      </c>
      <c r="U284" s="557">
        <f t="shared" si="10"/>
        <v>60.114599999999989</v>
      </c>
      <c r="V284" s="565">
        <v>3127.68</v>
      </c>
      <c r="W284" s="564">
        <v>156.38399999999999</v>
      </c>
      <c r="X284" s="564">
        <v>31.276799999999998</v>
      </c>
      <c r="Y284" s="519">
        <v>125.10719999999999</v>
      </c>
      <c r="Z284" s="569">
        <f>(Y284-U284)/Y284</f>
        <v>0.51949528084714558</v>
      </c>
      <c r="AA284" s="409">
        <v>783.05000000000007</v>
      </c>
      <c r="AB284" s="557">
        <f t="shared" si="11"/>
        <v>197.32859999999997</v>
      </c>
      <c r="AC284" s="565">
        <v>6995.0099999999993</v>
      </c>
      <c r="AD284" s="564">
        <v>349.75049999999999</v>
      </c>
      <c r="AE284" s="564">
        <v>69.950100000000006</v>
      </c>
      <c r="AF284" s="519">
        <v>279.80039999999997</v>
      </c>
      <c r="AG284" s="569">
        <f>(AF284-AB284)/AF284</f>
        <v>0.29475225911042302</v>
      </c>
    </row>
    <row r="285" spans="2:33" x14ac:dyDescent="0.25">
      <c r="B285" s="231">
        <v>34</v>
      </c>
      <c r="C285" s="512">
        <v>1</v>
      </c>
      <c r="D285" s="513" t="s">
        <v>298</v>
      </c>
      <c r="E285" s="514" t="s">
        <v>131</v>
      </c>
      <c r="F285" s="514" t="s">
        <v>116</v>
      </c>
      <c r="G285" s="515">
        <v>2</v>
      </c>
      <c r="H285" s="514" t="s">
        <v>663</v>
      </c>
      <c r="I285" s="514" t="s">
        <v>685</v>
      </c>
      <c r="J285" s="514" t="s">
        <v>709</v>
      </c>
      <c r="K285" s="516" t="s">
        <v>665</v>
      </c>
      <c r="L285" s="514" t="s">
        <v>122</v>
      </c>
      <c r="M285" s="516" t="s">
        <v>264</v>
      </c>
      <c r="N285" s="517">
        <v>98</v>
      </c>
      <c r="O285" s="517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08">
        <v>284.40000000000003</v>
      </c>
      <c r="U285" s="557">
        <f t="shared" si="10"/>
        <v>71.668800000000005</v>
      </c>
      <c r="V285" s="565">
        <v>3459.22</v>
      </c>
      <c r="W285" s="564">
        <v>172.96099999999998</v>
      </c>
      <c r="X285" s="564">
        <v>34.592199999999998</v>
      </c>
      <c r="Y285" s="519">
        <v>138.36879999999999</v>
      </c>
      <c r="Z285" s="569">
        <f>(Y285-U285)/Y285</f>
        <v>0.48204508530824863</v>
      </c>
      <c r="AA285" s="409">
        <v>783.05000000000007</v>
      </c>
      <c r="AB285" s="557">
        <f t="shared" si="11"/>
        <v>197.32859999999997</v>
      </c>
      <c r="AC285" s="565">
        <v>6995.0099999999993</v>
      </c>
      <c r="AD285" s="564">
        <v>349.75049999999999</v>
      </c>
      <c r="AE285" s="564">
        <v>69.950100000000006</v>
      </c>
      <c r="AF285" s="519">
        <v>279.80039999999997</v>
      </c>
      <c r="AG285" s="569">
        <f>(AF285-AB285)/AF285</f>
        <v>0.29475225911042302</v>
      </c>
    </row>
    <row r="286" spans="2:33" x14ac:dyDescent="0.25">
      <c r="B286" s="231">
        <v>35</v>
      </c>
      <c r="C286" s="512">
        <v>1</v>
      </c>
      <c r="D286" s="513" t="s">
        <v>298</v>
      </c>
      <c r="E286" s="514" t="s">
        <v>131</v>
      </c>
      <c r="F286" s="514" t="s">
        <v>116</v>
      </c>
      <c r="G286" s="515">
        <v>2</v>
      </c>
      <c r="H286" s="514" t="s">
        <v>663</v>
      </c>
      <c r="I286" s="514" t="s">
        <v>687</v>
      </c>
      <c r="J286" s="514" t="s">
        <v>709</v>
      </c>
      <c r="K286" s="516" t="s">
        <v>665</v>
      </c>
      <c r="L286" s="514" t="s">
        <v>122</v>
      </c>
      <c r="M286" s="516" t="s">
        <v>264</v>
      </c>
      <c r="N286" s="517">
        <v>98</v>
      </c>
      <c r="O286" s="517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08">
        <v>339.3</v>
      </c>
      <c r="U286" s="557">
        <f t="shared" si="10"/>
        <v>85.503599999999992</v>
      </c>
      <c r="V286" s="565">
        <v>3456.49</v>
      </c>
      <c r="W286" s="564">
        <v>172.8245</v>
      </c>
      <c r="X286" s="564">
        <v>34.564900000000002</v>
      </c>
      <c r="Y286" s="519">
        <v>138.25960000000001</v>
      </c>
      <c r="Z286" s="569">
        <f>(Y286-U286)/Y286</f>
        <v>0.3815720572025379</v>
      </c>
      <c r="AA286" s="409">
        <v>783.05000000000007</v>
      </c>
      <c r="AB286" s="557">
        <f t="shared" si="11"/>
        <v>197.32859999999997</v>
      </c>
      <c r="AC286" s="565">
        <v>6995.0099999999993</v>
      </c>
      <c r="AD286" s="564">
        <v>349.75049999999999</v>
      </c>
      <c r="AE286" s="564">
        <v>69.950100000000006</v>
      </c>
      <c r="AF286" s="519">
        <v>279.80039999999997</v>
      </c>
      <c r="AG286" s="569">
        <f>(AF286-AB286)/AF286</f>
        <v>0.29475225911042302</v>
      </c>
    </row>
    <row r="287" spans="2:33" x14ac:dyDescent="0.25">
      <c r="B287" s="231">
        <v>36</v>
      </c>
      <c r="C287" s="512">
        <v>1</v>
      </c>
      <c r="D287" s="513" t="s">
        <v>298</v>
      </c>
      <c r="E287" s="514" t="s">
        <v>131</v>
      </c>
      <c r="F287" s="514" t="s">
        <v>116</v>
      </c>
      <c r="G287" s="515">
        <v>2</v>
      </c>
      <c r="H287" s="514" t="s">
        <v>663</v>
      </c>
      <c r="I287" s="514" t="s">
        <v>689</v>
      </c>
      <c r="J287" s="514" t="s">
        <v>709</v>
      </c>
      <c r="K287" s="516" t="s">
        <v>665</v>
      </c>
      <c r="L287" s="514" t="s">
        <v>122</v>
      </c>
      <c r="M287" s="516" t="s">
        <v>264</v>
      </c>
      <c r="N287" s="517">
        <v>98</v>
      </c>
      <c r="O287" s="517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08">
        <v>391.3</v>
      </c>
      <c r="U287" s="557">
        <f t="shared" si="10"/>
        <v>98.607599999999977</v>
      </c>
      <c r="V287" s="565">
        <v>3848.58</v>
      </c>
      <c r="W287" s="564">
        <v>192.429</v>
      </c>
      <c r="X287" s="564">
        <v>38.485800000000005</v>
      </c>
      <c r="Y287" s="519">
        <v>153.94319999999999</v>
      </c>
      <c r="Z287" s="569">
        <f>(Y287-U287)/Y287</f>
        <v>0.35945465600299342</v>
      </c>
      <c r="AA287" s="409">
        <v>783.05000000000007</v>
      </c>
      <c r="AB287" s="557">
        <f t="shared" si="11"/>
        <v>197.32859999999997</v>
      </c>
      <c r="AC287" s="565">
        <v>6995.0099999999993</v>
      </c>
      <c r="AD287" s="564">
        <v>349.75049999999999</v>
      </c>
      <c r="AE287" s="564">
        <v>69.950100000000006</v>
      </c>
      <c r="AF287" s="519">
        <v>279.80039999999997</v>
      </c>
      <c r="AG287" s="569">
        <f>(AF287-AB287)/AF287</f>
        <v>0.29475225911042302</v>
      </c>
    </row>
    <row r="288" spans="2:33" x14ac:dyDescent="0.25">
      <c r="B288" s="231">
        <v>37</v>
      </c>
      <c r="C288" s="550">
        <v>1</v>
      </c>
      <c r="D288" s="551" t="s">
        <v>298</v>
      </c>
      <c r="E288" s="552" t="s">
        <v>131</v>
      </c>
      <c r="F288" s="552" t="s">
        <v>116</v>
      </c>
      <c r="G288" s="553">
        <v>2</v>
      </c>
      <c r="H288" s="552" t="s">
        <v>187</v>
      </c>
      <c r="I288" s="552" t="s">
        <v>323</v>
      </c>
      <c r="J288" s="552" t="s">
        <v>709</v>
      </c>
      <c r="K288" s="554" t="s">
        <v>665</v>
      </c>
      <c r="L288" s="552" t="s">
        <v>122</v>
      </c>
      <c r="M288" s="554" t="s">
        <v>264</v>
      </c>
      <c r="N288" s="555">
        <v>124</v>
      </c>
      <c r="O288" s="555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08">
        <v>199.5</v>
      </c>
      <c r="U288" s="557">
        <f t="shared" si="10"/>
        <v>50.273999999999987</v>
      </c>
      <c r="V288" s="565"/>
      <c r="W288" s="565"/>
      <c r="X288" s="564"/>
      <c r="Y288" s="519"/>
      <c r="Z288" s="519"/>
      <c r="AA288" s="409">
        <v>989</v>
      </c>
      <c r="AB288" s="557">
        <f t="shared" si="11"/>
        <v>249.22799999999995</v>
      </c>
      <c r="AC288" s="565"/>
      <c r="AD288" s="565"/>
      <c r="AE288" s="564"/>
      <c r="AF288" s="519"/>
      <c r="AG288" s="519"/>
    </row>
    <row r="289" spans="2:33" x14ac:dyDescent="0.25">
      <c r="B289" s="231">
        <v>38</v>
      </c>
      <c r="C289" s="506">
        <v>1</v>
      </c>
      <c r="D289" s="507" t="s">
        <v>298</v>
      </c>
      <c r="E289" s="508" t="s">
        <v>131</v>
      </c>
      <c r="F289" s="508" t="s">
        <v>116</v>
      </c>
      <c r="G289" s="509">
        <v>2</v>
      </c>
      <c r="H289" s="508" t="s">
        <v>691</v>
      </c>
      <c r="I289" s="508" t="s">
        <v>323</v>
      </c>
      <c r="J289" s="508" t="s">
        <v>709</v>
      </c>
      <c r="K289" s="510" t="s">
        <v>665</v>
      </c>
      <c r="L289" s="508" t="s">
        <v>122</v>
      </c>
      <c r="M289" s="510" t="s">
        <v>264</v>
      </c>
      <c r="N289" s="511">
        <v>124</v>
      </c>
      <c r="O289" s="511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08">
        <v>356.70000000000005</v>
      </c>
      <c r="U289" s="557">
        <f t="shared" si="10"/>
        <v>89.888400000000004</v>
      </c>
      <c r="V289" s="565"/>
      <c r="W289" s="565"/>
      <c r="X289" s="564"/>
      <c r="Y289" s="519"/>
      <c r="Z289" s="570">
        <f>AVERAGE(Z290:Z293)</f>
        <v>0.4200433366337909</v>
      </c>
      <c r="AA289" s="409">
        <v>989</v>
      </c>
      <c r="AB289" s="557">
        <f t="shared" si="11"/>
        <v>249.22799999999995</v>
      </c>
      <c r="AC289" s="565"/>
      <c r="AD289" s="565"/>
      <c r="AE289" s="564"/>
      <c r="AF289" s="519"/>
      <c r="AG289" s="570">
        <f>AVERAGE(AG290:AG293)</f>
        <v>0.15117936030908333</v>
      </c>
    </row>
    <row r="290" spans="2:33" x14ac:dyDescent="0.25">
      <c r="B290" s="231">
        <v>39</v>
      </c>
      <c r="C290" s="512">
        <v>1</v>
      </c>
      <c r="D290" s="513" t="s">
        <v>298</v>
      </c>
      <c r="E290" s="514" t="s">
        <v>131</v>
      </c>
      <c r="F290" s="514" t="s">
        <v>116</v>
      </c>
      <c r="G290" s="515">
        <v>2</v>
      </c>
      <c r="H290" s="514" t="s">
        <v>663</v>
      </c>
      <c r="I290" s="514" t="s">
        <v>681</v>
      </c>
      <c r="J290" s="514" t="s">
        <v>709</v>
      </c>
      <c r="K290" s="516" t="s">
        <v>665</v>
      </c>
      <c r="L290" s="514" t="s">
        <v>122</v>
      </c>
      <c r="M290" s="516" t="s">
        <v>264</v>
      </c>
      <c r="N290" s="517">
        <v>124</v>
      </c>
      <c r="O290" s="517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08">
        <v>294.7</v>
      </c>
      <c r="U290" s="557">
        <f t="shared" si="10"/>
        <v>74.264399999999995</v>
      </c>
      <c r="V290" s="565">
        <v>3757.32</v>
      </c>
      <c r="W290" s="564">
        <v>187.86600000000001</v>
      </c>
      <c r="X290" s="564">
        <v>37.573200000000007</v>
      </c>
      <c r="Y290" s="519">
        <v>150.2928</v>
      </c>
      <c r="Z290" s="569">
        <f>(Y290-U290)/Y290</f>
        <v>0.505868544600939</v>
      </c>
      <c r="AA290" s="409">
        <v>989</v>
      </c>
      <c r="AB290" s="557">
        <f t="shared" si="11"/>
        <v>249.22799999999995</v>
      </c>
      <c r="AC290" s="565">
        <v>7340.42</v>
      </c>
      <c r="AD290" s="564">
        <v>367.02100000000002</v>
      </c>
      <c r="AE290" s="564">
        <v>73.404200000000003</v>
      </c>
      <c r="AF290" s="519">
        <v>293.61680000000001</v>
      </c>
      <c r="AG290" s="569">
        <f>(AF290-AB290)/AF290</f>
        <v>0.15117936030908333</v>
      </c>
    </row>
    <row r="291" spans="2:33" x14ac:dyDescent="0.25">
      <c r="B291" s="231">
        <v>40</v>
      </c>
      <c r="C291" s="512">
        <v>1</v>
      </c>
      <c r="D291" s="513" t="s">
        <v>298</v>
      </c>
      <c r="E291" s="514" t="s">
        <v>131</v>
      </c>
      <c r="F291" s="514" t="s">
        <v>116</v>
      </c>
      <c r="G291" s="515">
        <v>2</v>
      </c>
      <c r="H291" s="514" t="s">
        <v>663</v>
      </c>
      <c r="I291" s="514" t="s">
        <v>685</v>
      </c>
      <c r="J291" s="514" t="s">
        <v>709</v>
      </c>
      <c r="K291" s="516" t="s">
        <v>665</v>
      </c>
      <c r="L291" s="514" t="s">
        <v>122</v>
      </c>
      <c r="M291" s="516" t="s">
        <v>264</v>
      </c>
      <c r="N291" s="517">
        <v>124</v>
      </c>
      <c r="O291" s="517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08">
        <v>351.1</v>
      </c>
      <c r="U291" s="557">
        <f t="shared" si="10"/>
        <v>88.477199999999996</v>
      </c>
      <c r="V291" s="565">
        <v>4154.6099999999997</v>
      </c>
      <c r="W291" s="564">
        <v>207.73049999999998</v>
      </c>
      <c r="X291" s="564">
        <v>41.546099999999996</v>
      </c>
      <c r="Y291" s="519">
        <v>166.18439999999998</v>
      </c>
      <c r="Z291" s="569">
        <f>(Y291-U291)/Y291</f>
        <v>0.4675962364698491</v>
      </c>
      <c r="AA291" s="409">
        <v>989</v>
      </c>
      <c r="AB291" s="557">
        <f t="shared" si="11"/>
        <v>249.22799999999995</v>
      </c>
      <c r="AC291" s="565">
        <v>7340.42</v>
      </c>
      <c r="AD291" s="564">
        <v>367.02100000000002</v>
      </c>
      <c r="AE291" s="564">
        <v>73.404200000000003</v>
      </c>
      <c r="AF291" s="519">
        <v>293.61680000000001</v>
      </c>
      <c r="AG291" s="569">
        <f>(AF291-AB291)/AF291</f>
        <v>0.15117936030908333</v>
      </c>
    </row>
    <row r="292" spans="2:33" x14ac:dyDescent="0.25">
      <c r="B292" s="231">
        <v>41</v>
      </c>
      <c r="C292" s="512">
        <v>1</v>
      </c>
      <c r="D292" s="513" t="s">
        <v>298</v>
      </c>
      <c r="E292" s="514" t="s">
        <v>131</v>
      </c>
      <c r="F292" s="514" t="s">
        <v>116</v>
      </c>
      <c r="G292" s="515">
        <v>2</v>
      </c>
      <c r="H292" s="514" t="s">
        <v>663</v>
      </c>
      <c r="I292" s="514" t="s">
        <v>687</v>
      </c>
      <c r="J292" s="514" t="s">
        <v>709</v>
      </c>
      <c r="K292" s="516" t="s">
        <v>665</v>
      </c>
      <c r="L292" s="514" t="s">
        <v>122</v>
      </c>
      <c r="M292" s="516" t="s">
        <v>264</v>
      </c>
      <c r="N292" s="517">
        <v>124</v>
      </c>
      <c r="O292" s="517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08">
        <v>418.70000000000005</v>
      </c>
      <c r="U292" s="557">
        <f t="shared" si="10"/>
        <v>105.5124</v>
      </c>
      <c r="V292" s="565">
        <v>4151.88</v>
      </c>
      <c r="W292" s="564">
        <v>207.59399999999999</v>
      </c>
      <c r="X292" s="564">
        <v>41.518799999999999</v>
      </c>
      <c r="Y292" s="519">
        <v>166.0752</v>
      </c>
      <c r="Z292" s="569">
        <f>(Y292-U292)/Y292</f>
        <v>0.36467094424694352</v>
      </c>
      <c r="AA292" s="409">
        <v>989</v>
      </c>
      <c r="AB292" s="557">
        <f t="shared" si="11"/>
        <v>249.22799999999995</v>
      </c>
      <c r="AC292" s="565">
        <v>7340.42</v>
      </c>
      <c r="AD292" s="564">
        <v>367.02100000000002</v>
      </c>
      <c r="AE292" s="564">
        <v>73.404200000000003</v>
      </c>
      <c r="AF292" s="519">
        <v>293.61680000000001</v>
      </c>
      <c r="AG292" s="569">
        <f>(AF292-AB292)/AF292</f>
        <v>0.15117936030908333</v>
      </c>
    </row>
    <row r="293" spans="2:33" x14ac:dyDescent="0.25">
      <c r="B293" s="231">
        <v>42</v>
      </c>
      <c r="C293" s="512">
        <v>1</v>
      </c>
      <c r="D293" s="513" t="s">
        <v>298</v>
      </c>
      <c r="E293" s="514" t="s">
        <v>131</v>
      </c>
      <c r="F293" s="514" t="s">
        <v>116</v>
      </c>
      <c r="G293" s="515">
        <v>2</v>
      </c>
      <c r="H293" s="514" t="s">
        <v>663</v>
      </c>
      <c r="I293" s="514" t="s">
        <v>689</v>
      </c>
      <c r="J293" s="514" t="s">
        <v>709</v>
      </c>
      <c r="K293" s="516" t="s">
        <v>665</v>
      </c>
      <c r="L293" s="514" t="s">
        <v>122</v>
      </c>
      <c r="M293" s="516" t="s">
        <v>264</v>
      </c>
      <c r="N293" s="517">
        <v>124</v>
      </c>
      <c r="O293" s="517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08">
        <v>482.70000000000005</v>
      </c>
      <c r="U293" s="557">
        <f t="shared" si="10"/>
        <v>121.64039999999999</v>
      </c>
      <c r="V293" s="565">
        <v>4621.8599999999997</v>
      </c>
      <c r="W293" s="564">
        <v>231.09299999999999</v>
      </c>
      <c r="X293" s="564">
        <v>46.218600000000002</v>
      </c>
      <c r="Y293" s="519">
        <v>184.87439999999998</v>
      </c>
      <c r="Z293" s="569">
        <f>(Y293-U293)/Y293</f>
        <v>0.34203762121743198</v>
      </c>
      <c r="AA293" s="409">
        <v>989</v>
      </c>
      <c r="AB293" s="557">
        <f t="shared" si="11"/>
        <v>249.22799999999995</v>
      </c>
      <c r="AC293" s="565">
        <v>7340.42</v>
      </c>
      <c r="AD293" s="564">
        <v>367.02100000000002</v>
      </c>
      <c r="AE293" s="564">
        <v>73.404200000000003</v>
      </c>
      <c r="AF293" s="519">
        <v>293.61680000000001</v>
      </c>
      <c r="AG293" s="569">
        <f>(AF293-AB293)/AF293</f>
        <v>0.15117936030908333</v>
      </c>
    </row>
    <row r="294" spans="2:33" x14ac:dyDescent="0.25">
      <c r="B294" s="231">
        <v>43</v>
      </c>
      <c r="C294" s="550">
        <v>1</v>
      </c>
      <c r="D294" s="551" t="s">
        <v>298</v>
      </c>
      <c r="E294" s="552" t="s">
        <v>131</v>
      </c>
      <c r="F294" s="552" t="s">
        <v>116</v>
      </c>
      <c r="G294" s="553">
        <v>2</v>
      </c>
      <c r="H294" s="552" t="s">
        <v>187</v>
      </c>
      <c r="I294" s="552" t="s">
        <v>323</v>
      </c>
      <c r="J294" s="552" t="s">
        <v>709</v>
      </c>
      <c r="K294" s="554" t="s">
        <v>665</v>
      </c>
      <c r="L294" s="552" t="s">
        <v>122</v>
      </c>
      <c r="M294" s="554" t="s">
        <v>264</v>
      </c>
      <c r="N294" s="555">
        <v>150</v>
      </c>
      <c r="O294" s="555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08">
        <v>241.8</v>
      </c>
      <c r="U294" s="557">
        <f t="shared" si="10"/>
        <v>60.933599999999998</v>
      </c>
      <c r="V294" s="565"/>
      <c r="W294" s="565"/>
      <c r="X294" s="564"/>
      <c r="Y294" s="519"/>
      <c r="Z294" s="519"/>
      <c r="AA294" s="409">
        <v>1194.95</v>
      </c>
      <c r="AB294" s="557">
        <f t="shared" si="11"/>
        <v>301.12740000000002</v>
      </c>
      <c r="AC294" s="565"/>
      <c r="AD294" s="565"/>
      <c r="AE294" s="564"/>
      <c r="AF294" s="519"/>
      <c r="AG294" s="519"/>
    </row>
    <row r="295" spans="2:33" x14ac:dyDescent="0.25">
      <c r="B295" s="231">
        <v>44</v>
      </c>
      <c r="C295" s="506">
        <v>1</v>
      </c>
      <c r="D295" s="507" t="s">
        <v>298</v>
      </c>
      <c r="E295" s="508" t="s">
        <v>131</v>
      </c>
      <c r="F295" s="508" t="s">
        <v>116</v>
      </c>
      <c r="G295" s="509">
        <v>2</v>
      </c>
      <c r="H295" s="508" t="s">
        <v>691</v>
      </c>
      <c r="I295" s="508" t="s">
        <v>323</v>
      </c>
      <c r="J295" s="508" t="s">
        <v>709</v>
      </c>
      <c r="K295" s="510" t="s">
        <v>665</v>
      </c>
      <c r="L295" s="508" t="s">
        <v>122</v>
      </c>
      <c r="M295" s="510" t="s">
        <v>264</v>
      </c>
      <c r="N295" s="511">
        <v>150</v>
      </c>
      <c r="O295" s="511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08">
        <v>433.40000000000003</v>
      </c>
      <c r="U295" s="557">
        <f t="shared" si="10"/>
        <v>109.21679999999999</v>
      </c>
      <c r="V295" s="565"/>
      <c r="W295" s="565"/>
      <c r="X295" s="564"/>
      <c r="Y295" s="519"/>
      <c r="Z295" s="570">
        <f>AVERAGE(Z296:Z299)</f>
        <v>0.42394968512632569</v>
      </c>
      <c r="AA295" s="409">
        <v>1194.95</v>
      </c>
      <c r="AB295" s="557">
        <f t="shared" si="11"/>
        <v>301.12740000000002</v>
      </c>
      <c r="AC295" s="565"/>
      <c r="AD295" s="565"/>
      <c r="AE295" s="564"/>
      <c r="AF295" s="519"/>
      <c r="AG295" s="570">
        <f>AVERAGE(AG296:AG299)</f>
        <v>3.1539169084114145E-2</v>
      </c>
    </row>
    <row r="296" spans="2:33" x14ac:dyDescent="0.25">
      <c r="B296" s="231">
        <v>45</v>
      </c>
      <c r="C296" s="512">
        <v>1</v>
      </c>
      <c r="D296" s="513" t="s">
        <v>298</v>
      </c>
      <c r="E296" s="514" t="s">
        <v>131</v>
      </c>
      <c r="F296" s="514" t="s">
        <v>116</v>
      </c>
      <c r="G296" s="515">
        <v>2</v>
      </c>
      <c r="H296" s="514" t="s">
        <v>663</v>
      </c>
      <c r="I296" s="514" t="s">
        <v>681</v>
      </c>
      <c r="J296" s="514" t="s">
        <v>709</v>
      </c>
      <c r="K296" s="516" t="s">
        <v>665</v>
      </c>
      <c r="L296" s="514" t="s">
        <v>122</v>
      </c>
      <c r="M296" s="516" t="s">
        <v>264</v>
      </c>
      <c r="N296" s="517">
        <v>150</v>
      </c>
      <c r="O296" s="517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08">
        <v>357.85</v>
      </c>
      <c r="U296" s="557">
        <f t="shared" si="10"/>
        <v>90.17819999999999</v>
      </c>
      <c r="V296" s="565">
        <v>4597.5600000000004</v>
      </c>
      <c r="W296" s="564">
        <v>229.87800000000001</v>
      </c>
      <c r="X296" s="564">
        <v>45.975600000000007</v>
      </c>
      <c r="Y296" s="519">
        <v>183.9024</v>
      </c>
      <c r="Z296" s="569">
        <f>(Y296-U296)/Y296</f>
        <v>0.50964098347819287</v>
      </c>
      <c r="AA296" s="409">
        <v>1194.95</v>
      </c>
      <c r="AB296" s="557">
        <f t="shared" si="11"/>
        <v>301.12740000000002</v>
      </c>
      <c r="AC296" s="565">
        <v>7773.3499999999995</v>
      </c>
      <c r="AD296" s="564">
        <v>388.66749999999996</v>
      </c>
      <c r="AE296" s="564">
        <v>77.733499999999992</v>
      </c>
      <c r="AF296" s="519">
        <v>310.93399999999997</v>
      </c>
      <c r="AG296" s="569">
        <f>(AF296-AB296)/AF296</f>
        <v>3.1539169084114145E-2</v>
      </c>
    </row>
    <row r="297" spans="2:33" x14ac:dyDescent="0.25">
      <c r="B297" s="231">
        <v>46</v>
      </c>
      <c r="C297" s="512">
        <v>1</v>
      </c>
      <c r="D297" s="513" t="s">
        <v>298</v>
      </c>
      <c r="E297" s="514" t="s">
        <v>131</v>
      </c>
      <c r="F297" s="514" t="s">
        <v>116</v>
      </c>
      <c r="G297" s="515">
        <v>2</v>
      </c>
      <c r="H297" s="514" t="s">
        <v>663</v>
      </c>
      <c r="I297" s="514" t="s">
        <v>685</v>
      </c>
      <c r="J297" s="514" t="s">
        <v>709</v>
      </c>
      <c r="K297" s="516" t="s">
        <v>665</v>
      </c>
      <c r="L297" s="514" t="s">
        <v>122</v>
      </c>
      <c r="M297" s="516" t="s">
        <v>264</v>
      </c>
      <c r="N297" s="517">
        <v>150</v>
      </c>
      <c r="O297" s="517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08">
        <v>426.6</v>
      </c>
      <c r="U297" s="557">
        <f t="shared" si="10"/>
        <v>107.50319999999999</v>
      </c>
      <c r="V297" s="565">
        <v>5083.62</v>
      </c>
      <c r="W297" s="564">
        <v>254.18099999999998</v>
      </c>
      <c r="X297" s="564">
        <v>50.836199999999998</v>
      </c>
      <c r="Y297" s="519">
        <v>203.34479999999999</v>
      </c>
      <c r="Z297" s="569">
        <f>(Y297-U297)/Y297</f>
        <v>0.47132555147709704</v>
      </c>
      <c r="AA297" s="409">
        <v>1194.95</v>
      </c>
      <c r="AB297" s="557">
        <f t="shared" si="11"/>
        <v>301.12740000000002</v>
      </c>
      <c r="AC297" s="565">
        <v>7773.3499999999995</v>
      </c>
      <c r="AD297" s="564">
        <v>388.66749999999996</v>
      </c>
      <c r="AE297" s="564">
        <v>77.733499999999992</v>
      </c>
      <c r="AF297" s="519">
        <v>310.93399999999997</v>
      </c>
      <c r="AG297" s="569">
        <f>(AF297-AB297)/AF297</f>
        <v>3.1539169084114145E-2</v>
      </c>
    </row>
    <row r="298" spans="2:33" x14ac:dyDescent="0.25">
      <c r="B298" s="231">
        <v>47</v>
      </c>
      <c r="C298" s="512">
        <v>1</v>
      </c>
      <c r="D298" s="513" t="s">
        <v>298</v>
      </c>
      <c r="E298" s="514" t="s">
        <v>131</v>
      </c>
      <c r="F298" s="514" t="s">
        <v>116</v>
      </c>
      <c r="G298" s="515">
        <v>2</v>
      </c>
      <c r="H298" s="514" t="s">
        <v>663</v>
      </c>
      <c r="I298" s="514" t="s">
        <v>687</v>
      </c>
      <c r="J298" s="514" t="s">
        <v>709</v>
      </c>
      <c r="K298" s="516" t="s">
        <v>665</v>
      </c>
      <c r="L298" s="514" t="s">
        <v>122</v>
      </c>
      <c r="M298" s="516" t="s">
        <v>264</v>
      </c>
      <c r="N298" s="517">
        <v>150</v>
      </c>
      <c r="O298" s="517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08">
        <v>508.95000000000005</v>
      </c>
      <c r="U298" s="557">
        <f t="shared" si="10"/>
        <v>128.25539999999998</v>
      </c>
      <c r="V298" s="565">
        <v>5079.53</v>
      </c>
      <c r="W298" s="564">
        <v>253.97649999999999</v>
      </c>
      <c r="X298" s="564">
        <v>50.795299999999997</v>
      </c>
      <c r="Y298" s="519">
        <v>203.18119999999999</v>
      </c>
      <c r="Z298" s="569">
        <f>(Y298-U298)/Y298</f>
        <v>0.36876344858677879</v>
      </c>
      <c r="AA298" s="409">
        <v>1194.95</v>
      </c>
      <c r="AB298" s="557">
        <f t="shared" si="11"/>
        <v>301.12740000000002</v>
      </c>
      <c r="AC298" s="565">
        <v>7773.3499999999995</v>
      </c>
      <c r="AD298" s="564">
        <v>388.66749999999996</v>
      </c>
      <c r="AE298" s="564">
        <v>77.733499999999992</v>
      </c>
      <c r="AF298" s="519">
        <v>310.93399999999997</v>
      </c>
      <c r="AG298" s="569">
        <f>(AF298-AB298)/AF298</f>
        <v>3.1539169084114145E-2</v>
      </c>
    </row>
    <row r="299" spans="2:33" x14ac:dyDescent="0.25">
      <c r="B299" s="231">
        <v>48</v>
      </c>
      <c r="C299" s="512">
        <v>1</v>
      </c>
      <c r="D299" s="513" t="s">
        <v>298</v>
      </c>
      <c r="E299" s="514" t="s">
        <v>131</v>
      </c>
      <c r="F299" s="514" t="s">
        <v>116</v>
      </c>
      <c r="G299" s="515">
        <v>2</v>
      </c>
      <c r="H299" s="514" t="s">
        <v>663</v>
      </c>
      <c r="I299" s="514" t="s">
        <v>689</v>
      </c>
      <c r="J299" s="514" t="s">
        <v>709</v>
      </c>
      <c r="K299" s="516" t="s">
        <v>665</v>
      </c>
      <c r="L299" s="514" t="s">
        <v>122</v>
      </c>
      <c r="M299" s="516" t="s">
        <v>264</v>
      </c>
      <c r="N299" s="517">
        <v>150</v>
      </c>
      <c r="O299" s="517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08">
        <v>586.95000000000005</v>
      </c>
      <c r="U299" s="557">
        <f t="shared" si="10"/>
        <v>147.91139999999999</v>
      </c>
      <c r="V299" s="565">
        <v>5654.7</v>
      </c>
      <c r="W299" s="564">
        <v>282.73500000000001</v>
      </c>
      <c r="X299" s="564">
        <v>56.547000000000004</v>
      </c>
      <c r="Y299" s="519">
        <v>226.18800000000002</v>
      </c>
      <c r="Z299" s="569">
        <f>(Y299-U299)/Y299</f>
        <v>0.34606875696323425</v>
      </c>
      <c r="AA299" s="409">
        <v>1194.95</v>
      </c>
      <c r="AB299" s="557">
        <f t="shared" si="11"/>
        <v>301.12740000000002</v>
      </c>
      <c r="AC299" s="565">
        <v>7773.3499999999995</v>
      </c>
      <c r="AD299" s="564">
        <v>388.66749999999996</v>
      </c>
      <c r="AE299" s="564">
        <v>77.733499999999992</v>
      </c>
      <c r="AF299" s="519">
        <v>310.93399999999997</v>
      </c>
      <c r="AG299" s="569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0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1"/>
      <c r="U11" s="224"/>
      <c r="V11" s="561"/>
      <c r="W11" s="566">
        <f>AI4</f>
        <v>20</v>
      </c>
      <c r="X11" s="560">
        <v>0.2</v>
      </c>
      <c r="Y11" s="560"/>
      <c r="Z11" s="560"/>
      <c r="AA11" s="561"/>
      <c r="AB11" s="224"/>
      <c r="AC11" s="224"/>
      <c r="AD11" s="566">
        <f>AI4</f>
        <v>20</v>
      </c>
      <c r="AE11" s="560">
        <v>0.2</v>
      </c>
      <c r="AF11" s="560"/>
      <c r="AG11" s="560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09" t="str">
        <f>IF(S4="INGLES","DRAPERIES","CORTINAS")</f>
        <v>CORTINAS</v>
      </c>
      <c r="C12" s="910"/>
      <c r="D12" s="910"/>
      <c r="E12" s="910"/>
      <c r="F12" s="910"/>
      <c r="G12" s="910"/>
      <c r="H12" s="910"/>
      <c r="I12" s="910"/>
      <c r="J12" s="910"/>
      <c r="K12" s="910"/>
      <c r="L12" s="910"/>
      <c r="M12" s="910"/>
      <c r="N12" s="910"/>
      <c r="O12" s="911"/>
      <c r="P12" s="909" t="str">
        <f>IF(S4="INGLES","HARDWARE","HERRAJE")</f>
        <v>HERRAJE</v>
      </c>
      <c r="Q12" s="910"/>
      <c r="R12" s="910"/>
      <c r="S12" s="910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09" t="str">
        <f>IF(S4="INGLES","TOTALS","TOTALES")</f>
        <v>TOTALES</v>
      </c>
      <c r="AI12" s="911"/>
      <c r="AJ12" s="181"/>
      <c r="AK12" s="963" t="s">
        <v>256</v>
      </c>
      <c r="AL12" s="963"/>
      <c r="AM12" s="963"/>
      <c r="AN12" s="964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5" t="s">
        <v>258</v>
      </c>
      <c r="AY12" s="907"/>
      <c r="AZ12" s="907"/>
      <c r="BA12" s="907"/>
      <c r="BB12" s="907"/>
      <c r="BC12" s="906"/>
      <c r="BD12" s="905" t="s">
        <v>189</v>
      </c>
      <c r="BE12" s="906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6" t="s">
        <v>700</v>
      </c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 RIPP-STD HW 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132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08">
        <f>IF(OR(C15&lt;1,C15=""),"",BL15)</f>
        <v>342.70000000000005</v>
      </c>
      <c r="U15" s="557">
        <f t="shared" ref="U15:U62" si="1">T15*0.7*0.6*0.6</f>
        <v>86.360399999999998</v>
      </c>
      <c r="V15" s="564"/>
      <c r="W15" s="564"/>
      <c r="X15" s="564"/>
      <c r="Y15" s="519"/>
      <c r="Z15" s="631">
        <f>AVERAGE(Z17:Z20,Z23:Z26,Z29:Z32,Z35:Z38)</f>
        <v>0.18974250455560768</v>
      </c>
      <c r="AA15" s="409" t="e">
        <f t="shared" ref="AA15:AA62" si="2">IF(OR(C15&lt;1,C15=""),"",BO15)</f>
        <v>#N/A</v>
      </c>
      <c r="AB15" s="557" t="e">
        <f>AA15*0.7*0.6*0.6</f>
        <v>#N/A</v>
      </c>
      <c r="AC15" s="564"/>
      <c r="AD15" s="564"/>
      <c r="AE15" s="564"/>
      <c r="AF15" s="519"/>
      <c r="AG15" s="631" t="e">
        <f>AVERAGE(AG17:AG20,AG23:AG26,AG29:AG32,AG35:AG38)</f>
        <v>#N/A</v>
      </c>
      <c r="AH15" s="408" t="e">
        <f t="shared" ref="AH15:AH62" si="3">IF(OR(C15&lt;1,C15=""),"",T15+AA15)</f>
        <v>#N/A</v>
      </c>
      <c r="AI15" s="409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132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08">
        <f t="shared" ref="T16:T62" si="29">IF(OR(C16&lt;1,C16=""),"",BL16)</f>
        <v>561.55000000000007</v>
      </c>
      <c r="U16" s="557">
        <f>T16*0.7*0.6*0.6</f>
        <v>141.51059999999998</v>
      </c>
      <c r="V16" s="564"/>
      <c r="W16" s="564"/>
      <c r="X16" s="564"/>
      <c r="Y16" s="519"/>
      <c r="Z16" s="570">
        <f>AVERAGE(Z17:Z20)</f>
        <v>0.24741300693841636</v>
      </c>
      <c r="AA16" s="409" t="e">
        <f t="shared" si="2"/>
        <v>#N/A</v>
      </c>
      <c r="AB16" s="557" t="e">
        <f>AA16*0.7*0.6*0.6</f>
        <v>#N/A</v>
      </c>
      <c r="AC16" s="564"/>
      <c r="AD16" s="564"/>
      <c r="AE16" s="564"/>
      <c r="AF16" s="519"/>
      <c r="AG16" s="570" t="e">
        <f>AVERAGE(AG17:AG20)</f>
        <v>#N/A</v>
      </c>
      <c r="AH16" s="408" t="e">
        <f t="shared" si="3"/>
        <v>#N/A</v>
      </c>
      <c r="AI16" s="409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0">
        <v>1</v>
      </c>
      <c r="D17" s="501" t="s">
        <v>298</v>
      </c>
      <c r="E17" s="502" t="s">
        <v>132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08">
        <f>IF(OR(C17&lt;1,C17=""),"",BL17)</f>
        <v>335</v>
      </c>
      <c r="U17" s="557">
        <f t="shared" si="1"/>
        <v>84.419999999999987</v>
      </c>
      <c r="V17" s="565">
        <v>2981.05</v>
      </c>
      <c r="W17" s="564">
        <f>V17/$W$11</f>
        <v>149.05250000000001</v>
      </c>
      <c r="X17" s="564">
        <f>W17*$X$11</f>
        <v>29.810500000000005</v>
      </c>
      <c r="Y17" s="519">
        <f>W17-X17</f>
        <v>119.242</v>
      </c>
      <c r="Z17" s="569">
        <f>(Y17-U17)/Y17</f>
        <v>0.29202797671961234</v>
      </c>
      <c r="AA17" s="409" t="e">
        <f t="shared" si="2"/>
        <v>#N/A</v>
      </c>
      <c r="AB17" s="557" t="e">
        <f>AA17*0.7*0.6*0.6</f>
        <v>#N/A</v>
      </c>
      <c r="AC17" s="565">
        <f>548.6+332.02</f>
        <v>880.62</v>
      </c>
      <c r="AD17" s="564">
        <f>AC17/$AD$11</f>
        <v>44.030999999999999</v>
      </c>
      <c r="AE17" s="564">
        <f>AD17*$AE$11</f>
        <v>8.8062000000000005</v>
      </c>
      <c r="AF17" s="519">
        <f>AD17-AE17</f>
        <v>35.224800000000002</v>
      </c>
      <c r="AG17" s="569" t="e">
        <f>(AF17-AB17)/AF17</f>
        <v>#N/A</v>
      </c>
      <c r="AH17" s="408" t="e">
        <f t="shared" si="3"/>
        <v>#N/A</v>
      </c>
      <c r="AI17" s="409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0">
        <v>1</v>
      </c>
      <c r="D18" s="501" t="s">
        <v>298</v>
      </c>
      <c r="E18" s="502" t="s">
        <v>132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08">
        <f t="shared" si="29"/>
        <v>470.8</v>
      </c>
      <c r="U18" s="557">
        <f t="shared" si="1"/>
        <v>118.64159999999998</v>
      </c>
      <c r="V18" s="565">
        <f>4206.6</f>
        <v>4206.6000000000004</v>
      </c>
      <c r="W18" s="564">
        <f>V18/$W$11</f>
        <v>210.33</v>
      </c>
      <c r="X18" s="564">
        <f>W18*$X$11</f>
        <v>42.066000000000003</v>
      </c>
      <c r="Y18" s="519">
        <f>W18-X18</f>
        <v>168.26400000000001</v>
      </c>
      <c r="Z18" s="569">
        <f>(Y18-U18)/Y18</f>
        <v>0.2949080017115962</v>
      </c>
      <c r="AA18" s="409" t="e">
        <f t="shared" si="2"/>
        <v>#N/A</v>
      </c>
      <c r="AB18" s="557" t="e">
        <f t="shared" ref="AB18:AB62" si="34">AA18*0.7*0.6*0.6</f>
        <v>#N/A</v>
      </c>
      <c r="AC18" s="565">
        <f>548.6+332.02</f>
        <v>880.62</v>
      </c>
      <c r="AD18" s="564">
        <f>AC18/$AD$11</f>
        <v>44.030999999999999</v>
      </c>
      <c r="AE18" s="564">
        <f>AD18*$AE$11</f>
        <v>8.8062000000000005</v>
      </c>
      <c r="AF18" s="519">
        <f>AD18-AE18</f>
        <v>35.224800000000002</v>
      </c>
      <c r="AG18" s="569" t="e">
        <f>(AF18-AB18)/AF18</f>
        <v>#N/A</v>
      </c>
      <c r="AH18" s="408" t="e">
        <f t="shared" si="3"/>
        <v>#N/A</v>
      </c>
      <c r="AI18" s="409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0">
        <v>1</v>
      </c>
      <c r="D19" s="501" t="s">
        <v>298</v>
      </c>
      <c r="E19" s="502" t="s">
        <v>132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08">
        <f t="shared" si="29"/>
        <v>505.15000000000003</v>
      </c>
      <c r="U19" s="557">
        <f t="shared" si="1"/>
        <v>127.2978</v>
      </c>
      <c r="V19" s="565">
        <f>4359.54</f>
        <v>4359.54</v>
      </c>
      <c r="W19" s="564">
        <f>V19/$W$11</f>
        <v>217.977</v>
      </c>
      <c r="X19" s="564">
        <f>W19*$X$11</f>
        <v>43.595400000000005</v>
      </c>
      <c r="Y19" s="519">
        <f>W19-X19</f>
        <v>174.38159999999999</v>
      </c>
      <c r="Z19" s="569">
        <f>(Y19-U19)/Y19</f>
        <v>0.27000440413438115</v>
      </c>
      <c r="AA19" s="409" t="e">
        <f t="shared" si="2"/>
        <v>#N/A</v>
      </c>
      <c r="AB19" s="557" t="e">
        <f t="shared" si="34"/>
        <v>#N/A</v>
      </c>
      <c r="AC19" s="565">
        <f>548.6+332.02</f>
        <v>880.62</v>
      </c>
      <c r="AD19" s="564">
        <f>AC19/$AD$11</f>
        <v>44.030999999999999</v>
      </c>
      <c r="AE19" s="564">
        <f>AD19*$AE$11</f>
        <v>8.8062000000000005</v>
      </c>
      <c r="AF19" s="519">
        <f>AD19-AE19</f>
        <v>35.224800000000002</v>
      </c>
      <c r="AG19" s="569" t="e">
        <f>(AF19-AB19)/AF19</f>
        <v>#N/A</v>
      </c>
      <c r="AH19" s="408" t="e">
        <f t="shared" si="3"/>
        <v>#N/A</v>
      </c>
      <c r="AI19" s="409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0">
        <v>1</v>
      </c>
      <c r="D20" s="501" t="s">
        <v>298</v>
      </c>
      <c r="E20" s="502" t="s">
        <v>132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08">
        <f t="shared" si="29"/>
        <v>618.40000000000009</v>
      </c>
      <c r="U20" s="557">
        <f t="shared" si="1"/>
        <v>155.83680000000001</v>
      </c>
      <c r="V20" s="565">
        <f>4492.07</f>
        <v>4492.07</v>
      </c>
      <c r="W20" s="564">
        <f>V20/$W$11</f>
        <v>224.6035</v>
      </c>
      <c r="X20" s="564">
        <f>W20*$X$11</f>
        <v>44.920700000000004</v>
      </c>
      <c r="Y20" s="519">
        <f>W20-X20</f>
        <v>179.68279999999999</v>
      </c>
      <c r="Z20" s="569">
        <f>(Y20-U20)/Y20</f>
        <v>0.13271164518807574</v>
      </c>
      <c r="AA20" s="409" t="e">
        <f t="shared" si="2"/>
        <v>#N/A</v>
      </c>
      <c r="AB20" s="557" t="e">
        <f t="shared" si="34"/>
        <v>#N/A</v>
      </c>
      <c r="AC20" s="565">
        <f>548.6+332.02</f>
        <v>880.62</v>
      </c>
      <c r="AD20" s="564">
        <f>AC20/$AD$11</f>
        <v>44.030999999999999</v>
      </c>
      <c r="AE20" s="564">
        <f>AD20*$AE$11</f>
        <v>8.8062000000000005</v>
      </c>
      <c r="AF20" s="519">
        <f>AD20-AE20</f>
        <v>35.224800000000002</v>
      </c>
      <c r="AG20" s="569" t="e">
        <f>(AF20-AB20)/AF20</f>
        <v>#N/A</v>
      </c>
      <c r="AH20" s="408" t="e">
        <f t="shared" si="3"/>
        <v>#N/A</v>
      </c>
      <c r="AI20" s="409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4">
        <v>1</v>
      </c>
      <c r="D21" s="545" t="s">
        <v>298</v>
      </c>
      <c r="E21" s="546" t="s">
        <v>132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4">
        <f>IF(OR(C21&lt;1,C21=""),"",BL21)</f>
        <v>459.25</v>
      </c>
      <c r="U21" s="557">
        <f t="shared" si="1"/>
        <v>115.73099999999997</v>
      </c>
      <c r="V21" s="565"/>
      <c r="W21" s="565"/>
      <c r="X21" s="564"/>
      <c r="Y21" s="519"/>
      <c r="Z21" s="519"/>
      <c r="AA21" s="409" t="e">
        <f t="shared" si="2"/>
        <v>#N/A</v>
      </c>
      <c r="AB21" s="557" t="e">
        <f t="shared" si="34"/>
        <v>#N/A</v>
      </c>
      <c r="AC21" s="565"/>
      <c r="AD21" s="565"/>
      <c r="AE21" s="564"/>
      <c r="AF21" s="519"/>
      <c r="AG21" s="519"/>
      <c r="AH21" s="408" t="e">
        <f t="shared" si="3"/>
        <v>#N/A</v>
      </c>
      <c r="AI21" s="409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38">
        <v>1</v>
      </c>
      <c r="D22" s="539" t="s">
        <v>298</v>
      </c>
      <c r="E22" s="540" t="s">
        <v>132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08">
        <f t="shared" si="29"/>
        <v>752.80000000000007</v>
      </c>
      <c r="U22" s="557">
        <f t="shared" si="1"/>
        <v>189.70559999999998</v>
      </c>
      <c r="V22" s="565"/>
      <c r="W22" s="565"/>
      <c r="X22" s="564"/>
      <c r="Y22" s="519"/>
      <c r="Z22" s="570">
        <f>AVERAGE(Z23:Z26)</f>
        <v>0.19344200201706357</v>
      </c>
      <c r="AA22" s="409" t="e">
        <f t="shared" si="2"/>
        <v>#N/A</v>
      </c>
      <c r="AB22" s="557" t="e">
        <f t="shared" si="34"/>
        <v>#N/A</v>
      </c>
      <c r="AC22" s="565"/>
      <c r="AD22" s="565"/>
      <c r="AE22" s="564"/>
      <c r="AF22" s="519"/>
      <c r="AG22" s="570" t="e">
        <f>AVERAGE(AG23:AG26)</f>
        <v>#N/A</v>
      </c>
      <c r="AH22" s="408" t="e">
        <f t="shared" si="3"/>
        <v>#N/A</v>
      </c>
      <c r="AI22" s="409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0">
        <v>1</v>
      </c>
      <c r="D23" s="501" t="s">
        <v>298</v>
      </c>
      <c r="E23" s="502" t="s">
        <v>132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4">
        <f t="shared" si="29"/>
        <v>448.95000000000005</v>
      </c>
      <c r="U23" s="557">
        <f t="shared" si="1"/>
        <v>113.13539999999999</v>
      </c>
      <c r="V23" s="565">
        <v>3725.63</v>
      </c>
      <c r="W23" s="564">
        <f>V23/$W$11</f>
        <v>186.28149999999999</v>
      </c>
      <c r="X23" s="564">
        <f>W23*$X$11</f>
        <v>37.256300000000003</v>
      </c>
      <c r="Y23" s="519">
        <f>W23-X23</f>
        <v>149.02519999999998</v>
      </c>
      <c r="Z23" s="569">
        <f>(Y23-U23)/Y23</f>
        <v>0.24083040989040777</v>
      </c>
      <c r="AA23" s="409" t="e">
        <f t="shared" si="2"/>
        <v>#N/A</v>
      </c>
      <c r="AB23" s="557" t="e">
        <f t="shared" si="34"/>
        <v>#N/A</v>
      </c>
      <c r="AC23" s="565">
        <f>670.46+332.02</f>
        <v>1002.48</v>
      </c>
      <c r="AD23" s="564">
        <f>AC23/$AD$11</f>
        <v>50.124000000000002</v>
      </c>
      <c r="AE23" s="564">
        <f>AD23*$AE$11</f>
        <v>10.024800000000001</v>
      </c>
      <c r="AF23" s="519">
        <f>AD23-AE23</f>
        <v>40.099200000000003</v>
      </c>
      <c r="AG23" s="569" t="e">
        <f>(AF23-AB23)/AF23</f>
        <v>#N/A</v>
      </c>
      <c r="AH23" s="408" t="e">
        <f t="shared" si="3"/>
        <v>#N/A</v>
      </c>
      <c r="AI23" s="409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0">
        <v>1</v>
      </c>
      <c r="D24" s="501" t="s">
        <v>298</v>
      </c>
      <c r="E24" s="502" t="s">
        <v>132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4">
        <f t="shared" si="29"/>
        <v>631.1</v>
      </c>
      <c r="U24" s="557">
        <f t="shared" si="1"/>
        <v>159.03719999999996</v>
      </c>
      <c r="V24" s="565">
        <f>5262.84</f>
        <v>5262.84</v>
      </c>
      <c r="W24" s="564">
        <f>V24/$W$11</f>
        <v>263.142</v>
      </c>
      <c r="X24" s="564">
        <f>W24*$X$11</f>
        <v>52.628399999999999</v>
      </c>
      <c r="Y24" s="519">
        <f>W24-X24</f>
        <v>210.5136</v>
      </c>
      <c r="Z24" s="569">
        <f>(Y24-U24)/Y24</f>
        <v>0.24452766947123625</v>
      </c>
      <c r="AA24" s="409" t="e">
        <f t="shared" si="2"/>
        <v>#N/A</v>
      </c>
      <c r="AB24" s="557" t="e">
        <f t="shared" si="34"/>
        <v>#N/A</v>
      </c>
      <c r="AC24" s="565">
        <f>670.46+332.02</f>
        <v>1002.48</v>
      </c>
      <c r="AD24" s="564">
        <f>AC24/$AD$11</f>
        <v>50.124000000000002</v>
      </c>
      <c r="AE24" s="564">
        <f>AD24*$AE$11</f>
        <v>10.024800000000001</v>
      </c>
      <c r="AF24" s="519">
        <f>AD24-AE24</f>
        <v>40.099200000000003</v>
      </c>
      <c r="AG24" s="569" t="e">
        <f>(AF24-AB24)/AF24</f>
        <v>#N/A</v>
      </c>
      <c r="AH24" s="408" t="e">
        <f t="shared" si="3"/>
        <v>#N/A</v>
      </c>
      <c r="AI24" s="409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0">
        <v>1</v>
      </c>
      <c r="D25" s="501" t="s">
        <v>298</v>
      </c>
      <c r="E25" s="502" t="s">
        <v>132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4">
        <f t="shared" si="29"/>
        <v>677.2</v>
      </c>
      <c r="U25" s="557">
        <f t="shared" si="1"/>
        <v>170.65439999999998</v>
      </c>
      <c r="V25" s="565">
        <f>5453.87</f>
        <v>5453.87</v>
      </c>
      <c r="W25" s="564">
        <f>V25/$W$11</f>
        <v>272.69349999999997</v>
      </c>
      <c r="X25" s="564">
        <f>W25*$X$11</f>
        <v>54.538699999999999</v>
      </c>
      <c r="Y25" s="519">
        <f>W25-X25</f>
        <v>218.15479999999997</v>
      </c>
      <c r="Z25" s="569">
        <f>(Y25-U25)/Y25</f>
        <v>0.21773712978123788</v>
      </c>
      <c r="AA25" s="409" t="e">
        <f t="shared" si="2"/>
        <v>#N/A</v>
      </c>
      <c r="AB25" s="557" t="e">
        <f t="shared" si="34"/>
        <v>#N/A</v>
      </c>
      <c r="AC25" s="565">
        <f>670.46+332.02</f>
        <v>1002.48</v>
      </c>
      <c r="AD25" s="564">
        <f>AC25/$AD$11</f>
        <v>50.124000000000002</v>
      </c>
      <c r="AE25" s="564">
        <f>AD25*$AE$11</f>
        <v>10.024800000000001</v>
      </c>
      <c r="AF25" s="519">
        <f>AD25-AE25</f>
        <v>40.099200000000003</v>
      </c>
      <c r="AG25" s="569" t="e">
        <f>(AF25-AB25)/AF25</f>
        <v>#N/A</v>
      </c>
      <c r="AH25" s="408" t="e">
        <f t="shared" si="3"/>
        <v>#N/A</v>
      </c>
      <c r="AI25" s="409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0">
        <v>1</v>
      </c>
      <c r="D26" s="501" t="s">
        <v>298</v>
      </c>
      <c r="E26" s="502" t="s">
        <v>132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4">
        <f t="shared" si="29"/>
        <v>829.1</v>
      </c>
      <c r="U26" s="557">
        <f t="shared" si="1"/>
        <v>208.93319999999997</v>
      </c>
      <c r="V26" s="565">
        <f>5620.55</f>
        <v>5620.55</v>
      </c>
      <c r="W26" s="564">
        <f>V26/$W$11</f>
        <v>281.02750000000003</v>
      </c>
      <c r="X26" s="564">
        <f>W26*$X$11</f>
        <v>56.205500000000008</v>
      </c>
      <c r="Y26" s="519">
        <f>W26-X26</f>
        <v>224.82200000000003</v>
      </c>
      <c r="Z26" s="569">
        <f>(Y26-U26)/Y26</f>
        <v>7.0672798925372329E-2</v>
      </c>
      <c r="AA26" s="409" t="e">
        <f t="shared" si="2"/>
        <v>#N/A</v>
      </c>
      <c r="AB26" s="557" t="e">
        <f t="shared" si="34"/>
        <v>#N/A</v>
      </c>
      <c r="AC26" s="565">
        <f>670.46+332.02</f>
        <v>1002.48</v>
      </c>
      <c r="AD26" s="564">
        <f>AC26/$AD$11</f>
        <v>50.124000000000002</v>
      </c>
      <c r="AE26" s="564">
        <f>AD26*$AE$11</f>
        <v>10.024800000000001</v>
      </c>
      <c r="AF26" s="519">
        <f>AD26-AE26</f>
        <v>40.099200000000003</v>
      </c>
      <c r="AG26" s="569" t="e">
        <f>(AF26-AB26)/AF26</f>
        <v>#N/A</v>
      </c>
      <c r="AH26" s="408" t="e">
        <f t="shared" si="3"/>
        <v>#N/A</v>
      </c>
      <c r="AI26" s="409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4">
        <v>1</v>
      </c>
      <c r="D27" s="545" t="s">
        <v>298</v>
      </c>
      <c r="E27" s="546" t="s">
        <v>132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08">
        <f t="shared" si="29"/>
        <v>568.80000000000007</v>
      </c>
      <c r="U27" s="557">
        <f t="shared" si="1"/>
        <v>143.33760000000001</v>
      </c>
      <c r="V27" s="565"/>
      <c r="W27" s="565"/>
      <c r="X27" s="564"/>
      <c r="Y27" s="519"/>
      <c r="Z27" s="519"/>
      <c r="AA27" s="409" t="e">
        <f t="shared" si="2"/>
        <v>#N/A</v>
      </c>
      <c r="AB27" s="557" t="e">
        <f t="shared" si="34"/>
        <v>#N/A</v>
      </c>
      <c r="AC27" s="565"/>
      <c r="AD27" s="565"/>
      <c r="AE27" s="564"/>
      <c r="AF27" s="519"/>
      <c r="AG27" s="519"/>
      <c r="AH27" s="408" t="e">
        <f t="shared" si="3"/>
        <v>#N/A</v>
      </c>
      <c r="AI27" s="409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38">
        <v>1</v>
      </c>
      <c r="D28" s="539" t="s">
        <v>298</v>
      </c>
      <c r="E28" s="540" t="s">
        <v>132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08">
        <f t="shared" si="29"/>
        <v>931.75</v>
      </c>
      <c r="U28" s="557">
        <f t="shared" si="1"/>
        <v>234.80099999999993</v>
      </c>
      <c r="V28" s="565"/>
      <c r="W28" s="565"/>
      <c r="X28" s="564"/>
      <c r="Y28" s="519"/>
      <c r="Z28" s="570">
        <f>AVERAGE(Z29:Z32)</f>
        <v>0.16836369736717974</v>
      </c>
      <c r="AA28" s="409" t="e">
        <f t="shared" si="2"/>
        <v>#N/A</v>
      </c>
      <c r="AB28" s="557" t="e">
        <f t="shared" si="34"/>
        <v>#N/A</v>
      </c>
      <c r="AC28" s="565"/>
      <c r="AD28" s="565"/>
      <c r="AE28" s="564"/>
      <c r="AF28" s="519"/>
      <c r="AG28" s="570" t="e">
        <f>AVERAGE(AG29:AG32)</f>
        <v>#N/A</v>
      </c>
      <c r="AH28" s="408" t="e">
        <f t="shared" si="3"/>
        <v>#N/A</v>
      </c>
      <c r="AI28" s="409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0">
        <v>1</v>
      </c>
      <c r="D29" s="501" t="s">
        <v>298</v>
      </c>
      <c r="E29" s="502" t="s">
        <v>132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08">
        <f t="shared" si="29"/>
        <v>556.05000000000007</v>
      </c>
      <c r="U29" s="557">
        <f t="shared" si="1"/>
        <v>140.12459999999999</v>
      </c>
      <c r="V29" s="565">
        <f>4470.21</f>
        <v>4470.21</v>
      </c>
      <c r="W29" s="564">
        <f>V29/$W$11</f>
        <v>223.51050000000001</v>
      </c>
      <c r="X29" s="564">
        <f>W29*$X$11</f>
        <v>44.702100000000002</v>
      </c>
      <c r="Y29" s="519">
        <f>W29-X29</f>
        <v>178.80840000000001</v>
      </c>
      <c r="Z29" s="569">
        <f>(Y29-U29)/Y29</f>
        <v>0.21634218526646409</v>
      </c>
      <c r="AA29" s="409" t="e">
        <f t="shared" si="2"/>
        <v>#N/A</v>
      </c>
      <c r="AB29" s="557" t="e">
        <f t="shared" si="34"/>
        <v>#N/A</v>
      </c>
      <c r="AC29" s="565">
        <f>778.05+332.02</f>
        <v>1110.07</v>
      </c>
      <c r="AD29" s="564">
        <f>AC29/$AD$11</f>
        <v>55.503499999999995</v>
      </c>
      <c r="AE29" s="564">
        <f>AD29*$AE$11</f>
        <v>11.1007</v>
      </c>
      <c r="AF29" s="519">
        <f>AD29-AE29</f>
        <v>44.402799999999999</v>
      </c>
      <c r="AG29" s="569" t="e">
        <f>(AF29-AB29)/AF29</f>
        <v>#N/A</v>
      </c>
      <c r="AH29" s="408" t="e">
        <f t="shared" si="3"/>
        <v>#N/A</v>
      </c>
      <c r="AI29" s="409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0">
        <v>1</v>
      </c>
      <c r="D30" s="501" t="s">
        <v>298</v>
      </c>
      <c r="E30" s="502" t="s">
        <v>132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08">
        <f t="shared" si="29"/>
        <v>781.30000000000007</v>
      </c>
      <c r="U30" s="557">
        <f t="shared" si="1"/>
        <v>196.88759999999996</v>
      </c>
      <c r="V30" s="565">
        <f>6319.08</f>
        <v>6319.08</v>
      </c>
      <c r="W30" s="564">
        <f>V30/$W$11</f>
        <v>315.95400000000001</v>
      </c>
      <c r="X30" s="564">
        <f>W30*$X$11</f>
        <v>63.190800000000003</v>
      </c>
      <c r="Y30" s="519">
        <f>W30-X30</f>
        <v>252.76320000000001</v>
      </c>
      <c r="Z30" s="569">
        <f>(Y30-U30)/Y30</f>
        <v>0.22105907822024742</v>
      </c>
      <c r="AA30" s="409" t="e">
        <f t="shared" si="2"/>
        <v>#N/A</v>
      </c>
      <c r="AB30" s="557" t="e">
        <f t="shared" si="34"/>
        <v>#N/A</v>
      </c>
      <c r="AC30" s="565">
        <f>778.05+332.02</f>
        <v>1110.07</v>
      </c>
      <c r="AD30" s="564">
        <f>AC30/$AD$11</f>
        <v>55.503499999999995</v>
      </c>
      <c r="AE30" s="564">
        <f>AD30*$AE$11</f>
        <v>11.1007</v>
      </c>
      <c r="AF30" s="519">
        <f>AD30-AE30</f>
        <v>44.402799999999999</v>
      </c>
      <c r="AG30" s="569" t="e">
        <f>(AF30-AB30)/AF30</f>
        <v>#N/A</v>
      </c>
      <c r="AH30" s="408" t="e">
        <f t="shared" si="3"/>
        <v>#N/A</v>
      </c>
      <c r="AI30" s="409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0">
        <v>1</v>
      </c>
      <c r="D31" s="501" t="s">
        <v>298</v>
      </c>
      <c r="E31" s="502" t="s">
        <v>132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08">
        <f t="shared" si="29"/>
        <v>838.25</v>
      </c>
      <c r="U31" s="557">
        <f t="shared" si="1"/>
        <v>211.239</v>
      </c>
      <c r="V31" s="565">
        <f>6549.56</f>
        <v>6549.56</v>
      </c>
      <c r="W31" s="564">
        <f>V31/$W$11</f>
        <v>327.47800000000001</v>
      </c>
      <c r="X31" s="564">
        <f>W31*$X$11</f>
        <v>65.49560000000001</v>
      </c>
      <c r="Y31" s="519">
        <f>W31-X31</f>
        <v>261.98239999999998</v>
      </c>
      <c r="Z31" s="569">
        <f>(Y31-U31)/Y31</f>
        <v>0.19369011048070398</v>
      </c>
      <c r="AA31" s="409" t="e">
        <f t="shared" si="2"/>
        <v>#N/A</v>
      </c>
      <c r="AB31" s="557" t="e">
        <f t="shared" si="34"/>
        <v>#N/A</v>
      </c>
      <c r="AC31" s="565">
        <f>778.05+332.02</f>
        <v>1110.07</v>
      </c>
      <c r="AD31" s="564">
        <f>AC31/$AD$11</f>
        <v>55.503499999999995</v>
      </c>
      <c r="AE31" s="564">
        <f>AD31*$AE$11</f>
        <v>11.1007</v>
      </c>
      <c r="AF31" s="519">
        <f>AD31-AE31</f>
        <v>44.402799999999999</v>
      </c>
      <c r="AG31" s="569" t="e">
        <f>(AF31-AB31)/AF31</f>
        <v>#N/A</v>
      </c>
      <c r="AH31" s="408" t="e">
        <f t="shared" si="3"/>
        <v>#N/A</v>
      </c>
      <c r="AI31" s="409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0">
        <v>1</v>
      </c>
      <c r="D32" s="501" t="s">
        <v>298</v>
      </c>
      <c r="E32" s="502" t="s">
        <v>132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08">
        <f t="shared" si="29"/>
        <v>1026.1000000000001</v>
      </c>
      <c r="U32" s="557">
        <f t="shared" si="1"/>
        <v>258.5772</v>
      </c>
      <c r="V32" s="565">
        <f>6750.4</f>
        <v>6750.4</v>
      </c>
      <c r="W32" s="564">
        <f>V32/$W$11</f>
        <v>337.52</v>
      </c>
      <c r="X32" s="564">
        <f>W32*$X$11</f>
        <v>67.504000000000005</v>
      </c>
      <c r="Y32" s="519">
        <f>W32-X32</f>
        <v>270.01599999999996</v>
      </c>
      <c r="Z32" s="569">
        <f>(Y32-U32)/Y32</f>
        <v>4.2363415501303479E-2</v>
      </c>
      <c r="AA32" s="409" t="e">
        <f t="shared" si="2"/>
        <v>#N/A</v>
      </c>
      <c r="AB32" s="557" t="e">
        <f t="shared" si="34"/>
        <v>#N/A</v>
      </c>
      <c r="AC32" s="565">
        <f>778.05+332.02</f>
        <v>1110.07</v>
      </c>
      <c r="AD32" s="564">
        <f>AC32/$AD$11</f>
        <v>55.503499999999995</v>
      </c>
      <c r="AE32" s="564">
        <f>AD32*$AE$11</f>
        <v>11.1007</v>
      </c>
      <c r="AF32" s="519">
        <f>AD32-AE32</f>
        <v>44.402799999999999</v>
      </c>
      <c r="AG32" s="569" t="e">
        <f>(AF32-AB32)/AF32</f>
        <v>#N/A</v>
      </c>
      <c r="AH32" s="408" t="e">
        <f t="shared" si="3"/>
        <v>#N/A</v>
      </c>
      <c r="AI32" s="409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4">
        <v>1</v>
      </c>
      <c r="D33" s="545" t="s">
        <v>298</v>
      </c>
      <c r="E33" s="546" t="s">
        <v>132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08">
        <f t="shared" si="29"/>
        <v>685.35</v>
      </c>
      <c r="U33" s="557">
        <f t="shared" si="1"/>
        <v>172.70819999999998</v>
      </c>
      <c r="V33" s="565"/>
      <c r="W33" s="565"/>
      <c r="X33" s="564"/>
      <c r="Y33" s="519"/>
      <c r="Z33" s="519"/>
      <c r="AA33" s="409" t="e">
        <f t="shared" si="2"/>
        <v>#N/A</v>
      </c>
      <c r="AB33" s="557" t="e">
        <f t="shared" si="34"/>
        <v>#N/A</v>
      </c>
      <c r="AC33" s="565"/>
      <c r="AD33" s="565"/>
      <c r="AE33" s="564"/>
      <c r="AF33" s="519"/>
      <c r="AG33" s="519"/>
      <c r="AH33" s="408" t="e">
        <f t="shared" si="3"/>
        <v>#N/A</v>
      </c>
      <c r="AI33" s="409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38">
        <v>1</v>
      </c>
      <c r="D34" s="539" t="s">
        <v>298</v>
      </c>
      <c r="E34" s="540" t="s">
        <v>132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08">
        <f t="shared" si="29"/>
        <v>1123.05</v>
      </c>
      <c r="U34" s="557">
        <f t="shared" si="1"/>
        <v>283.00859999999994</v>
      </c>
      <c r="V34" s="565"/>
      <c r="W34" s="565"/>
      <c r="X34" s="564"/>
      <c r="Y34" s="519"/>
      <c r="Z34" s="570">
        <f>AVERAGE(Z35:Z38)</f>
        <v>0.14975131189977098</v>
      </c>
      <c r="AA34" s="409" t="e">
        <f t="shared" si="2"/>
        <v>#N/A</v>
      </c>
      <c r="AB34" s="557" t="e">
        <f t="shared" si="34"/>
        <v>#N/A</v>
      </c>
      <c r="AC34" s="565"/>
      <c r="AD34" s="565"/>
      <c r="AE34" s="564"/>
      <c r="AF34" s="519"/>
      <c r="AG34" s="570" t="e">
        <f>AVERAGE(AG35:AG38)</f>
        <v>#N/A</v>
      </c>
      <c r="AH34" s="408" t="e">
        <f t="shared" si="3"/>
        <v>#N/A</v>
      </c>
      <c r="AI34" s="409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0">
        <v>1</v>
      </c>
      <c r="D35" s="501" t="s">
        <v>298</v>
      </c>
      <c r="E35" s="502" t="s">
        <v>132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08">
        <f t="shared" si="29"/>
        <v>670</v>
      </c>
      <c r="U35" s="557">
        <f t="shared" si="1"/>
        <v>168.83999999999997</v>
      </c>
      <c r="V35" s="565">
        <f>5279</f>
        <v>5279</v>
      </c>
      <c r="W35" s="564">
        <f>V35/$W$11</f>
        <v>263.95</v>
      </c>
      <c r="X35" s="564">
        <f>W35*$X$11</f>
        <v>52.79</v>
      </c>
      <c r="Y35" s="519">
        <f>W35-X35</f>
        <v>211.16</v>
      </c>
      <c r="Z35" s="569">
        <f>(Y35-U35)/Y35</f>
        <v>0.20041674559575687</v>
      </c>
      <c r="AA35" s="409" t="e">
        <f t="shared" si="2"/>
        <v>#N/A</v>
      </c>
      <c r="AB35" s="557" t="e">
        <f t="shared" si="34"/>
        <v>#N/A</v>
      </c>
      <c r="AC35" s="565">
        <f>933.88+332.02</f>
        <v>1265.9000000000001</v>
      </c>
      <c r="AD35" s="564">
        <f>AC35/$AD$11</f>
        <v>63.295000000000002</v>
      </c>
      <c r="AE35" s="564">
        <f>AD35*$AE$11</f>
        <v>12.659000000000001</v>
      </c>
      <c r="AF35" s="519">
        <f>AD35-AE35</f>
        <v>50.636000000000003</v>
      </c>
      <c r="AG35" s="569" t="e">
        <f>(AF35-AB35)/AF35</f>
        <v>#N/A</v>
      </c>
      <c r="AH35" s="408" t="e">
        <f t="shared" si="3"/>
        <v>#N/A</v>
      </c>
      <c r="AI35" s="409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0">
        <v>1</v>
      </c>
      <c r="D36" s="501" t="s">
        <v>298</v>
      </c>
      <c r="E36" s="502" t="s">
        <v>132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08">
        <f t="shared" si="29"/>
        <v>941.6</v>
      </c>
      <c r="U36" s="557">
        <f t="shared" si="1"/>
        <v>237.28319999999997</v>
      </c>
      <c r="V36" s="565">
        <f>7456.32</f>
        <v>7456.32</v>
      </c>
      <c r="W36" s="564">
        <f>V36/$W$11</f>
        <v>372.81599999999997</v>
      </c>
      <c r="X36" s="564">
        <f>W36*$X$11</f>
        <v>74.563199999999995</v>
      </c>
      <c r="Y36" s="519">
        <f>W36-X36</f>
        <v>298.25279999999998</v>
      </c>
      <c r="Z36" s="569">
        <f>(Y36-U36)/Y36</f>
        <v>0.20442255697180384</v>
      </c>
      <c r="AA36" s="409" t="e">
        <f t="shared" si="2"/>
        <v>#N/A</v>
      </c>
      <c r="AB36" s="557" t="e">
        <f t="shared" si="34"/>
        <v>#N/A</v>
      </c>
      <c r="AC36" s="565">
        <f>933.88+332.02</f>
        <v>1265.9000000000001</v>
      </c>
      <c r="AD36" s="564">
        <f>AC36/$AD$11</f>
        <v>63.295000000000002</v>
      </c>
      <c r="AE36" s="564">
        <f>AD36*$AE$11</f>
        <v>12.659000000000001</v>
      </c>
      <c r="AF36" s="519">
        <f>AD36-AE36</f>
        <v>50.636000000000003</v>
      </c>
      <c r="AG36" s="569" t="e">
        <f>(AF36-AB36)/AF36</f>
        <v>#N/A</v>
      </c>
      <c r="AH36" s="408" t="e">
        <f t="shared" si="3"/>
        <v>#N/A</v>
      </c>
      <c r="AI36" s="409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0">
        <v>1</v>
      </c>
      <c r="D37" s="501" t="s">
        <v>298</v>
      </c>
      <c r="E37" s="502" t="s">
        <v>132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08">
        <f t="shared" si="29"/>
        <v>1010.3000000000001</v>
      </c>
      <c r="U37" s="557">
        <f t="shared" si="1"/>
        <v>254.59559999999999</v>
      </c>
      <c r="V37" s="565">
        <f>7706.74</f>
        <v>7706.74</v>
      </c>
      <c r="W37" s="564">
        <f>V37/$W$11</f>
        <v>385.33699999999999</v>
      </c>
      <c r="X37" s="564">
        <f>W37*$X$11</f>
        <v>77.067400000000006</v>
      </c>
      <c r="Y37" s="519">
        <f>W37-X37</f>
        <v>308.26959999999997</v>
      </c>
      <c r="Z37" s="569">
        <f>(Y37-U37)/Y37</f>
        <v>0.17411382763658817</v>
      </c>
      <c r="AA37" s="409" t="e">
        <f t="shared" si="2"/>
        <v>#N/A</v>
      </c>
      <c r="AB37" s="557" t="e">
        <f t="shared" si="34"/>
        <v>#N/A</v>
      </c>
      <c r="AC37" s="565">
        <f>933.88+332.02</f>
        <v>1265.9000000000001</v>
      </c>
      <c r="AD37" s="564">
        <f>AC37/$AD$11</f>
        <v>63.295000000000002</v>
      </c>
      <c r="AE37" s="564">
        <f>AD37*$AE$11</f>
        <v>12.659000000000001</v>
      </c>
      <c r="AF37" s="519">
        <f>AD37-AE37</f>
        <v>50.636000000000003</v>
      </c>
      <c r="AG37" s="569" t="e">
        <f>(AF37-AB37)/AF37</f>
        <v>#N/A</v>
      </c>
      <c r="AH37" s="408" t="e">
        <f t="shared" si="3"/>
        <v>#N/A</v>
      </c>
      <c r="AI37" s="409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0">
        <v>1</v>
      </c>
      <c r="D38" s="501" t="s">
        <v>298</v>
      </c>
      <c r="E38" s="502" t="s">
        <v>132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08">
        <f t="shared" si="29"/>
        <v>1236.8000000000002</v>
      </c>
      <c r="U38" s="557">
        <f t="shared" si="1"/>
        <v>311.67360000000002</v>
      </c>
      <c r="V38" s="565">
        <f>7951.28</f>
        <v>7951.28</v>
      </c>
      <c r="W38" s="564">
        <f>V38/$W$11</f>
        <v>397.56399999999996</v>
      </c>
      <c r="X38" s="564">
        <f>W38*$X$11</f>
        <v>79.512799999999999</v>
      </c>
      <c r="Y38" s="519">
        <f>W38-X38</f>
        <v>318.05119999999999</v>
      </c>
      <c r="Z38" s="569">
        <f>(Y38-U38)/Y38</f>
        <v>2.0052117394935069E-2</v>
      </c>
      <c r="AA38" s="409" t="e">
        <f t="shared" si="2"/>
        <v>#N/A</v>
      </c>
      <c r="AB38" s="557" t="e">
        <f t="shared" si="34"/>
        <v>#N/A</v>
      </c>
      <c r="AC38" s="565">
        <f>933.88+332.02</f>
        <v>1265.9000000000001</v>
      </c>
      <c r="AD38" s="564">
        <f>AC38/$AD$11</f>
        <v>63.295000000000002</v>
      </c>
      <c r="AE38" s="564">
        <f>AD38*$AE$11</f>
        <v>12.659000000000001</v>
      </c>
      <c r="AF38" s="519">
        <f>AD38-AE38</f>
        <v>50.636000000000003</v>
      </c>
      <c r="AG38" s="569" t="e">
        <f>(AF38-AB38)/AF38</f>
        <v>#N/A</v>
      </c>
      <c r="AH38" s="408" t="e">
        <f t="shared" si="3"/>
        <v>#N/A</v>
      </c>
      <c r="AI38" s="409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0">
        <v>1</v>
      </c>
      <c r="D39" s="551" t="s">
        <v>298</v>
      </c>
      <c r="E39" s="552" t="s">
        <v>132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08">
        <f t="shared" si="29"/>
        <v>207.75</v>
      </c>
      <c r="U39" s="557">
        <f t="shared" si="1"/>
        <v>52.352999999999987</v>
      </c>
      <c r="V39" s="565"/>
      <c r="W39" s="565"/>
      <c r="X39" s="564"/>
      <c r="Y39" s="519"/>
      <c r="Z39" s="631">
        <f>AVERAGE(Z41:Z44,Z47:Z50,Z53:Z56,Z59:Z62)</f>
        <v>0.16398572120314886</v>
      </c>
      <c r="AA39" s="409" t="e">
        <f t="shared" si="2"/>
        <v>#N/A</v>
      </c>
      <c r="AB39" s="557" t="e">
        <f t="shared" si="34"/>
        <v>#N/A</v>
      </c>
      <c r="AC39" s="565"/>
      <c r="AD39" s="565"/>
      <c r="AE39" s="564"/>
      <c r="AF39" s="519"/>
      <c r="AG39" s="631" t="e">
        <f>AVERAGE(AG41:AG44,AG47:AG50,AG53:AG56,AG59:AG62)</f>
        <v>#N/A</v>
      </c>
      <c r="AH39" s="408" t="e">
        <f t="shared" si="3"/>
        <v>#N/A</v>
      </c>
      <c r="AI39" s="409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6">
        <v>1</v>
      </c>
      <c r="D40" s="507" t="s">
        <v>298</v>
      </c>
      <c r="E40" s="508" t="s">
        <v>132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08">
        <f t="shared" si="29"/>
        <v>315.75</v>
      </c>
      <c r="U40" s="557">
        <f t="shared" si="1"/>
        <v>79.568999999999988</v>
      </c>
      <c r="V40" s="565"/>
      <c r="W40" s="565"/>
      <c r="X40" s="564"/>
      <c r="Y40" s="519"/>
      <c r="Z40" s="570">
        <f>AVERAGE(Z41:Z44)</f>
        <v>0.19917724993384794</v>
      </c>
      <c r="AA40" s="409" t="e">
        <f t="shared" si="2"/>
        <v>#N/A</v>
      </c>
      <c r="AB40" s="557" t="e">
        <f t="shared" si="34"/>
        <v>#N/A</v>
      </c>
      <c r="AC40" s="565"/>
      <c r="AD40" s="565"/>
      <c r="AE40" s="564"/>
      <c r="AF40" s="519"/>
      <c r="AG40" s="570" t="e">
        <f>AVERAGE(AG41:AG44)</f>
        <v>#N/A</v>
      </c>
      <c r="AH40" s="408" t="e">
        <f t="shared" si="3"/>
        <v>#N/A</v>
      </c>
      <c r="AI40" s="409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2">
        <v>1</v>
      </c>
      <c r="D41" s="513" t="s">
        <v>298</v>
      </c>
      <c r="E41" s="514" t="s">
        <v>132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08">
        <f t="shared" si="29"/>
        <v>265.75</v>
      </c>
      <c r="U41" s="557">
        <f t="shared" si="1"/>
        <v>66.96899999999998</v>
      </c>
      <c r="V41" s="565">
        <f>2498.04</f>
        <v>2498.04</v>
      </c>
      <c r="W41" s="564">
        <f>V41/$W$11</f>
        <v>124.902</v>
      </c>
      <c r="X41" s="564">
        <f>W41*$X$11</f>
        <v>24.980400000000003</v>
      </c>
      <c r="Y41" s="519">
        <f>W41-X41</f>
        <v>99.921599999999998</v>
      </c>
      <c r="Z41" s="569">
        <f>(Y41-U41)/Y41</f>
        <v>0.32978455108805321</v>
      </c>
      <c r="AA41" s="409" t="e">
        <f t="shared" si="2"/>
        <v>#N/A</v>
      </c>
      <c r="AB41" s="557" t="e">
        <f t="shared" si="34"/>
        <v>#N/A</v>
      </c>
      <c r="AC41" s="565">
        <f>548.6+332.02</f>
        <v>880.62</v>
      </c>
      <c r="AD41" s="564">
        <f>AC41/$AD$11</f>
        <v>44.030999999999999</v>
      </c>
      <c r="AE41" s="564">
        <f>AD41*$AE$11</f>
        <v>8.8062000000000005</v>
      </c>
      <c r="AF41" s="519">
        <f>AD41-AE41</f>
        <v>35.224800000000002</v>
      </c>
      <c r="AG41" s="569" t="e">
        <f>(AF41-AB41)/AF41</f>
        <v>#N/A</v>
      </c>
      <c r="AH41" s="408" t="e">
        <f t="shared" si="3"/>
        <v>#N/A</v>
      </c>
      <c r="AI41" s="409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2">
        <v>1</v>
      </c>
      <c r="D42" s="513" t="s">
        <v>298</v>
      </c>
      <c r="E42" s="514" t="s">
        <v>132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08">
        <f t="shared" si="29"/>
        <v>321</v>
      </c>
      <c r="U42" s="557">
        <f t="shared" si="1"/>
        <v>80.891999999999996</v>
      </c>
      <c r="V42" s="565">
        <f>2762.46</f>
        <v>2762.46</v>
      </c>
      <c r="W42" s="564">
        <f>V42/$W$11</f>
        <v>138.12299999999999</v>
      </c>
      <c r="X42" s="564">
        <f>W42*$X$11</f>
        <v>27.624600000000001</v>
      </c>
      <c r="Y42" s="519">
        <f>W42-X42</f>
        <v>110.49839999999999</v>
      </c>
      <c r="Z42" s="569">
        <f>(Y42-U42)/Y42</f>
        <v>0.26793510132273407</v>
      </c>
      <c r="AA42" s="409" t="e">
        <f t="shared" si="2"/>
        <v>#N/A</v>
      </c>
      <c r="AB42" s="557" t="e">
        <f t="shared" si="34"/>
        <v>#N/A</v>
      </c>
      <c r="AC42" s="565">
        <f>548.6+332.02</f>
        <v>880.62</v>
      </c>
      <c r="AD42" s="564">
        <f>AC42/$AD$11</f>
        <v>44.030999999999999</v>
      </c>
      <c r="AE42" s="564">
        <f>AD42*$AE$11</f>
        <v>8.8062000000000005</v>
      </c>
      <c r="AF42" s="519">
        <f>AD42-AE42</f>
        <v>35.224800000000002</v>
      </c>
      <c r="AG42" s="569" t="e">
        <f>(AF42-AB42)/AF42</f>
        <v>#N/A</v>
      </c>
      <c r="AH42" s="408" t="e">
        <f t="shared" si="3"/>
        <v>#N/A</v>
      </c>
      <c r="AI42" s="409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2">
        <v>1</v>
      </c>
      <c r="D43" s="513" t="s">
        <v>298</v>
      </c>
      <c r="E43" s="514" t="s">
        <v>132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08">
        <f t="shared" si="29"/>
        <v>386.25</v>
      </c>
      <c r="U43" s="557">
        <f t="shared" si="1"/>
        <v>97.334999999999994</v>
      </c>
      <c r="V43" s="565">
        <f>2761.1</f>
        <v>2761.1</v>
      </c>
      <c r="W43" s="564">
        <f>V43/$W$11</f>
        <v>138.05500000000001</v>
      </c>
      <c r="X43" s="564">
        <f>W43*$X$11</f>
        <v>27.611000000000004</v>
      </c>
      <c r="Y43" s="519">
        <f>W43-X43</f>
        <v>110.444</v>
      </c>
      <c r="Z43" s="569">
        <f>(Y43-U43)/Y43</f>
        <v>0.11869363659411113</v>
      </c>
      <c r="AA43" s="409" t="e">
        <f t="shared" si="2"/>
        <v>#N/A</v>
      </c>
      <c r="AB43" s="557" t="e">
        <f t="shared" si="34"/>
        <v>#N/A</v>
      </c>
      <c r="AC43" s="565">
        <f>548.6+332.02</f>
        <v>880.62</v>
      </c>
      <c r="AD43" s="564">
        <f>AC43/$AD$11</f>
        <v>44.030999999999999</v>
      </c>
      <c r="AE43" s="564">
        <f>AD43*$AE$11</f>
        <v>8.8062000000000005</v>
      </c>
      <c r="AF43" s="519">
        <f>AD43-AE43</f>
        <v>35.224800000000002</v>
      </c>
      <c r="AG43" s="569" t="e">
        <f>(AF43-AB43)/AF43</f>
        <v>#N/A</v>
      </c>
      <c r="AH43" s="408" t="e">
        <f t="shared" si="3"/>
        <v>#N/A</v>
      </c>
      <c r="AI43" s="409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2">
        <v>1</v>
      </c>
      <c r="D44" s="513" t="s">
        <v>298</v>
      </c>
      <c r="E44" s="514" t="s">
        <v>132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08">
        <f t="shared" si="29"/>
        <v>448.75</v>
      </c>
      <c r="U44" s="557">
        <f t="shared" si="1"/>
        <v>113.08499999999999</v>
      </c>
      <c r="V44" s="565">
        <f>3073.95</f>
        <v>3073.95</v>
      </c>
      <c r="W44" s="564">
        <f>V44/$W$11</f>
        <v>153.69749999999999</v>
      </c>
      <c r="X44" s="564">
        <f>W44*$X$11</f>
        <v>30.7395</v>
      </c>
      <c r="Y44" s="519">
        <f>W44-X44</f>
        <v>122.958</v>
      </c>
      <c r="Z44" s="569">
        <f>(Y44-U44)/Y44</f>
        <v>8.029571073049338E-2</v>
      </c>
      <c r="AA44" s="409" t="e">
        <f t="shared" si="2"/>
        <v>#N/A</v>
      </c>
      <c r="AB44" s="557" t="e">
        <f t="shared" si="34"/>
        <v>#N/A</v>
      </c>
      <c r="AC44" s="565">
        <f>548.6+332.02</f>
        <v>880.62</v>
      </c>
      <c r="AD44" s="564">
        <f>AC44/$AD$11</f>
        <v>44.030999999999999</v>
      </c>
      <c r="AE44" s="564">
        <f>AD44*$AE$11</f>
        <v>8.8062000000000005</v>
      </c>
      <c r="AF44" s="519">
        <f>AD44-AE44</f>
        <v>35.224800000000002</v>
      </c>
      <c r="AG44" s="569" t="e">
        <f>(AF44-AB44)/AF44</f>
        <v>#N/A</v>
      </c>
      <c r="AH44" s="408" t="e">
        <f t="shared" si="3"/>
        <v>#N/A</v>
      </c>
      <c r="AI44" s="409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0">
        <v>1</v>
      </c>
      <c r="D45" s="551" t="s">
        <v>298</v>
      </c>
      <c r="E45" s="552" t="s">
        <v>132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08">
        <f t="shared" si="29"/>
        <v>271.7</v>
      </c>
      <c r="U45" s="557">
        <f t="shared" si="1"/>
        <v>68.468399999999988</v>
      </c>
      <c r="V45" s="565"/>
      <c r="W45" s="565"/>
      <c r="X45" s="564"/>
      <c r="Y45" s="519"/>
      <c r="Z45" s="519"/>
      <c r="AA45" s="409" t="e">
        <f t="shared" si="2"/>
        <v>#N/A</v>
      </c>
      <c r="AB45" s="557" t="e">
        <f t="shared" si="34"/>
        <v>#N/A</v>
      </c>
      <c r="AC45" s="565"/>
      <c r="AD45" s="565"/>
      <c r="AE45" s="564"/>
      <c r="AF45" s="519"/>
      <c r="AG45" s="519"/>
      <c r="AH45" s="408" t="e">
        <f t="shared" si="3"/>
        <v>#N/A</v>
      </c>
      <c r="AI45" s="409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6">
        <v>1</v>
      </c>
      <c r="D46" s="507" t="s">
        <v>298</v>
      </c>
      <c r="E46" s="508" t="s">
        <v>132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08">
        <f t="shared" si="29"/>
        <v>412.1</v>
      </c>
      <c r="U46" s="557">
        <f t="shared" si="1"/>
        <v>103.84919999999998</v>
      </c>
      <c r="V46" s="565"/>
      <c r="W46" s="565"/>
      <c r="X46" s="564"/>
      <c r="Y46" s="519"/>
      <c r="Z46" s="570">
        <f>AVERAGE(Z47:Z50)</f>
        <v>0.16551398328047112</v>
      </c>
      <c r="AA46" s="409" t="e">
        <f t="shared" si="2"/>
        <v>#N/A</v>
      </c>
      <c r="AB46" s="557" t="e">
        <f t="shared" si="34"/>
        <v>#N/A</v>
      </c>
      <c r="AC46" s="565"/>
      <c r="AD46" s="565"/>
      <c r="AE46" s="564"/>
      <c r="AF46" s="519"/>
      <c r="AG46" s="570" t="e">
        <f>AVERAGE(AG47:AG50)</f>
        <v>#N/A</v>
      </c>
      <c r="AH46" s="408" t="e">
        <f t="shared" si="3"/>
        <v>#N/A</v>
      </c>
      <c r="AI46" s="409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2">
        <v>1</v>
      </c>
      <c r="D47" s="513" t="s">
        <v>298</v>
      </c>
      <c r="E47" s="514" t="s">
        <v>132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08">
        <f t="shared" si="29"/>
        <v>347.1</v>
      </c>
      <c r="U47" s="557">
        <f t="shared" si="1"/>
        <v>87.469199999999987</v>
      </c>
      <c r="V47" s="565">
        <f>3127.68</f>
        <v>3127.68</v>
      </c>
      <c r="W47" s="564">
        <f>V47/$W$11</f>
        <v>156.38399999999999</v>
      </c>
      <c r="X47" s="564">
        <f>W47*$X$11</f>
        <v>31.276799999999998</v>
      </c>
      <c r="Y47" s="519">
        <f>W47-X47</f>
        <v>125.10719999999999</v>
      </c>
      <c r="Z47" s="569">
        <f>(Y47-U47)/Y47</f>
        <v>0.30084599447513816</v>
      </c>
      <c r="AA47" s="409" t="e">
        <f t="shared" si="2"/>
        <v>#N/A</v>
      </c>
      <c r="AB47" s="557" t="e">
        <f t="shared" si="34"/>
        <v>#N/A</v>
      </c>
      <c r="AC47" s="565">
        <f>670.46+332.02</f>
        <v>1002.48</v>
      </c>
      <c r="AD47" s="564">
        <f>AC47/$AD$11</f>
        <v>50.124000000000002</v>
      </c>
      <c r="AE47" s="564">
        <f>AD47*$AE$11</f>
        <v>10.024800000000001</v>
      </c>
      <c r="AF47" s="519">
        <f>AD47-AE47</f>
        <v>40.099200000000003</v>
      </c>
      <c r="AG47" s="569" t="e">
        <f>(AF47-AB47)/AF47</f>
        <v>#N/A</v>
      </c>
      <c r="AH47" s="408" t="e">
        <f t="shared" si="3"/>
        <v>#N/A</v>
      </c>
      <c r="AI47" s="409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2">
        <v>1</v>
      </c>
      <c r="D48" s="513" t="s">
        <v>298</v>
      </c>
      <c r="E48" s="514" t="s">
        <v>132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08">
        <f t="shared" si="29"/>
        <v>418.95000000000005</v>
      </c>
      <c r="U48" s="557">
        <f t="shared" si="1"/>
        <v>105.57539999999999</v>
      </c>
      <c r="V48" s="565">
        <f>3459.22</f>
        <v>3459.22</v>
      </c>
      <c r="W48" s="564">
        <f>V48/$W$11</f>
        <v>172.96099999999998</v>
      </c>
      <c r="X48" s="564">
        <f>W48*$X$11</f>
        <v>34.592199999999998</v>
      </c>
      <c r="Y48" s="519">
        <f>W48-X48</f>
        <v>138.36879999999999</v>
      </c>
      <c r="Z48" s="569">
        <f>(Y48-U48)/Y48</f>
        <v>0.23699995952844866</v>
      </c>
      <c r="AA48" s="409" t="e">
        <f t="shared" si="2"/>
        <v>#N/A</v>
      </c>
      <c r="AB48" s="557" t="e">
        <f t="shared" si="34"/>
        <v>#N/A</v>
      </c>
      <c r="AC48" s="565">
        <f>670.46+332.02</f>
        <v>1002.48</v>
      </c>
      <c r="AD48" s="564">
        <f>AC48/$AD$11</f>
        <v>50.124000000000002</v>
      </c>
      <c r="AE48" s="564">
        <f>AD48*$AE$11</f>
        <v>10.024800000000001</v>
      </c>
      <c r="AF48" s="519">
        <f>AD48-AE48</f>
        <v>40.099200000000003</v>
      </c>
      <c r="AG48" s="569" t="e">
        <f>(AF48-AB48)/AF48</f>
        <v>#N/A</v>
      </c>
      <c r="AH48" s="408" t="e">
        <f t="shared" si="3"/>
        <v>#N/A</v>
      </c>
      <c r="AI48" s="409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2">
        <v>1</v>
      </c>
      <c r="D49" s="513" t="s">
        <v>298</v>
      </c>
      <c r="E49" s="514" t="s">
        <v>132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08">
        <f t="shared" si="29"/>
        <v>503.75</v>
      </c>
      <c r="U49" s="557">
        <f t="shared" si="1"/>
        <v>126.94499999999999</v>
      </c>
      <c r="V49" s="565">
        <v>3456.49</v>
      </c>
      <c r="W49" s="564">
        <f>V49/$W$11</f>
        <v>172.8245</v>
      </c>
      <c r="X49" s="564">
        <f>W49*$X$11</f>
        <v>34.564900000000002</v>
      </c>
      <c r="Y49" s="519">
        <f>W49-X49</f>
        <v>138.25960000000001</v>
      </c>
      <c r="Z49" s="569">
        <f>(Y49-U49)/Y49</f>
        <v>8.1835908681928873E-2</v>
      </c>
      <c r="AA49" s="409" t="e">
        <f t="shared" si="2"/>
        <v>#N/A</v>
      </c>
      <c r="AB49" s="557" t="e">
        <f t="shared" si="34"/>
        <v>#N/A</v>
      </c>
      <c r="AC49" s="565">
        <f>670.46+332.02</f>
        <v>1002.48</v>
      </c>
      <c r="AD49" s="564">
        <f>AC49/$AD$11</f>
        <v>50.124000000000002</v>
      </c>
      <c r="AE49" s="564">
        <f>AD49*$AE$11</f>
        <v>10.024800000000001</v>
      </c>
      <c r="AF49" s="519">
        <f>AD49-AE49</f>
        <v>40.099200000000003</v>
      </c>
      <c r="AG49" s="569" t="e">
        <f>(AF49-AB49)/AF49</f>
        <v>#N/A</v>
      </c>
      <c r="AH49" s="408" t="e">
        <f t="shared" si="3"/>
        <v>#N/A</v>
      </c>
      <c r="AI49" s="409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2">
        <v>1</v>
      </c>
      <c r="D50" s="513" t="s">
        <v>298</v>
      </c>
      <c r="E50" s="514" t="s">
        <v>132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08">
        <f t="shared" si="29"/>
        <v>585</v>
      </c>
      <c r="U50" s="557">
        <f t="shared" si="1"/>
        <v>147.41999999999999</v>
      </c>
      <c r="V50" s="565">
        <f>3848.58</f>
        <v>3848.58</v>
      </c>
      <c r="W50" s="564">
        <f>V50/$W$11</f>
        <v>192.429</v>
      </c>
      <c r="X50" s="564">
        <f>W50*$X$11</f>
        <v>38.485800000000005</v>
      </c>
      <c r="Y50" s="519">
        <f>W50-X50</f>
        <v>153.94319999999999</v>
      </c>
      <c r="Z50" s="569">
        <f>(Y50-U50)/Y50</f>
        <v>4.237407043636876E-2</v>
      </c>
      <c r="AA50" s="409" t="e">
        <f t="shared" si="2"/>
        <v>#N/A</v>
      </c>
      <c r="AB50" s="557" t="e">
        <f t="shared" si="34"/>
        <v>#N/A</v>
      </c>
      <c r="AC50" s="565">
        <f>670.46+332.02</f>
        <v>1002.48</v>
      </c>
      <c r="AD50" s="564">
        <f>AC50/$AD$11</f>
        <v>50.124000000000002</v>
      </c>
      <c r="AE50" s="564">
        <f>AD50*$AE$11</f>
        <v>10.024800000000001</v>
      </c>
      <c r="AF50" s="519">
        <f>AD50-AE50</f>
        <v>40.099200000000003</v>
      </c>
      <c r="AG50" s="569" t="e">
        <f>(AF50-AB50)/AF50</f>
        <v>#N/A</v>
      </c>
      <c r="AH50" s="408" t="e">
        <f t="shared" si="3"/>
        <v>#N/A</v>
      </c>
      <c r="AI50" s="409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0">
        <v>1</v>
      </c>
      <c r="D51" s="551" t="s">
        <v>298</v>
      </c>
      <c r="E51" s="552" t="s">
        <v>132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08">
        <f t="shared" si="29"/>
        <v>335.65000000000003</v>
      </c>
      <c r="U51" s="557">
        <f t="shared" si="1"/>
        <v>84.583800000000011</v>
      </c>
      <c r="V51" s="565"/>
      <c r="W51" s="565"/>
      <c r="X51" s="564"/>
      <c r="Y51" s="519"/>
      <c r="Z51" s="519"/>
      <c r="AA51" s="409" t="e">
        <f t="shared" si="2"/>
        <v>#N/A</v>
      </c>
      <c r="AB51" s="557" t="e">
        <f t="shared" si="34"/>
        <v>#N/A</v>
      </c>
      <c r="AC51" s="565"/>
      <c r="AD51" s="565"/>
      <c r="AE51" s="564"/>
      <c r="AF51" s="519"/>
      <c r="AG51" s="519"/>
      <c r="AH51" s="408" t="e">
        <f t="shared" si="3"/>
        <v>#N/A</v>
      </c>
      <c r="AI51" s="409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6">
        <v>1</v>
      </c>
      <c r="D52" s="507" t="s">
        <v>298</v>
      </c>
      <c r="E52" s="508" t="s">
        <v>132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08">
        <f t="shared" si="29"/>
        <v>508.45000000000005</v>
      </c>
      <c r="U52" s="557">
        <f t="shared" si="1"/>
        <v>128.1294</v>
      </c>
      <c r="V52" s="565"/>
      <c r="W52" s="565"/>
      <c r="X52" s="564"/>
      <c r="Y52" s="519"/>
      <c r="Z52" s="570">
        <f>AVERAGE(Z53:Z56)</f>
        <v>0.14301474264129896</v>
      </c>
      <c r="AA52" s="409" t="e">
        <f t="shared" si="2"/>
        <v>#N/A</v>
      </c>
      <c r="AB52" s="557" t="e">
        <f t="shared" si="34"/>
        <v>#N/A</v>
      </c>
      <c r="AC52" s="565"/>
      <c r="AD52" s="565"/>
      <c r="AE52" s="564"/>
      <c r="AF52" s="519"/>
      <c r="AG52" s="570" t="e">
        <f>AVERAGE(AG53:AG56)</f>
        <v>#N/A</v>
      </c>
      <c r="AH52" s="408" t="e">
        <f t="shared" si="3"/>
        <v>#N/A</v>
      </c>
      <c r="AI52" s="409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2">
        <v>1</v>
      </c>
      <c r="D53" s="513" t="s">
        <v>298</v>
      </c>
      <c r="E53" s="514" t="s">
        <v>132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08">
        <f t="shared" si="29"/>
        <v>428.45000000000005</v>
      </c>
      <c r="U53" s="557">
        <f t="shared" si="1"/>
        <v>107.96940000000001</v>
      </c>
      <c r="V53" s="565">
        <f>3757.32</f>
        <v>3757.32</v>
      </c>
      <c r="W53" s="564">
        <f>V53/$W$11</f>
        <v>187.86600000000001</v>
      </c>
      <c r="X53" s="564">
        <f>W53*$X$11</f>
        <v>37.573200000000007</v>
      </c>
      <c r="Y53" s="519">
        <f>W53-X53</f>
        <v>150.2928</v>
      </c>
      <c r="Z53" s="569">
        <f>(Y53-U53)/Y53</f>
        <v>0.28160630449362839</v>
      </c>
      <c r="AA53" s="409" t="e">
        <f t="shared" si="2"/>
        <v>#N/A</v>
      </c>
      <c r="AB53" s="557" t="e">
        <f t="shared" si="34"/>
        <v>#N/A</v>
      </c>
      <c r="AC53" s="565">
        <f>778.05+332.02</f>
        <v>1110.07</v>
      </c>
      <c r="AD53" s="564">
        <f>AC53/$AD$11</f>
        <v>55.503499999999995</v>
      </c>
      <c r="AE53" s="564">
        <f>AD53*$AE$11</f>
        <v>11.1007</v>
      </c>
      <c r="AF53" s="519">
        <f>AD53-AE53</f>
        <v>44.402799999999999</v>
      </c>
      <c r="AG53" s="569" t="e">
        <f>(AF53-AB53)/AF53</f>
        <v>#N/A</v>
      </c>
      <c r="AH53" s="408" t="e">
        <f t="shared" si="3"/>
        <v>#N/A</v>
      </c>
      <c r="AI53" s="409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2">
        <v>1</v>
      </c>
      <c r="D54" s="513" t="s">
        <v>298</v>
      </c>
      <c r="E54" s="514" t="s">
        <v>132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08">
        <f t="shared" si="29"/>
        <v>516.85</v>
      </c>
      <c r="U54" s="557">
        <f t="shared" si="1"/>
        <v>130.24619999999999</v>
      </c>
      <c r="V54" s="565">
        <f>4154.61</f>
        <v>4154.6099999999997</v>
      </c>
      <c r="W54" s="564">
        <f>V54/$W$11</f>
        <v>207.73049999999998</v>
      </c>
      <c r="X54" s="564">
        <f>W54*$X$11</f>
        <v>41.546099999999996</v>
      </c>
      <c r="Y54" s="519">
        <f>W54-X54</f>
        <v>166.18439999999998</v>
      </c>
      <c r="Z54" s="569">
        <f>(Y54-U54)/Y54</f>
        <v>0.21625495533876826</v>
      </c>
      <c r="AA54" s="409" t="e">
        <f t="shared" si="2"/>
        <v>#N/A</v>
      </c>
      <c r="AB54" s="557" t="e">
        <f t="shared" si="34"/>
        <v>#N/A</v>
      </c>
      <c r="AC54" s="565">
        <f>778.05+332.02</f>
        <v>1110.07</v>
      </c>
      <c r="AD54" s="564">
        <f>AC54/$AD$11</f>
        <v>55.503499999999995</v>
      </c>
      <c r="AE54" s="564">
        <f>AD54*$AE$11</f>
        <v>11.1007</v>
      </c>
      <c r="AF54" s="519">
        <f>AD54-AE54</f>
        <v>44.402799999999999</v>
      </c>
      <c r="AG54" s="569" t="e">
        <f>(AF54-AB54)/AF54</f>
        <v>#N/A</v>
      </c>
      <c r="AH54" s="408" t="e">
        <f t="shared" si="3"/>
        <v>#N/A</v>
      </c>
      <c r="AI54" s="409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2">
        <v>1</v>
      </c>
      <c r="D55" s="513" t="s">
        <v>298</v>
      </c>
      <c r="E55" s="514" t="s">
        <v>132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08">
        <f t="shared" si="29"/>
        <v>621.25</v>
      </c>
      <c r="U55" s="557">
        <f t="shared" si="1"/>
        <v>156.55500000000001</v>
      </c>
      <c r="V55" s="565">
        <f>4151.88</f>
        <v>4151.88</v>
      </c>
      <c r="W55" s="564">
        <f>V55/$W$11</f>
        <v>207.59399999999999</v>
      </c>
      <c r="X55" s="564">
        <f>W55*$X$11</f>
        <v>41.518799999999999</v>
      </c>
      <c r="Y55" s="519">
        <f>W55-X55</f>
        <v>166.0752</v>
      </c>
      <c r="Z55" s="569">
        <f>(Y55-U55)/Y55</f>
        <v>5.7324633659932303E-2</v>
      </c>
      <c r="AA55" s="409" t="e">
        <f t="shared" si="2"/>
        <v>#N/A</v>
      </c>
      <c r="AB55" s="557" t="e">
        <f t="shared" si="34"/>
        <v>#N/A</v>
      </c>
      <c r="AC55" s="565">
        <f>778.05+332.02</f>
        <v>1110.07</v>
      </c>
      <c r="AD55" s="564">
        <f>AC55/$AD$11</f>
        <v>55.503499999999995</v>
      </c>
      <c r="AE55" s="564">
        <f>AD55*$AE$11</f>
        <v>11.1007</v>
      </c>
      <c r="AF55" s="519">
        <f>AD55-AE55</f>
        <v>44.402799999999999</v>
      </c>
      <c r="AG55" s="569" t="e">
        <f>(AF55-AB55)/AF55</f>
        <v>#N/A</v>
      </c>
      <c r="AH55" s="408" t="e">
        <f t="shared" si="3"/>
        <v>#N/A</v>
      </c>
      <c r="AI55" s="409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2">
        <v>1</v>
      </c>
      <c r="D56" s="513" t="s">
        <v>298</v>
      </c>
      <c r="E56" s="514" t="s">
        <v>132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08">
        <f t="shared" si="29"/>
        <v>721.25</v>
      </c>
      <c r="U56" s="557">
        <f t="shared" si="1"/>
        <v>181.75499999999997</v>
      </c>
      <c r="V56" s="565">
        <v>4621.8599999999997</v>
      </c>
      <c r="W56" s="564">
        <f>V56/$W$11</f>
        <v>231.09299999999999</v>
      </c>
      <c r="X56" s="564">
        <f>W56*$X$11</f>
        <v>46.218600000000002</v>
      </c>
      <c r="Y56" s="519">
        <f>W56-X56</f>
        <v>184.87439999999998</v>
      </c>
      <c r="Z56" s="569">
        <f>(Y56-U56)/Y56</f>
        <v>1.6873077072866841E-2</v>
      </c>
      <c r="AA56" s="409" t="e">
        <f t="shared" si="2"/>
        <v>#N/A</v>
      </c>
      <c r="AB56" s="557" t="e">
        <f t="shared" si="34"/>
        <v>#N/A</v>
      </c>
      <c r="AC56" s="565">
        <f>778.05+332.02</f>
        <v>1110.07</v>
      </c>
      <c r="AD56" s="564">
        <f>AC56/$AD$11</f>
        <v>55.503499999999995</v>
      </c>
      <c r="AE56" s="564">
        <f>AD56*$AE$11</f>
        <v>11.1007</v>
      </c>
      <c r="AF56" s="519">
        <f>AD56-AE56</f>
        <v>44.402799999999999</v>
      </c>
      <c r="AG56" s="569" t="e">
        <f>(AF56-AB56)/AF56</f>
        <v>#N/A</v>
      </c>
      <c r="AH56" s="408" t="e">
        <f t="shared" si="3"/>
        <v>#N/A</v>
      </c>
      <c r="AI56" s="409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0">
        <v>1</v>
      </c>
      <c r="D57" s="551" t="s">
        <v>298</v>
      </c>
      <c r="E57" s="552" t="s">
        <v>132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08">
        <f t="shared" si="29"/>
        <v>407.55</v>
      </c>
      <c r="U57" s="557">
        <f t="shared" si="1"/>
        <v>102.70259999999998</v>
      </c>
      <c r="V57" s="565"/>
      <c r="W57" s="565"/>
      <c r="X57" s="564"/>
      <c r="Y57" s="519"/>
      <c r="Z57" s="519"/>
      <c r="AA57" s="409" t="e">
        <f t="shared" si="2"/>
        <v>#N/A</v>
      </c>
      <c r="AB57" s="557" t="e">
        <f t="shared" si="34"/>
        <v>#N/A</v>
      </c>
      <c r="AC57" s="565"/>
      <c r="AD57" s="565"/>
      <c r="AE57" s="564"/>
      <c r="AF57" s="519"/>
      <c r="AG57" s="519"/>
      <c r="AH57" s="408" t="e">
        <f t="shared" si="3"/>
        <v>#N/A</v>
      </c>
      <c r="AI57" s="409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6">
        <v>1</v>
      </c>
      <c r="D58" s="507" t="s">
        <v>298</v>
      </c>
      <c r="E58" s="508" t="s">
        <v>132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08">
        <f t="shared" si="29"/>
        <v>618.15000000000009</v>
      </c>
      <c r="U58" s="557">
        <f t="shared" si="1"/>
        <v>155.77379999999999</v>
      </c>
      <c r="V58" s="565"/>
      <c r="W58" s="565"/>
      <c r="X58" s="564"/>
      <c r="Y58" s="519"/>
      <c r="Z58" s="570">
        <f>AVERAGE(Z59:Z62)</f>
        <v>0.14823690895697744</v>
      </c>
      <c r="AA58" s="409" t="e">
        <f t="shared" si="2"/>
        <v>#N/A</v>
      </c>
      <c r="AB58" s="557" t="e">
        <f t="shared" si="34"/>
        <v>#N/A</v>
      </c>
      <c r="AC58" s="565"/>
      <c r="AD58" s="565"/>
      <c r="AE58" s="564"/>
      <c r="AF58" s="519"/>
      <c r="AG58" s="570" t="e">
        <f>AVERAGE(AG59:AG62)</f>
        <v>#N/A</v>
      </c>
      <c r="AH58" s="408" t="e">
        <f t="shared" si="3"/>
        <v>#N/A</v>
      </c>
      <c r="AI58" s="409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2">
        <v>1</v>
      </c>
      <c r="D59" s="513" t="s">
        <v>298</v>
      </c>
      <c r="E59" s="514" t="s">
        <v>132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08">
        <f t="shared" si="29"/>
        <v>520.65</v>
      </c>
      <c r="U59" s="557">
        <f t="shared" si="1"/>
        <v>131.20379999999997</v>
      </c>
      <c r="V59" s="565">
        <f>4597.56</f>
        <v>4597.5600000000004</v>
      </c>
      <c r="W59" s="564">
        <f>V59/$W$11</f>
        <v>229.87800000000001</v>
      </c>
      <c r="X59" s="564">
        <f>W59*$X$11</f>
        <v>45.975600000000007</v>
      </c>
      <c r="Y59" s="519">
        <f>W59-X59</f>
        <v>183.9024</v>
      </c>
      <c r="Z59" s="569">
        <f>(Y59-U59)/Y59</f>
        <v>0.28655743481324891</v>
      </c>
      <c r="AA59" s="409" t="e">
        <f t="shared" si="2"/>
        <v>#N/A</v>
      </c>
      <c r="AB59" s="557" t="e">
        <f t="shared" si="34"/>
        <v>#N/A</v>
      </c>
      <c r="AC59" s="565">
        <f>933.88+332.02</f>
        <v>1265.9000000000001</v>
      </c>
      <c r="AD59" s="564">
        <f>AC59/$AD$11</f>
        <v>63.295000000000002</v>
      </c>
      <c r="AE59" s="564">
        <f>AD59*$AE$11</f>
        <v>12.659000000000001</v>
      </c>
      <c r="AF59" s="519">
        <f>AD59-AE59</f>
        <v>50.636000000000003</v>
      </c>
      <c r="AG59" s="569" t="e">
        <f>(AF59-AB59)/AF59</f>
        <v>#N/A</v>
      </c>
      <c r="AH59" s="408" t="e">
        <f t="shared" si="3"/>
        <v>#N/A</v>
      </c>
      <c r="AI59" s="409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2">
        <v>1</v>
      </c>
      <c r="D60" s="513" t="s">
        <v>298</v>
      </c>
      <c r="E60" s="514" t="s">
        <v>132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08">
        <f t="shared" si="29"/>
        <v>628.40000000000009</v>
      </c>
      <c r="U60" s="557">
        <f t="shared" si="1"/>
        <v>158.35679999999999</v>
      </c>
      <c r="V60" s="565">
        <f>5083.62</f>
        <v>5083.62</v>
      </c>
      <c r="W60" s="564">
        <f>V60/$W$11</f>
        <v>254.18099999999998</v>
      </c>
      <c r="X60" s="564">
        <f>W60*$X$11</f>
        <v>50.836199999999998</v>
      </c>
      <c r="Y60" s="519">
        <f>W60-X60</f>
        <v>203.34479999999999</v>
      </c>
      <c r="Z60" s="569">
        <f>(Y60-U60)/Y60</f>
        <v>0.22123998253213262</v>
      </c>
      <c r="AA60" s="409" t="e">
        <f t="shared" si="2"/>
        <v>#N/A</v>
      </c>
      <c r="AB60" s="557" t="e">
        <f t="shared" si="34"/>
        <v>#N/A</v>
      </c>
      <c r="AC60" s="565">
        <f>933.88+332.02</f>
        <v>1265.9000000000001</v>
      </c>
      <c r="AD60" s="564">
        <f>AC60/$AD$11</f>
        <v>63.295000000000002</v>
      </c>
      <c r="AE60" s="564">
        <f>AD60*$AE$11</f>
        <v>12.659000000000001</v>
      </c>
      <c r="AF60" s="519">
        <f>AD60-AE60</f>
        <v>50.636000000000003</v>
      </c>
      <c r="AG60" s="569" t="e">
        <f>(AF60-AB60)/AF60</f>
        <v>#N/A</v>
      </c>
      <c r="AH60" s="408" t="e">
        <f t="shared" si="3"/>
        <v>#N/A</v>
      </c>
      <c r="AI60" s="409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2">
        <v>1</v>
      </c>
      <c r="D61" s="513" t="s">
        <v>298</v>
      </c>
      <c r="E61" s="514" t="s">
        <v>132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08">
        <f t="shared" si="29"/>
        <v>755.65000000000009</v>
      </c>
      <c r="U61" s="557">
        <f t="shared" si="1"/>
        <v>190.4238</v>
      </c>
      <c r="V61" s="565">
        <f>5079.53</f>
        <v>5079.53</v>
      </c>
      <c r="W61" s="564">
        <f>V61/$W$11</f>
        <v>253.97649999999999</v>
      </c>
      <c r="X61" s="564">
        <f>W61*$X$11</f>
        <v>50.795299999999997</v>
      </c>
      <c r="Y61" s="519">
        <f>W61-X61</f>
        <v>203.18119999999999</v>
      </c>
      <c r="Z61" s="569">
        <f>(Y61-U61)/Y61</f>
        <v>6.2788289467726299E-2</v>
      </c>
      <c r="AA61" s="409" t="e">
        <f t="shared" si="2"/>
        <v>#N/A</v>
      </c>
      <c r="AB61" s="557" t="e">
        <f t="shared" si="34"/>
        <v>#N/A</v>
      </c>
      <c r="AC61" s="565">
        <f>933.88+332.02</f>
        <v>1265.9000000000001</v>
      </c>
      <c r="AD61" s="564">
        <f>AC61/$AD$11</f>
        <v>63.295000000000002</v>
      </c>
      <c r="AE61" s="564">
        <f>AD61*$AE$11</f>
        <v>12.659000000000001</v>
      </c>
      <c r="AF61" s="519">
        <f>AD61-AE61</f>
        <v>50.636000000000003</v>
      </c>
      <c r="AG61" s="569" t="e">
        <f>(AF61-AB61)/AF61</f>
        <v>#N/A</v>
      </c>
      <c r="AH61" s="408" t="e">
        <f t="shared" si="3"/>
        <v>#N/A</v>
      </c>
      <c r="AI61" s="409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2">
        <v>1</v>
      </c>
      <c r="D62" s="513" t="s">
        <v>298</v>
      </c>
      <c r="E62" s="514" t="s">
        <v>132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08">
        <f t="shared" si="29"/>
        <v>877.5</v>
      </c>
      <c r="U62" s="557">
        <f t="shared" si="1"/>
        <v>221.13</v>
      </c>
      <c r="V62" s="565">
        <f>5654.7</f>
        <v>5654.7</v>
      </c>
      <c r="W62" s="564">
        <f>V62/$W$11</f>
        <v>282.73500000000001</v>
      </c>
      <c r="X62" s="564">
        <f>W62*$X$11</f>
        <v>56.547000000000004</v>
      </c>
      <c r="Y62" s="519">
        <f>W62-X62</f>
        <v>226.18800000000002</v>
      </c>
      <c r="Z62" s="569">
        <f>(Y62-U62)/Y62</f>
        <v>2.2361929014801937E-2</v>
      </c>
      <c r="AA62" s="409" t="e">
        <f t="shared" si="2"/>
        <v>#N/A</v>
      </c>
      <c r="AB62" s="557" t="e">
        <f t="shared" si="34"/>
        <v>#N/A</v>
      </c>
      <c r="AC62" s="565">
        <f>933.88+332.02</f>
        <v>1265.9000000000001</v>
      </c>
      <c r="AD62" s="564">
        <f>AC62/$AD$11</f>
        <v>63.295000000000002</v>
      </c>
      <c r="AE62" s="564">
        <f>AD62*$AE$11</f>
        <v>12.659000000000001</v>
      </c>
      <c r="AF62" s="519">
        <f>AD62-AE62</f>
        <v>50.636000000000003</v>
      </c>
      <c r="AG62" s="569" t="e">
        <f>(AF62-AB62)/AF62</f>
        <v>#N/A</v>
      </c>
      <c r="AH62" s="408" t="e">
        <f t="shared" si="3"/>
        <v>#N/A</v>
      </c>
      <c r="AI62" s="409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07" t="str">
        <f>IF('CALC - RIPP-STD HW '!S4="INGLES","QTY.","CANT.")</f>
        <v>CANT.</v>
      </c>
      <c r="D63" s="908" t="str">
        <f>IF('CALC - RIPP-STD HW '!S4="INGLES","DESCRIPTION OF ADDITIONAL SERVICES","DESCRIPCION DE SERVICIOS ADICIONALES")</f>
        <v>DESCRIPCION DE SERVICIOS ADICIONALES</v>
      </c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09" t="str">
        <f>IF(S4="INGLES","DRAPERIES","CORTINAS")</f>
        <v>CORTINAS</v>
      </c>
      <c r="C12" s="910"/>
      <c r="D12" s="910"/>
      <c r="E12" s="910"/>
      <c r="F12" s="910"/>
      <c r="G12" s="910"/>
      <c r="H12" s="910"/>
      <c r="I12" s="910"/>
      <c r="J12" s="910"/>
      <c r="K12" s="910"/>
      <c r="L12" s="910"/>
      <c r="M12" s="910"/>
      <c r="N12" s="910"/>
      <c r="O12" s="911"/>
      <c r="P12" s="909" t="str">
        <f>IF(S4="INGLES","HARDWARE","HERRAJE")</f>
        <v>HERRAJE</v>
      </c>
      <c r="Q12" s="910"/>
      <c r="R12" s="910"/>
      <c r="S12" s="910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09" t="str">
        <f>IF(S4="INGLES","TOTALS","TOTALES")</f>
        <v>TOTALES</v>
      </c>
      <c r="AI12" s="911"/>
      <c r="AJ12" s="181"/>
      <c r="AK12" s="963" t="s">
        <v>256</v>
      </c>
      <c r="AL12" s="963"/>
      <c r="AM12" s="963"/>
      <c r="AN12" s="964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5" t="s">
        <v>258</v>
      </c>
      <c r="AY12" s="907"/>
      <c r="AZ12" s="907"/>
      <c r="BA12" s="907"/>
      <c r="BB12" s="907"/>
      <c r="BC12" s="906"/>
      <c r="BD12" s="905" t="s">
        <v>189</v>
      </c>
      <c r="BE12" s="906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8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-P.P. - STD HW'!$S4="INGLES","UNIT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131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08">
        <f t="shared" ref="T15:T62" si="1">IF(OR(C15&lt;1,C15=""),"",BL15)</f>
        <v>342.70000000000005</v>
      </c>
      <c r="U15" s="557">
        <f>T15*0.7*0.6*0.6</f>
        <v>86.360399999999998</v>
      </c>
      <c r="V15" s="564"/>
      <c r="W15" s="564"/>
      <c r="X15" s="564"/>
      <c r="Y15" s="519"/>
      <c r="Z15" s="631">
        <f>AVERAGE(Z17:Z20,Z23:Z26,Z29:Z32,Z35:Z38)</f>
        <v>0.14078820088993857</v>
      </c>
      <c r="AA15" s="409" t="e">
        <f t="shared" ref="AA15:AA62" si="2">IF(OR(C15&lt;1,C15=""),"",BO15)</f>
        <v>#N/A</v>
      </c>
      <c r="AB15" s="557" t="e">
        <f>AA15*0.7*0.6*0.6</f>
        <v>#N/A</v>
      </c>
      <c r="AC15" s="564"/>
      <c r="AD15" s="564"/>
      <c r="AE15" s="564"/>
      <c r="AF15" s="519"/>
      <c r="AG15" s="631" t="e">
        <f>AVERAGE(AG17:AG20,AG23:AG26,AG29:AG32,AG35:AG38)</f>
        <v>#N/A</v>
      </c>
      <c r="AH15" s="408" t="e">
        <f t="shared" ref="AH15:AH62" si="3">IF(OR(C15&lt;1,C15=""),"",T15+AA15)</f>
        <v>#N/A</v>
      </c>
      <c r="AI15" s="409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131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08">
        <f t="shared" si="1"/>
        <v>561.55000000000007</v>
      </c>
      <c r="U16" s="557">
        <f t="shared" ref="U16:U62" si="29">T16*0.7*0.6*0.6</f>
        <v>141.51059999999998</v>
      </c>
      <c r="V16" s="564"/>
      <c r="W16" s="564"/>
      <c r="X16" s="564"/>
      <c r="Y16" s="519"/>
      <c r="Z16" s="570">
        <f>AVERAGE(Z17:Z20)</f>
        <v>0.2059626719499123</v>
      </c>
      <c r="AA16" s="409" t="e">
        <f t="shared" si="2"/>
        <v>#N/A</v>
      </c>
      <c r="AB16" s="557" t="e">
        <f>AA16*0.7*0.6*0.6</f>
        <v>#N/A</v>
      </c>
      <c r="AC16" s="564"/>
      <c r="AD16" s="564"/>
      <c r="AE16" s="564"/>
      <c r="AF16" s="519"/>
      <c r="AG16" s="570" t="e">
        <f>AVERAGE(AG17:AG20)</f>
        <v>#N/A</v>
      </c>
      <c r="AH16" s="408" t="e">
        <f t="shared" si="3"/>
        <v>#N/A</v>
      </c>
      <c r="AI16" s="409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0">
        <v>1</v>
      </c>
      <c r="D17" s="501" t="s">
        <v>298</v>
      </c>
      <c r="E17" s="502" t="s">
        <v>131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08">
        <f t="shared" si="1"/>
        <v>335</v>
      </c>
      <c r="U17" s="557">
        <f t="shared" si="29"/>
        <v>84.419999999999987</v>
      </c>
      <c r="V17" s="565">
        <v>2767.92</v>
      </c>
      <c r="W17" s="564">
        <f>V17/$W$11</f>
        <v>138.39600000000002</v>
      </c>
      <c r="X17" s="564">
        <f>W17*$X$11</f>
        <v>27.679200000000005</v>
      </c>
      <c r="Y17" s="519">
        <f>W17-X17</f>
        <v>110.71680000000001</v>
      </c>
      <c r="Z17" s="569">
        <f>(Y17-U17)/Y17</f>
        <v>0.23751409000260137</v>
      </c>
      <c r="AA17" s="409" t="e">
        <f t="shared" si="2"/>
        <v>#N/A</v>
      </c>
      <c r="AB17" s="557" t="e">
        <f>AA17*0.7*0.6*0.6</f>
        <v>#N/A</v>
      </c>
      <c r="AC17" s="565">
        <f>524.8+332.02</f>
        <v>856.81999999999994</v>
      </c>
      <c r="AD17" s="564">
        <f>AC17/$AD$11</f>
        <v>42.840999999999994</v>
      </c>
      <c r="AE17" s="564">
        <f>AD17*$AE$11</f>
        <v>8.5681999999999992</v>
      </c>
      <c r="AF17" s="519">
        <f>AD17-AE17</f>
        <v>34.272799999999997</v>
      </c>
      <c r="AG17" s="569" t="e">
        <f>(AF17-AB17)/AF17</f>
        <v>#N/A</v>
      </c>
      <c r="AH17" s="408" t="e">
        <f t="shared" si="3"/>
        <v>#N/A</v>
      </c>
      <c r="AI17" s="409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0">
        <v>1</v>
      </c>
      <c r="D18" s="501" t="s">
        <v>298</v>
      </c>
      <c r="E18" s="502" t="s">
        <v>131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08">
        <f t="shared" si="1"/>
        <v>470.8</v>
      </c>
      <c r="U18" s="557">
        <f t="shared" si="29"/>
        <v>118.64159999999998</v>
      </c>
      <c r="V18" s="565">
        <f>3997.08</f>
        <v>3997.08</v>
      </c>
      <c r="W18" s="564">
        <f>V18/$W$11</f>
        <v>199.85399999999998</v>
      </c>
      <c r="X18" s="564">
        <f>W18*$X$11</f>
        <v>39.970799999999997</v>
      </c>
      <c r="Y18" s="519">
        <f>W18-X18</f>
        <v>159.88319999999999</v>
      </c>
      <c r="Z18" s="569">
        <f>(Y18-U18)/Y18</f>
        <v>0.25794830226065035</v>
      </c>
      <c r="AA18" s="409" t="e">
        <f>IF(OR(C18&lt;1,C18=""),"",BO18)</f>
        <v>#N/A</v>
      </c>
      <c r="AB18" s="557" t="e">
        <f t="shared" ref="AB18:AB62" si="34">AA18*0.7*0.6*0.6</f>
        <v>#N/A</v>
      </c>
      <c r="AC18" s="565">
        <f>524.8+332.02</f>
        <v>856.81999999999994</v>
      </c>
      <c r="AD18" s="564">
        <f>AC18/$AD$11</f>
        <v>42.840999999999994</v>
      </c>
      <c r="AE18" s="564">
        <f>AD18*$AE$11</f>
        <v>8.5681999999999992</v>
      </c>
      <c r="AF18" s="519">
        <f>AD18-AE18</f>
        <v>34.272799999999997</v>
      </c>
      <c r="AG18" s="569" t="e">
        <f>(AF18-AB18)/AF18</f>
        <v>#N/A</v>
      </c>
      <c r="AH18" s="408" t="e">
        <f t="shared" si="3"/>
        <v>#N/A</v>
      </c>
      <c r="AI18" s="409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0">
        <v>1</v>
      </c>
      <c r="D19" s="501" t="s">
        <v>298</v>
      </c>
      <c r="E19" s="502" t="s">
        <v>131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08">
        <f t="shared" si="1"/>
        <v>505.15000000000003</v>
      </c>
      <c r="U19" s="557">
        <f t="shared" si="29"/>
        <v>127.2978</v>
      </c>
      <c r="V19" s="565">
        <f>4176.47</f>
        <v>4176.47</v>
      </c>
      <c r="W19" s="564">
        <f>V19/$W$11</f>
        <v>208.82350000000002</v>
      </c>
      <c r="X19" s="564">
        <f>W19*$X$11</f>
        <v>41.764700000000005</v>
      </c>
      <c r="Y19" s="519">
        <f>W19-X19</f>
        <v>167.05880000000002</v>
      </c>
      <c r="Z19" s="569">
        <f>(Y19-U19)/Y19</f>
        <v>0.23800601943746763</v>
      </c>
      <c r="AA19" s="409" t="e">
        <f t="shared" si="2"/>
        <v>#N/A</v>
      </c>
      <c r="AB19" s="557" t="e">
        <f t="shared" si="34"/>
        <v>#N/A</v>
      </c>
      <c r="AC19" s="565">
        <f>524.8+332.02</f>
        <v>856.81999999999994</v>
      </c>
      <c r="AD19" s="564">
        <f>AC19/$AD$11</f>
        <v>42.840999999999994</v>
      </c>
      <c r="AE19" s="564">
        <f>AD19*$AE$11</f>
        <v>8.5681999999999992</v>
      </c>
      <c r="AF19" s="519">
        <f>AD19-AE19</f>
        <v>34.272799999999997</v>
      </c>
      <c r="AG19" s="569" t="e">
        <f>(AF19-AB19)/AF19</f>
        <v>#N/A</v>
      </c>
      <c r="AH19" s="408" t="e">
        <f t="shared" si="3"/>
        <v>#N/A</v>
      </c>
      <c r="AI19" s="409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0">
        <v>1</v>
      </c>
      <c r="D20" s="501" t="s">
        <v>298</v>
      </c>
      <c r="E20" s="502" t="s">
        <v>131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08">
        <f t="shared" si="1"/>
        <v>618.40000000000009</v>
      </c>
      <c r="U20" s="557">
        <f t="shared" si="29"/>
        <v>155.83680000000001</v>
      </c>
      <c r="V20" s="565">
        <f>4283.03</f>
        <v>4283.03</v>
      </c>
      <c r="W20" s="564">
        <f>V20/$W$11</f>
        <v>214.1515</v>
      </c>
      <c r="X20" s="564">
        <f>W20*$X$11</f>
        <v>42.830300000000001</v>
      </c>
      <c r="Y20" s="519">
        <f>W20-X20</f>
        <v>171.3212</v>
      </c>
      <c r="Z20" s="569">
        <f>(Y20-U20)/Y20</f>
        <v>9.0382276098929917E-2</v>
      </c>
      <c r="AA20" s="409" t="e">
        <f t="shared" si="2"/>
        <v>#N/A</v>
      </c>
      <c r="AB20" s="557" t="e">
        <f t="shared" si="34"/>
        <v>#N/A</v>
      </c>
      <c r="AC20" s="565">
        <f>524.8+332.02</f>
        <v>856.81999999999994</v>
      </c>
      <c r="AD20" s="564">
        <f>AC20/$AD$11</f>
        <v>42.840999999999994</v>
      </c>
      <c r="AE20" s="564">
        <f>AD20*$AE$11</f>
        <v>8.5681999999999992</v>
      </c>
      <c r="AF20" s="519">
        <f>AD20-AE20</f>
        <v>34.272799999999997</v>
      </c>
      <c r="AG20" s="569" t="e">
        <f>(AF20-AB20)/AF20</f>
        <v>#N/A</v>
      </c>
      <c r="AH20" s="408" t="e">
        <f t="shared" si="3"/>
        <v>#N/A</v>
      </c>
      <c r="AI20" s="409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4">
        <v>1</v>
      </c>
      <c r="D21" s="545" t="s">
        <v>298</v>
      </c>
      <c r="E21" s="546" t="s">
        <v>131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08">
        <f t="shared" si="1"/>
        <v>459.25</v>
      </c>
      <c r="U21" s="557">
        <f t="shared" si="29"/>
        <v>115.73099999999997</v>
      </c>
      <c r="V21" s="565"/>
      <c r="W21" s="565"/>
      <c r="X21" s="564"/>
      <c r="Y21" s="519"/>
      <c r="Z21" s="519"/>
      <c r="AA21" s="409" t="e">
        <f t="shared" si="2"/>
        <v>#N/A</v>
      </c>
      <c r="AB21" s="557" t="e">
        <f t="shared" si="34"/>
        <v>#N/A</v>
      </c>
      <c r="AC21" s="565"/>
      <c r="AD21" s="565"/>
      <c r="AE21" s="564"/>
      <c r="AF21" s="519"/>
      <c r="AG21" s="519"/>
      <c r="AH21" s="408" t="e">
        <f t="shared" si="3"/>
        <v>#N/A</v>
      </c>
      <c r="AI21" s="409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38">
        <v>1</v>
      </c>
      <c r="D22" s="539" t="s">
        <v>298</v>
      </c>
      <c r="E22" s="540" t="s">
        <v>131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08">
        <f t="shared" si="1"/>
        <v>752.80000000000007</v>
      </c>
      <c r="U22" s="557">
        <f t="shared" si="29"/>
        <v>189.70559999999998</v>
      </c>
      <c r="V22" s="565"/>
      <c r="W22" s="565"/>
      <c r="X22" s="564"/>
      <c r="Y22" s="519"/>
      <c r="Z22" s="570">
        <f>AVERAGE(Z23:Z26)</f>
        <v>0.14614017499195722</v>
      </c>
      <c r="AA22" s="409" t="e">
        <f t="shared" si="2"/>
        <v>#N/A</v>
      </c>
      <c r="AB22" s="557" t="e">
        <f t="shared" si="34"/>
        <v>#N/A</v>
      </c>
      <c r="AC22" s="565"/>
      <c r="AD22" s="565"/>
      <c r="AE22" s="564"/>
      <c r="AF22" s="519"/>
      <c r="AG22" s="570" t="e">
        <f>AVERAGE(AG23:AG26)</f>
        <v>#N/A</v>
      </c>
      <c r="AH22" s="408" t="e">
        <f t="shared" si="3"/>
        <v>#N/A</v>
      </c>
      <c r="AI22" s="409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0">
        <v>1</v>
      </c>
      <c r="D23" s="501" t="s">
        <v>298</v>
      </c>
      <c r="E23" s="502" t="s">
        <v>131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08">
        <f t="shared" si="1"/>
        <v>448.95000000000005</v>
      </c>
      <c r="U23" s="557">
        <f t="shared" si="29"/>
        <v>113.13539999999999</v>
      </c>
      <c r="V23" s="565">
        <f>3448.29</f>
        <v>3448.29</v>
      </c>
      <c r="W23" s="564">
        <f>V23/$W$11</f>
        <v>172.4145</v>
      </c>
      <c r="X23" s="564">
        <f>W23*$X$11</f>
        <v>34.482900000000001</v>
      </c>
      <c r="Y23" s="519">
        <f>W23-X23</f>
        <v>137.9316</v>
      </c>
      <c r="Z23" s="569">
        <f>(Y23-U23)/Y23</f>
        <v>0.17977171293597705</v>
      </c>
      <c r="AA23" s="409" t="e">
        <f t="shared" si="2"/>
        <v>#N/A</v>
      </c>
      <c r="AB23" s="557" t="e">
        <f t="shared" si="34"/>
        <v>#N/A</v>
      </c>
      <c r="AC23" s="565">
        <f>637.61+332.02</f>
        <v>969.63</v>
      </c>
      <c r="AD23" s="564">
        <f>AC23/$AD$11</f>
        <v>48.481499999999997</v>
      </c>
      <c r="AE23" s="564">
        <f>AD23*$AE$11</f>
        <v>9.6963000000000008</v>
      </c>
      <c r="AF23" s="519">
        <f>AD23-AE23</f>
        <v>38.785199999999996</v>
      </c>
      <c r="AG23" s="569" t="e">
        <f>(AF23-AB23)/AF23</f>
        <v>#N/A</v>
      </c>
      <c r="AH23" s="408" t="e">
        <f t="shared" si="3"/>
        <v>#N/A</v>
      </c>
      <c r="AI23" s="409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0">
        <v>1</v>
      </c>
      <c r="D24" s="501" t="s">
        <v>298</v>
      </c>
      <c r="E24" s="502" t="s">
        <v>131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08">
        <f t="shared" si="1"/>
        <v>631.1</v>
      </c>
      <c r="U24" s="557">
        <f t="shared" si="29"/>
        <v>159.03719999999996</v>
      </c>
      <c r="V24" s="565">
        <v>4988.5200000000004</v>
      </c>
      <c r="W24" s="564">
        <f>V24/$W$11</f>
        <v>249.42600000000002</v>
      </c>
      <c r="X24" s="564">
        <f>W24*$X$11</f>
        <v>49.885200000000005</v>
      </c>
      <c r="Y24" s="519">
        <f>W24-X24</f>
        <v>199.54080000000002</v>
      </c>
      <c r="Z24" s="569">
        <f>(Y24-U24)/Y24</f>
        <v>0.20298405138197331</v>
      </c>
      <c r="AA24" s="409" t="e">
        <f t="shared" si="2"/>
        <v>#N/A</v>
      </c>
      <c r="AB24" s="557" t="e">
        <f t="shared" si="34"/>
        <v>#N/A</v>
      </c>
      <c r="AC24" s="565">
        <f>637.61+332.02</f>
        <v>969.63</v>
      </c>
      <c r="AD24" s="564">
        <f>AC24/$AD$11</f>
        <v>48.481499999999997</v>
      </c>
      <c r="AE24" s="564">
        <f>AD24*$AE$11</f>
        <v>9.6963000000000008</v>
      </c>
      <c r="AF24" s="519">
        <f>AD24-AE24</f>
        <v>38.785199999999996</v>
      </c>
      <c r="AG24" s="569" t="e">
        <f>(AF24-AB24)/AF24</f>
        <v>#N/A</v>
      </c>
      <c r="AH24" s="408" t="e">
        <f t="shared" si="3"/>
        <v>#N/A</v>
      </c>
      <c r="AI24" s="409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0">
        <v>1</v>
      </c>
      <c r="D25" s="501" t="s">
        <v>298</v>
      </c>
      <c r="E25" s="502" t="s">
        <v>131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08">
        <f t="shared" si="1"/>
        <v>677.2</v>
      </c>
      <c r="U25" s="557">
        <f t="shared" si="29"/>
        <v>170.65439999999998</v>
      </c>
      <c r="V25" s="565">
        <f>5205.22</f>
        <v>5205.22</v>
      </c>
      <c r="W25" s="564">
        <f>V25/$W$11</f>
        <v>260.26100000000002</v>
      </c>
      <c r="X25" s="564">
        <f>W25*$X$11</f>
        <v>52.052200000000006</v>
      </c>
      <c r="Y25" s="519">
        <f>W25-X25</f>
        <v>208.20880000000002</v>
      </c>
      <c r="Z25" s="569">
        <f>(Y25-U25)/Y25</f>
        <v>0.18036893733598214</v>
      </c>
      <c r="AA25" s="409" t="e">
        <f t="shared" si="2"/>
        <v>#N/A</v>
      </c>
      <c r="AB25" s="557" t="e">
        <f t="shared" si="34"/>
        <v>#N/A</v>
      </c>
      <c r="AC25" s="565">
        <f>637.61+332.02</f>
        <v>969.63</v>
      </c>
      <c r="AD25" s="564">
        <f>AC25/$AD$11</f>
        <v>48.481499999999997</v>
      </c>
      <c r="AE25" s="564">
        <f>AD25*$AE$11</f>
        <v>9.6963000000000008</v>
      </c>
      <c r="AF25" s="519">
        <f>AD25-AE25</f>
        <v>38.785199999999996</v>
      </c>
      <c r="AG25" s="569" t="e">
        <f>(AF25-AB25)/AF25</f>
        <v>#N/A</v>
      </c>
      <c r="AH25" s="408" t="e">
        <f t="shared" si="3"/>
        <v>#N/A</v>
      </c>
      <c r="AI25" s="409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0">
        <v>1</v>
      </c>
      <c r="D26" s="501" t="s">
        <v>298</v>
      </c>
      <c r="E26" s="502" t="s">
        <v>131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08">
        <f t="shared" si="1"/>
        <v>829.1</v>
      </c>
      <c r="U26" s="557">
        <f t="shared" si="29"/>
        <v>208.93319999999997</v>
      </c>
      <c r="V26" s="565">
        <f>5337.75</f>
        <v>5337.75</v>
      </c>
      <c r="W26" s="564">
        <f>V26/$W$11</f>
        <v>266.88749999999999</v>
      </c>
      <c r="X26" s="564">
        <f>W26*$X$11</f>
        <v>53.377499999999998</v>
      </c>
      <c r="Y26" s="519">
        <f>W26-X26</f>
        <v>213.51</v>
      </c>
      <c r="Z26" s="569">
        <f>(Y26-U26)/Y26</f>
        <v>2.14359983138964E-2</v>
      </c>
      <c r="AA26" s="409" t="e">
        <f t="shared" si="2"/>
        <v>#N/A</v>
      </c>
      <c r="AB26" s="557" t="e">
        <f t="shared" si="34"/>
        <v>#N/A</v>
      </c>
      <c r="AC26" s="565">
        <f>637.61+332.02</f>
        <v>969.63</v>
      </c>
      <c r="AD26" s="564">
        <f>AC26/$AD$11</f>
        <v>48.481499999999997</v>
      </c>
      <c r="AE26" s="564">
        <f>AD26*$AE$11</f>
        <v>9.6963000000000008</v>
      </c>
      <c r="AF26" s="519">
        <f>AD26-AE26</f>
        <v>38.785199999999996</v>
      </c>
      <c r="AG26" s="569" t="e">
        <f>(AF26-AB26)/AF26</f>
        <v>#N/A</v>
      </c>
      <c r="AH26" s="408" t="e">
        <f t="shared" si="3"/>
        <v>#N/A</v>
      </c>
      <c r="AI26" s="409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4">
        <v>1</v>
      </c>
      <c r="D27" s="545" t="s">
        <v>298</v>
      </c>
      <c r="E27" s="546" t="s">
        <v>131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08">
        <f t="shared" si="1"/>
        <v>568.80000000000007</v>
      </c>
      <c r="U27" s="557">
        <f t="shared" si="29"/>
        <v>143.33760000000001</v>
      </c>
      <c r="V27" s="565"/>
      <c r="W27" s="565"/>
      <c r="X27" s="564"/>
      <c r="Y27" s="519"/>
      <c r="Z27" s="519"/>
      <c r="AA27" s="409" t="e">
        <f t="shared" si="2"/>
        <v>#N/A</v>
      </c>
      <c r="AB27" s="557" t="e">
        <f t="shared" si="34"/>
        <v>#N/A</v>
      </c>
      <c r="AC27" s="565"/>
      <c r="AD27" s="565"/>
      <c r="AE27" s="564"/>
      <c r="AF27" s="519"/>
      <c r="AG27" s="519"/>
      <c r="AH27" s="408" t="e">
        <f t="shared" si="3"/>
        <v>#N/A</v>
      </c>
      <c r="AI27" s="409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38">
        <v>1</v>
      </c>
      <c r="D28" s="539" t="s">
        <v>298</v>
      </c>
      <c r="E28" s="540" t="s">
        <v>131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08">
        <f t="shared" si="1"/>
        <v>931.75</v>
      </c>
      <c r="U28" s="557">
        <f t="shared" si="29"/>
        <v>234.80099999999993</v>
      </c>
      <c r="V28" s="565"/>
      <c r="W28" s="565"/>
      <c r="X28" s="564"/>
      <c r="Y28" s="519"/>
      <c r="Z28" s="570">
        <f>AVERAGE(Z29:Z32)</f>
        <v>0.1174794713209369</v>
      </c>
      <c r="AA28" s="409" t="e">
        <f t="shared" si="2"/>
        <v>#N/A</v>
      </c>
      <c r="AB28" s="557" t="e">
        <f t="shared" si="34"/>
        <v>#N/A</v>
      </c>
      <c r="AC28" s="565"/>
      <c r="AD28" s="565"/>
      <c r="AE28" s="564"/>
      <c r="AF28" s="519"/>
      <c r="AG28" s="570" t="e">
        <f>AVERAGE(AG29:AG32)</f>
        <v>#N/A</v>
      </c>
      <c r="AH28" s="408" t="e">
        <f t="shared" si="3"/>
        <v>#N/A</v>
      </c>
      <c r="AI28" s="409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0">
        <v>1</v>
      </c>
      <c r="D29" s="501" t="s">
        <v>298</v>
      </c>
      <c r="E29" s="502" t="s">
        <v>131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08">
        <f t="shared" si="1"/>
        <v>556.05000000000007</v>
      </c>
      <c r="U29" s="557">
        <f t="shared" si="29"/>
        <v>140.12459999999999</v>
      </c>
      <c r="V29" s="565">
        <f>4127.3</f>
        <v>4127.3</v>
      </c>
      <c r="W29" s="564">
        <f>V29/$W$11</f>
        <v>206.36500000000001</v>
      </c>
      <c r="X29" s="564">
        <f>W29*$X$11</f>
        <v>41.273000000000003</v>
      </c>
      <c r="Y29" s="519">
        <f>W29-X29</f>
        <v>165.09200000000001</v>
      </c>
      <c r="Z29" s="569">
        <f>(Y29-U29)/Y29</f>
        <v>0.1512332517626537</v>
      </c>
      <c r="AA29" s="409" t="e">
        <f t="shared" si="2"/>
        <v>#N/A</v>
      </c>
      <c r="AB29" s="557" t="e">
        <f t="shared" si="34"/>
        <v>#N/A</v>
      </c>
      <c r="AC29" s="565">
        <f>736.77+332.02</f>
        <v>1068.79</v>
      </c>
      <c r="AD29" s="564">
        <f>AC29/$AD$11</f>
        <v>53.439499999999995</v>
      </c>
      <c r="AE29" s="564">
        <f>AD29*$AE$11</f>
        <v>10.687899999999999</v>
      </c>
      <c r="AF29" s="519">
        <f>AD29-AE29</f>
        <v>42.751599999999996</v>
      </c>
      <c r="AG29" s="569" t="e">
        <f>(AF29-AB29)/AF29</f>
        <v>#N/A</v>
      </c>
      <c r="AH29" s="408" t="e">
        <f t="shared" si="3"/>
        <v>#N/A</v>
      </c>
      <c r="AI29" s="409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0">
        <v>1</v>
      </c>
      <c r="D30" s="501" t="s">
        <v>298</v>
      </c>
      <c r="E30" s="502" t="s">
        <v>131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08">
        <f t="shared" si="1"/>
        <v>781.30000000000007</v>
      </c>
      <c r="U30" s="557">
        <f t="shared" si="29"/>
        <v>196.88759999999996</v>
      </c>
      <c r="V30" s="565">
        <f>5979.96</f>
        <v>5979.96</v>
      </c>
      <c r="W30" s="564">
        <f>V30/$W$11</f>
        <v>298.99799999999999</v>
      </c>
      <c r="X30" s="564">
        <f>W30*$X$11</f>
        <v>59.799599999999998</v>
      </c>
      <c r="Y30" s="519">
        <f>W30-X30</f>
        <v>239.19839999999999</v>
      </c>
      <c r="Z30" s="569">
        <f>(Y30-U30)/Y30</f>
        <v>0.17688579856721462</v>
      </c>
      <c r="AA30" s="409" t="e">
        <f t="shared" si="2"/>
        <v>#N/A</v>
      </c>
      <c r="AB30" s="557" t="e">
        <f t="shared" si="34"/>
        <v>#N/A</v>
      </c>
      <c r="AC30" s="565">
        <f>736.77+332.02</f>
        <v>1068.79</v>
      </c>
      <c r="AD30" s="564">
        <f>AC30/$AD$11</f>
        <v>53.439499999999995</v>
      </c>
      <c r="AE30" s="564">
        <f>AD30*$AE$11</f>
        <v>10.687899999999999</v>
      </c>
      <c r="AF30" s="519">
        <f>AD30-AE30</f>
        <v>42.751599999999996</v>
      </c>
      <c r="AG30" s="569" t="e">
        <f>(AF30-AB30)/AF30</f>
        <v>#N/A</v>
      </c>
      <c r="AH30" s="408" t="e">
        <f t="shared" si="3"/>
        <v>#N/A</v>
      </c>
      <c r="AI30" s="409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0">
        <v>1</v>
      </c>
      <c r="D31" s="501" t="s">
        <v>298</v>
      </c>
      <c r="E31" s="502" t="s">
        <v>131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08">
        <f t="shared" si="1"/>
        <v>838.25</v>
      </c>
      <c r="U31" s="557">
        <f t="shared" si="29"/>
        <v>211.239</v>
      </c>
      <c r="V31" s="565">
        <v>6235.34</v>
      </c>
      <c r="W31" s="564">
        <f>V31/$W$11</f>
        <v>311.767</v>
      </c>
      <c r="X31" s="564">
        <f>W31*$X$11</f>
        <v>62.353400000000001</v>
      </c>
      <c r="Y31" s="519">
        <f>W31-X31</f>
        <v>249.4136</v>
      </c>
      <c r="Z31" s="569">
        <f>(Y31-U31)/Y31</f>
        <v>0.15305741146433072</v>
      </c>
      <c r="AA31" s="409" t="e">
        <f t="shared" si="2"/>
        <v>#N/A</v>
      </c>
      <c r="AB31" s="557" t="e">
        <f t="shared" si="34"/>
        <v>#N/A</v>
      </c>
      <c r="AC31" s="565">
        <f>736.77+332.02</f>
        <v>1068.79</v>
      </c>
      <c r="AD31" s="564">
        <f>AC31/$AD$11</f>
        <v>53.439499999999995</v>
      </c>
      <c r="AE31" s="564">
        <f>AD31*$AE$11</f>
        <v>10.687899999999999</v>
      </c>
      <c r="AF31" s="519">
        <f>AD31-AE31</f>
        <v>42.751599999999996</v>
      </c>
      <c r="AG31" s="569" t="e">
        <f>(AF31-AB31)/AF31</f>
        <v>#N/A</v>
      </c>
      <c r="AH31" s="408" t="e">
        <f t="shared" si="3"/>
        <v>#N/A</v>
      </c>
      <c r="AI31" s="409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0">
        <v>1</v>
      </c>
      <c r="D32" s="501" t="s">
        <v>298</v>
      </c>
      <c r="E32" s="502" t="s">
        <v>131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08">
        <f t="shared" si="1"/>
        <v>1026.1000000000001</v>
      </c>
      <c r="U32" s="557">
        <f t="shared" si="29"/>
        <v>258.5772</v>
      </c>
      <c r="V32" s="565">
        <f>6392.46</f>
        <v>6392.46</v>
      </c>
      <c r="W32" s="564">
        <f>V32/$W$11</f>
        <v>319.62299999999999</v>
      </c>
      <c r="X32" s="564">
        <f>W32*$X$11</f>
        <v>63.924599999999998</v>
      </c>
      <c r="Y32" s="519">
        <f>W32-X32</f>
        <v>255.69839999999999</v>
      </c>
      <c r="Z32" s="569">
        <f>(Y32-U32)/Y32</f>
        <v>-1.1258576510451425E-2</v>
      </c>
      <c r="AA32" s="409" t="e">
        <f t="shared" si="2"/>
        <v>#N/A</v>
      </c>
      <c r="AB32" s="557" t="e">
        <f t="shared" si="34"/>
        <v>#N/A</v>
      </c>
      <c r="AC32" s="565">
        <f>736.77+332.02</f>
        <v>1068.79</v>
      </c>
      <c r="AD32" s="564">
        <f>AC32/$AD$11</f>
        <v>53.439499999999995</v>
      </c>
      <c r="AE32" s="564">
        <f>AD32*$AE$11</f>
        <v>10.687899999999999</v>
      </c>
      <c r="AF32" s="519">
        <f>AD32-AE32</f>
        <v>42.751599999999996</v>
      </c>
      <c r="AG32" s="569" t="e">
        <f>(AF32-AB32)/AF32</f>
        <v>#N/A</v>
      </c>
      <c r="AH32" s="408" t="e">
        <f t="shared" si="3"/>
        <v>#N/A</v>
      </c>
      <c r="AI32" s="409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4">
        <v>1</v>
      </c>
      <c r="D33" s="545" t="s">
        <v>298</v>
      </c>
      <c r="E33" s="546" t="s">
        <v>131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08">
        <f t="shared" si="1"/>
        <v>685.35</v>
      </c>
      <c r="U33" s="557">
        <f t="shared" si="29"/>
        <v>172.70819999999998</v>
      </c>
      <c r="V33" s="565"/>
      <c r="W33" s="565"/>
      <c r="X33" s="564"/>
      <c r="Y33" s="519"/>
      <c r="Z33" s="519"/>
      <c r="AA33" s="409" t="e">
        <f t="shared" si="2"/>
        <v>#N/A</v>
      </c>
      <c r="AB33" s="557" t="e">
        <f t="shared" si="34"/>
        <v>#N/A</v>
      </c>
      <c r="AC33" s="565"/>
      <c r="AD33" s="565"/>
      <c r="AE33" s="564"/>
      <c r="AF33" s="519"/>
      <c r="AG33" s="519"/>
      <c r="AH33" s="408" t="e">
        <f t="shared" si="3"/>
        <v>#N/A</v>
      </c>
      <c r="AI33" s="409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38">
        <v>1</v>
      </c>
      <c r="D34" s="539" t="s">
        <v>298</v>
      </c>
      <c r="E34" s="540" t="s">
        <v>131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08">
        <f t="shared" si="1"/>
        <v>1123.05</v>
      </c>
      <c r="U34" s="557">
        <f t="shared" si="29"/>
        <v>283.00859999999994</v>
      </c>
      <c r="V34" s="565"/>
      <c r="W34" s="565"/>
      <c r="X34" s="564"/>
      <c r="Y34" s="519"/>
      <c r="Z34" s="570">
        <f>AVERAGE(Z35:Z38)</f>
        <v>9.3570485296947795E-2</v>
      </c>
      <c r="AA34" s="409" t="e">
        <f t="shared" si="2"/>
        <v>#N/A</v>
      </c>
      <c r="AB34" s="557" t="e">
        <f t="shared" si="34"/>
        <v>#N/A</v>
      </c>
      <c r="AC34" s="565"/>
      <c r="AD34" s="565"/>
      <c r="AE34" s="564"/>
      <c r="AF34" s="519"/>
      <c r="AG34" s="570" t="e">
        <f>AVERAGE(AG35:AG38)</f>
        <v>#N/A</v>
      </c>
      <c r="AH34" s="408" t="e">
        <f t="shared" si="3"/>
        <v>#N/A</v>
      </c>
      <c r="AI34" s="409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0">
        <v>1</v>
      </c>
      <c r="D35" s="501" t="s">
        <v>298</v>
      </c>
      <c r="E35" s="502" t="s">
        <v>131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08">
        <f t="shared" si="1"/>
        <v>670</v>
      </c>
      <c r="U35" s="557">
        <f t="shared" si="29"/>
        <v>168.83999999999997</v>
      </c>
      <c r="V35" s="565">
        <f>4847.28</f>
        <v>4847.28</v>
      </c>
      <c r="W35" s="564">
        <f>V35/$W$11</f>
        <v>242.36399999999998</v>
      </c>
      <c r="X35" s="564">
        <f>W35*$X$11</f>
        <v>48.472799999999999</v>
      </c>
      <c r="Y35" s="519">
        <f>W35-X35</f>
        <v>193.89119999999997</v>
      </c>
      <c r="Z35" s="569">
        <f>(Y35-U35)/Y35</f>
        <v>0.12920235678566122</v>
      </c>
      <c r="AA35" s="409" t="e">
        <f t="shared" si="2"/>
        <v>#N/A</v>
      </c>
      <c r="AB35" s="557" t="e">
        <f t="shared" si="34"/>
        <v>#N/A</v>
      </c>
      <c r="AC35" s="565">
        <f>881.37+332.02</f>
        <v>1213.3899999999999</v>
      </c>
      <c r="AD35" s="564">
        <f>AC35/$AD$11</f>
        <v>60.669499999999992</v>
      </c>
      <c r="AE35" s="564">
        <f>AD35*$AE$11</f>
        <v>12.133899999999999</v>
      </c>
      <c r="AF35" s="519">
        <f>AD35-AE35</f>
        <v>48.535599999999995</v>
      </c>
      <c r="AG35" s="569" t="e">
        <f>(AF35-AB35)/AF35</f>
        <v>#N/A</v>
      </c>
      <c r="AH35" s="408" t="e">
        <f t="shared" si="3"/>
        <v>#N/A</v>
      </c>
      <c r="AI35" s="409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0">
        <v>1</v>
      </c>
      <c r="D36" s="501" t="s">
        <v>298</v>
      </c>
      <c r="E36" s="502" t="s">
        <v>131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08">
        <f t="shared" si="1"/>
        <v>941.6</v>
      </c>
      <c r="U36" s="557">
        <f t="shared" si="29"/>
        <v>237.28319999999997</v>
      </c>
      <c r="V36" s="565">
        <f>7028.64</f>
        <v>7028.64</v>
      </c>
      <c r="W36" s="564">
        <f>V36/$W$11</f>
        <v>351.43200000000002</v>
      </c>
      <c r="X36" s="564">
        <f>W36*$X$11</f>
        <v>70.2864</v>
      </c>
      <c r="Y36" s="519">
        <f>W36-X36</f>
        <v>281.1456</v>
      </c>
      <c r="Z36" s="569">
        <f>(Y36-U36)/Y36</f>
        <v>0.15601311206719948</v>
      </c>
      <c r="AA36" s="409" t="e">
        <f t="shared" si="2"/>
        <v>#N/A</v>
      </c>
      <c r="AB36" s="557" t="e">
        <f t="shared" si="34"/>
        <v>#N/A</v>
      </c>
      <c r="AC36" s="565">
        <f>881.37+332.02</f>
        <v>1213.3899999999999</v>
      </c>
      <c r="AD36" s="564">
        <f>AC36/$AD$11</f>
        <v>60.669499999999992</v>
      </c>
      <c r="AE36" s="564">
        <f>AD36*$AE$11</f>
        <v>12.133899999999999</v>
      </c>
      <c r="AF36" s="519">
        <f>AD36-AE36</f>
        <v>48.535599999999995</v>
      </c>
      <c r="AG36" s="569" t="e">
        <f>(AF36-AB36)/AF36</f>
        <v>#N/A</v>
      </c>
      <c r="AH36" s="408" t="e">
        <f t="shared" si="3"/>
        <v>#N/A</v>
      </c>
      <c r="AI36" s="409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0">
        <v>1</v>
      </c>
      <c r="D37" s="501" t="s">
        <v>298</v>
      </c>
      <c r="E37" s="502" t="s">
        <v>131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08">
        <f t="shared" si="1"/>
        <v>1010.3000000000001</v>
      </c>
      <c r="U37" s="557">
        <f t="shared" si="29"/>
        <v>254.59559999999999</v>
      </c>
      <c r="V37" s="565">
        <f>7306.44</f>
        <v>7306.44</v>
      </c>
      <c r="W37" s="564">
        <f>V37/$W$11</f>
        <v>365.322</v>
      </c>
      <c r="X37" s="564">
        <f>W37*$X$11</f>
        <v>73.064400000000006</v>
      </c>
      <c r="Y37" s="519">
        <f>W37-X37</f>
        <v>292.25760000000002</v>
      </c>
      <c r="Z37" s="569">
        <f>(Y37-U37)/Y37</f>
        <v>0.12886576773367067</v>
      </c>
      <c r="AA37" s="409" t="e">
        <f t="shared" si="2"/>
        <v>#N/A</v>
      </c>
      <c r="AB37" s="557" t="e">
        <f t="shared" si="34"/>
        <v>#N/A</v>
      </c>
      <c r="AC37" s="565">
        <f>881.37+332.02</f>
        <v>1213.3899999999999</v>
      </c>
      <c r="AD37" s="564">
        <f>AC37/$AD$11</f>
        <v>60.669499999999992</v>
      </c>
      <c r="AE37" s="564">
        <f>AD37*$AE$11</f>
        <v>12.133899999999999</v>
      </c>
      <c r="AF37" s="519">
        <f>AD37-AE37</f>
        <v>48.535599999999995</v>
      </c>
      <c r="AG37" s="569" t="e">
        <f>(AF37-AB37)/AF37</f>
        <v>#N/A</v>
      </c>
      <c r="AH37" s="408" t="e">
        <f t="shared" si="3"/>
        <v>#N/A</v>
      </c>
      <c r="AI37" s="409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0">
        <v>1</v>
      </c>
      <c r="D38" s="501" t="s">
        <v>298</v>
      </c>
      <c r="E38" s="502" t="s">
        <v>131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08">
        <f t="shared" si="1"/>
        <v>1236.8000000000002</v>
      </c>
      <c r="U38" s="557">
        <f t="shared" si="29"/>
        <v>311.67360000000002</v>
      </c>
      <c r="V38" s="565">
        <f>7493.6</f>
        <v>7493.6</v>
      </c>
      <c r="W38" s="564">
        <f>V38/$W$11</f>
        <v>374.68</v>
      </c>
      <c r="X38" s="564">
        <f>W38*$X$11</f>
        <v>74.936000000000007</v>
      </c>
      <c r="Y38" s="519">
        <f>W38-X38</f>
        <v>299.74400000000003</v>
      </c>
      <c r="Z38" s="569">
        <f>(Y38-U38)/Y38</f>
        <v>-3.9799295398740234E-2</v>
      </c>
      <c r="AA38" s="409" t="e">
        <f t="shared" si="2"/>
        <v>#N/A</v>
      </c>
      <c r="AB38" s="557" t="e">
        <f t="shared" si="34"/>
        <v>#N/A</v>
      </c>
      <c r="AC38" s="565">
        <f>881.37+332.02</f>
        <v>1213.3899999999999</v>
      </c>
      <c r="AD38" s="564">
        <f>AC38/$AD$11</f>
        <v>60.669499999999992</v>
      </c>
      <c r="AE38" s="564">
        <f>AD38*$AE$11</f>
        <v>12.133899999999999</v>
      </c>
      <c r="AF38" s="519">
        <f>AD38-AE38</f>
        <v>48.535599999999995</v>
      </c>
      <c r="AG38" s="569" t="e">
        <f>(AF38-AB38)/AF38</f>
        <v>#N/A</v>
      </c>
      <c r="AH38" s="408" t="e">
        <f t="shared" si="3"/>
        <v>#N/A</v>
      </c>
      <c r="AI38" s="409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0">
        <v>1</v>
      </c>
      <c r="D39" s="551" t="s">
        <v>298</v>
      </c>
      <c r="E39" s="552" t="s">
        <v>131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08">
        <f t="shared" si="1"/>
        <v>207.75</v>
      </c>
      <c r="U39" s="557">
        <f t="shared" si="29"/>
        <v>52.352999999999987</v>
      </c>
      <c r="V39" s="565"/>
      <c r="W39" s="565"/>
      <c r="X39" s="564"/>
      <c r="Y39" s="519"/>
      <c r="Z39" s="631">
        <f>AVERAGE(Z41:Z44,Z47:Z50,Z53:Z56,Z59:Z62)</f>
        <v>0.12861687269765615</v>
      </c>
      <c r="AA39" s="409" t="e">
        <f t="shared" si="2"/>
        <v>#N/A</v>
      </c>
      <c r="AB39" s="557" t="e">
        <f t="shared" si="34"/>
        <v>#N/A</v>
      </c>
      <c r="AC39" s="565"/>
      <c r="AD39" s="565"/>
      <c r="AE39" s="564"/>
      <c r="AF39" s="519"/>
      <c r="AG39" s="631" t="e">
        <f>AVERAGE(AG41:AG44,AG47:AG50,AG53:AG56,AG59:AG62)</f>
        <v>#N/A</v>
      </c>
      <c r="AH39" s="408" t="e">
        <f t="shared" si="3"/>
        <v>#N/A</v>
      </c>
      <c r="AI39" s="409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6">
        <v>1</v>
      </c>
      <c r="D40" s="507" t="s">
        <v>298</v>
      </c>
      <c r="E40" s="508" t="s">
        <v>131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08">
        <f t="shared" si="1"/>
        <v>315.75</v>
      </c>
      <c r="U40" s="557">
        <f t="shared" si="29"/>
        <v>79.568999999999988</v>
      </c>
      <c r="V40" s="567">
        <v>3251.56</v>
      </c>
      <c r="W40" s="567" t="s">
        <v>698</v>
      </c>
      <c r="X40" s="565"/>
      <c r="Y40" s="519"/>
      <c r="Z40" s="570">
        <f>AVERAGE(Z41:Z44)</f>
        <v>0.16924058000806241</v>
      </c>
      <c r="AA40" s="409" t="e">
        <f t="shared" si="2"/>
        <v>#N/A</v>
      </c>
      <c r="AB40" s="557" t="e">
        <f t="shared" si="34"/>
        <v>#N/A</v>
      </c>
      <c r="AC40" s="565"/>
      <c r="AD40" s="565"/>
      <c r="AE40" s="564"/>
      <c r="AF40" s="519"/>
      <c r="AG40" s="570" t="e">
        <f>AVERAGE(AG41:AG44)</f>
        <v>#N/A</v>
      </c>
      <c r="AH40" s="408" t="e">
        <f t="shared" si="3"/>
        <v>#N/A</v>
      </c>
      <c r="AI40" s="409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2">
        <v>1</v>
      </c>
      <c r="D41" s="513" t="s">
        <v>298</v>
      </c>
      <c r="E41" s="514" t="s">
        <v>131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08">
        <f t="shared" si="1"/>
        <v>265.75</v>
      </c>
      <c r="U41" s="557">
        <f t="shared" si="29"/>
        <v>66.96899999999998</v>
      </c>
      <c r="V41" s="565">
        <f>2289.6</f>
        <v>2289.6</v>
      </c>
      <c r="W41" s="564">
        <f>V41/$W$11</f>
        <v>114.47999999999999</v>
      </c>
      <c r="X41" s="564">
        <f>W41*$X$11</f>
        <v>22.896000000000001</v>
      </c>
      <c r="Y41" s="519">
        <f>W41-X41</f>
        <v>91.583999999999989</v>
      </c>
      <c r="Z41" s="569">
        <f>(Y41-U41)/Y41</f>
        <v>0.26876965408805042</v>
      </c>
      <c r="AA41" s="409" t="e">
        <f t="shared" si="2"/>
        <v>#N/A</v>
      </c>
      <c r="AB41" s="557" t="e">
        <f t="shared" si="34"/>
        <v>#N/A</v>
      </c>
      <c r="AC41" s="565">
        <f>524.8+332.02</f>
        <v>856.81999999999994</v>
      </c>
      <c r="AD41" s="564">
        <f>AC41/$AD$11</f>
        <v>42.840999999999994</v>
      </c>
      <c r="AE41" s="564">
        <f>AD41*$AE$11</f>
        <v>8.5681999999999992</v>
      </c>
      <c r="AF41" s="519">
        <f>AD41-AE41</f>
        <v>34.272799999999997</v>
      </c>
      <c r="AG41" s="569" t="e">
        <f>(AF41-AB41)/AF41</f>
        <v>#N/A</v>
      </c>
      <c r="AH41" s="408" t="e">
        <f t="shared" si="3"/>
        <v>#N/A</v>
      </c>
      <c r="AI41" s="409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2">
        <v>1</v>
      </c>
      <c r="D42" s="513" t="s">
        <v>298</v>
      </c>
      <c r="E42" s="514" t="s">
        <v>131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08">
        <f t="shared" si="1"/>
        <v>321</v>
      </c>
      <c r="U42" s="557">
        <f t="shared" si="29"/>
        <v>80.891999999999996</v>
      </c>
      <c r="V42" s="565">
        <f>2550.69</f>
        <v>2550.69</v>
      </c>
      <c r="W42" s="564">
        <f>V42/$W$11</f>
        <v>127.53450000000001</v>
      </c>
      <c r="X42" s="564">
        <f>W42*$X$11</f>
        <v>25.506900000000002</v>
      </c>
      <c r="Y42" s="519">
        <f>W42-X42</f>
        <v>102.02760000000001</v>
      </c>
      <c r="Z42" s="569">
        <f>(Y42-U42)/Y42</f>
        <v>0.2071557108076639</v>
      </c>
      <c r="AA42" s="409" t="e">
        <f t="shared" si="2"/>
        <v>#N/A</v>
      </c>
      <c r="AB42" s="557" t="e">
        <f t="shared" si="34"/>
        <v>#N/A</v>
      </c>
      <c r="AC42" s="565">
        <f>524.8+332.02</f>
        <v>856.81999999999994</v>
      </c>
      <c r="AD42" s="564">
        <f>AC42/$AD$11</f>
        <v>42.840999999999994</v>
      </c>
      <c r="AE42" s="564">
        <f>AD42*$AE$11</f>
        <v>8.5681999999999992</v>
      </c>
      <c r="AF42" s="519">
        <f>AD42-AE42</f>
        <v>34.272799999999997</v>
      </c>
      <c r="AG42" s="569" t="e">
        <f>(AF42-AB42)/AF42</f>
        <v>#N/A</v>
      </c>
      <c r="AH42" s="408" t="e">
        <f t="shared" si="3"/>
        <v>#N/A</v>
      </c>
      <c r="AI42" s="409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2">
        <v>1</v>
      </c>
      <c r="D43" s="513" t="s">
        <v>298</v>
      </c>
      <c r="E43" s="514" t="s">
        <v>131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08">
        <f t="shared" si="1"/>
        <v>386.25</v>
      </c>
      <c r="U43" s="557">
        <f t="shared" si="29"/>
        <v>97.334999999999994</v>
      </c>
      <c r="V43" s="565">
        <v>2547.9699999999998</v>
      </c>
      <c r="W43" s="564">
        <f>V43/$W$11</f>
        <v>127.39849999999998</v>
      </c>
      <c r="X43" s="564">
        <f>W43*$X$11</f>
        <v>25.479699999999998</v>
      </c>
      <c r="Y43" s="519">
        <f>W43-X43</f>
        <v>101.91879999999999</v>
      </c>
      <c r="Z43" s="569">
        <f>(Y43-U43)/Y43</f>
        <v>4.497501932911295E-2</v>
      </c>
      <c r="AA43" s="409" t="e">
        <f t="shared" si="2"/>
        <v>#N/A</v>
      </c>
      <c r="AB43" s="557" t="e">
        <f t="shared" si="34"/>
        <v>#N/A</v>
      </c>
      <c r="AC43" s="565">
        <f>524.8+332.02</f>
        <v>856.81999999999994</v>
      </c>
      <c r="AD43" s="564">
        <f>AC43/$AD$11</f>
        <v>42.840999999999994</v>
      </c>
      <c r="AE43" s="564">
        <f>AD43*$AE$11</f>
        <v>8.5681999999999992</v>
      </c>
      <c r="AF43" s="519">
        <f>AD43-AE43</f>
        <v>34.272799999999997</v>
      </c>
      <c r="AG43" s="569" t="e">
        <f>(AF43-AB43)/AF43</f>
        <v>#N/A</v>
      </c>
      <c r="AH43" s="408" t="e">
        <f t="shared" si="3"/>
        <v>#N/A</v>
      </c>
      <c r="AI43" s="409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2">
        <v>1</v>
      </c>
      <c r="D44" s="513" t="s">
        <v>298</v>
      </c>
      <c r="E44" s="514" t="s">
        <v>131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08">
        <f t="shared" si="1"/>
        <v>448.75</v>
      </c>
      <c r="U44" s="557">
        <f t="shared" si="29"/>
        <v>113.08499999999999</v>
      </c>
      <c r="V44" s="565">
        <v>3349.92</v>
      </c>
      <c r="W44" s="564">
        <f>V44/$W$11</f>
        <v>167.49600000000001</v>
      </c>
      <c r="X44" s="564">
        <f>W44*$X$11</f>
        <v>33.499200000000002</v>
      </c>
      <c r="Y44" s="519">
        <f>W44-X44</f>
        <v>133.99680000000001</v>
      </c>
      <c r="Z44" s="569">
        <f>(Y44-U44)/Y44</f>
        <v>0.15606193580742236</v>
      </c>
      <c r="AA44" s="409" t="e">
        <f t="shared" si="2"/>
        <v>#N/A</v>
      </c>
      <c r="AB44" s="557" t="e">
        <f t="shared" si="34"/>
        <v>#N/A</v>
      </c>
      <c r="AC44" s="565">
        <f>524.8+332.02</f>
        <v>856.81999999999994</v>
      </c>
      <c r="AD44" s="564">
        <f>AC44/$AD$11</f>
        <v>42.840999999999994</v>
      </c>
      <c r="AE44" s="564">
        <f>AD44*$AE$11</f>
        <v>8.5681999999999992</v>
      </c>
      <c r="AF44" s="519">
        <f>AD44-AE44</f>
        <v>34.272799999999997</v>
      </c>
      <c r="AG44" s="569" t="e">
        <f>(AF44-AB44)/AF44</f>
        <v>#N/A</v>
      </c>
      <c r="AH44" s="408" t="e">
        <f t="shared" si="3"/>
        <v>#N/A</v>
      </c>
      <c r="AI44" s="409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0">
        <v>1</v>
      </c>
      <c r="D45" s="551" t="s">
        <v>298</v>
      </c>
      <c r="E45" s="552" t="s">
        <v>131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08">
        <f t="shared" si="1"/>
        <v>271.7</v>
      </c>
      <c r="U45" s="557">
        <f t="shared" si="29"/>
        <v>68.468399999999988</v>
      </c>
      <c r="V45" s="565"/>
      <c r="W45" s="565"/>
      <c r="X45" s="564"/>
      <c r="Y45" s="519"/>
      <c r="Z45" s="519"/>
      <c r="AA45" s="409" t="e">
        <f t="shared" si="2"/>
        <v>#N/A</v>
      </c>
      <c r="AB45" s="557" t="e">
        <f t="shared" si="34"/>
        <v>#N/A</v>
      </c>
      <c r="AC45" s="565"/>
      <c r="AD45" s="565"/>
      <c r="AE45" s="564"/>
      <c r="AF45" s="519"/>
      <c r="AG45" s="519"/>
      <c r="AH45" s="408" t="e">
        <f t="shared" si="3"/>
        <v>#N/A</v>
      </c>
      <c r="AI45" s="409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6">
        <v>1</v>
      </c>
      <c r="D46" s="507" t="s">
        <v>298</v>
      </c>
      <c r="E46" s="508" t="s">
        <v>131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08">
        <f t="shared" si="1"/>
        <v>412.1</v>
      </c>
      <c r="U46" s="557">
        <f t="shared" si="29"/>
        <v>103.84919999999998</v>
      </c>
      <c r="V46" s="567">
        <v>4056.24</v>
      </c>
      <c r="W46" s="567" t="s">
        <v>698</v>
      </c>
      <c r="X46" s="565"/>
      <c r="Y46" s="519"/>
      <c r="Z46" s="570">
        <f>AVERAGE(Z47:Z50)</f>
        <v>0.13094669085281782</v>
      </c>
      <c r="AA46" s="409" t="e">
        <f t="shared" si="2"/>
        <v>#N/A</v>
      </c>
      <c r="AB46" s="557" t="e">
        <f t="shared" si="34"/>
        <v>#N/A</v>
      </c>
      <c r="AC46" s="565"/>
      <c r="AD46" s="565"/>
      <c r="AE46" s="564"/>
      <c r="AF46" s="519"/>
      <c r="AG46" s="570" t="e">
        <f>AVERAGE(AG47:AG50)</f>
        <v>#N/A</v>
      </c>
      <c r="AH46" s="408" t="e">
        <f t="shared" si="3"/>
        <v>#N/A</v>
      </c>
      <c r="AI46" s="409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2">
        <v>1</v>
      </c>
      <c r="D47" s="513" t="s">
        <v>298</v>
      </c>
      <c r="E47" s="514" t="s">
        <v>131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08">
        <f t="shared" si="1"/>
        <v>347.1</v>
      </c>
      <c r="U47" s="557">
        <f t="shared" si="29"/>
        <v>87.469199999999987</v>
      </c>
      <c r="V47" s="565">
        <f>2854.44</f>
        <v>2854.44</v>
      </c>
      <c r="W47" s="564">
        <f>V47/$W$11</f>
        <v>142.72200000000001</v>
      </c>
      <c r="X47" s="564">
        <f>W47*$X$11</f>
        <v>28.544400000000003</v>
      </c>
      <c r="Y47" s="519">
        <f>W47-X47</f>
        <v>114.17760000000001</v>
      </c>
      <c r="Z47" s="569">
        <f>(Y47-U47)/Y47</f>
        <v>0.23391978811956129</v>
      </c>
      <c r="AA47" s="409" t="e">
        <f t="shared" si="2"/>
        <v>#N/A</v>
      </c>
      <c r="AB47" s="557" t="e">
        <f t="shared" si="34"/>
        <v>#N/A</v>
      </c>
      <c r="AC47" s="565">
        <f>637.61+332.02</f>
        <v>969.63</v>
      </c>
      <c r="AD47" s="564">
        <f>AC47/$AD$11</f>
        <v>48.481499999999997</v>
      </c>
      <c r="AE47" s="564">
        <f>AD47*$AE$11</f>
        <v>9.6963000000000008</v>
      </c>
      <c r="AF47" s="519">
        <f>AD47-AE47</f>
        <v>38.785199999999996</v>
      </c>
      <c r="AG47" s="569" t="e">
        <f>(AF47-AB47)/AF47</f>
        <v>#N/A</v>
      </c>
      <c r="AH47" s="408" t="e">
        <f t="shared" si="3"/>
        <v>#N/A</v>
      </c>
      <c r="AI47" s="409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2">
        <v>1</v>
      </c>
      <c r="D48" s="513" t="s">
        <v>298</v>
      </c>
      <c r="E48" s="514" t="s">
        <v>131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08">
        <f t="shared" si="1"/>
        <v>418.95000000000005</v>
      </c>
      <c r="U48" s="557">
        <f t="shared" si="29"/>
        <v>105.57539999999999</v>
      </c>
      <c r="V48" s="565">
        <f>3180.51</f>
        <v>3180.51</v>
      </c>
      <c r="W48" s="564">
        <f>V48/$W$11</f>
        <v>159.02550000000002</v>
      </c>
      <c r="X48" s="564">
        <f>W48*$X$11</f>
        <v>31.805100000000007</v>
      </c>
      <c r="Y48" s="519">
        <f>W48-X48</f>
        <v>127.22040000000001</v>
      </c>
      <c r="Z48" s="569">
        <f>(Y48-U48)/Y48</f>
        <v>0.17013780808738238</v>
      </c>
      <c r="AA48" s="409" t="e">
        <f t="shared" si="2"/>
        <v>#N/A</v>
      </c>
      <c r="AB48" s="557" t="e">
        <f t="shared" si="34"/>
        <v>#N/A</v>
      </c>
      <c r="AC48" s="565">
        <f>637.61+332.02</f>
        <v>969.63</v>
      </c>
      <c r="AD48" s="564">
        <f>AC48/$AD$11</f>
        <v>48.481499999999997</v>
      </c>
      <c r="AE48" s="564">
        <f>AD48*$AE$11</f>
        <v>9.6963000000000008</v>
      </c>
      <c r="AF48" s="519">
        <f>AD48-AE48</f>
        <v>38.785199999999996</v>
      </c>
      <c r="AG48" s="569" t="e">
        <f>(AF48-AB48)/AF48</f>
        <v>#N/A</v>
      </c>
      <c r="AH48" s="408" t="e">
        <f t="shared" si="3"/>
        <v>#N/A</v>
      </c>
      <c r="AI48" s="409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2">
        <v>1</v>
      </c>
      <c r="D49" s="513" t="s">
        <v>298</v>
      </c>
      <c r="E49" s="514" t="s">
        <v>131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08">
        <f t="shared" si="1"/>
        <v>503.75</v>
      </c>
      <c r="U49" s="557">
        <f t="shared" si="29"/>
        <v>126.94499999999999</v>
      </c>
      <c r="V49" s="565">
        <v>3177.78</v>
      </c>
      <c r="W49" s="564">
        <f>V49/$W$11</f>
        <v>158.88900000000001</v>
      </c>
      <c r="X49" s="564">
        <f>W49*$X$11</f>
        <v>31.777800000000003</v>
      </c>
      <c r="Y49" s="519">
        <f>W49-X49</f>
        <v>127.11120000000001</v>
      </c>
      <c r="Z49" s="569">
        <f>(Y49-U49)/Y49</f>
        <v>1.3075165681703709E-3</v>
      </c>
      <c r="AA49" s="409" t="e">
        <f t="shared" si="2"/>
        <v>#N/A</v>
      </c>
      <c r="AB49" s="557" t="e">
        <f t="shared" si="34"/>
        <v>#N/A</v>
      </c>
      <c r="AC49" s="565">
        <f>637.61+332.02</f>
        <v>969.63</v>
      </c>
      <c r="AD49" s="564">
        <f>AC49/$AD$11</f>
        <v>48.481499999999997</v>
      </c>
      <c r="AE49" s="564">
        <f>AD49*$AE$11</f>
        <v>9.6963000000000008</v>
      </c>
      <c r="AF49" s="519">
        <f>AD49-AE49</f>
        <v>38.785199999999996</v>
      </c>
      <c r="AG49" s="569" t="e">
        <f>(AF49-AB49)/AF49</f>
        <v>#N/A</v>
      </c>
      <c r="AH49" s="408" t="e">
        <f t="shared" si="3"/>
        <v>#N/A</v>
      </c>
      <c r="AI49" s="409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2">
        <v>1</v>
      </c>
      <c r="D50" s="513" t="s">
        <v>298</v>
      </c>
      <c r="E50" s="514" t="s">
        <v>131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08">
        <f t="shared" si="1"/>
        <v>585</v>
      </c>
      <c r="U50" s="557">
        <f t="shared" si="29"/>
        <v>147.41999999999999</v>
      </c>
      <c r="V50" s="565">
        <f>4180.57</f>
        <v>4180.57</v>
      </c>
      <c r="W50" s="564">
        <f>V50/$W$11</f>
        <v>209.02849999999998</v>
      </c>
      <c r="X50" s="564">
        <f>W50*$X$11</f>
        <v>41.805700000000002</v>
      </c>
      <c r="Y50" s="519">
        <f>W50-X50</f>
        <v>167.22279999999998</v>
      </c>
      <c r="Z50" s="569">
        <f>(Y50-U50)/Y50</f>
        <v>0.11842165063615723</v>
      </c>
      <c r="AA50" s="409" t="e">
        <f t="shared" si="2"/>
        <v>#N/A</v>
      </c>
      <c r="AB50" s="557" t="e">
        <f t="shared" si="34"/>
        <v>#N/A</v>
      </c>
      <c r="AC50" s="565">
        <f>637.61+332.02</f>
        <v>969.63</v>
      </c>
      <c r="AD50" s="564">
        <f>AC50/$AD$11</f>
        <v>48.481499999999997</v>
      </c>
      <c r="AE50" s="564">
        <f>AD50*$AE$11</f>
        <v>9.6963000000000008</v>
      </c>
      <c r="AF50" s="519">
        <f>AD50-AE50</f>
        <v>38.785199999999996</v>
      </c>
      <c r="AG50" s="569" t="e">
        <f>(AF50-AB50)/AF50</f>
        <v>#N/A</v>
      </c>
      <c r="AH50" s="408" t="e">
        <f t="shared" si="3"/>
        <v>#N/A</v>
      </c>
      <c r="AI50" s="409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0">
        <v>1</v>
      </c>
      <c r="D51" s="551" t="s">
        <v>298</v>
      </c>
      <c r="E51" s="552" t="s">
        <v>131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08">
        <f t="shared" si="1"/>
        <v>335.65000000000003</v>
      </c>
      <c r="U51" s="557">
        <f t="shared" si="29"/>
        <v>84.583800000000011</v>
      </c>
      <c r="V51" s="565"/>
      <c r="W51" s="565"/>
      <c r="X51" s="564"/>
      <c r="Y51" s="519"/>
      <c r="Z51" s="519"/>
      <c r="AA51" s="409" t="e">
        <f t="shared" si="2"/>
        <v>#N/A</v>
      </c>
      <c r="AB51" s="557" t="e">
        <f t="shared" si="34"/>
        <v>#N/A</v>
      </c>
      <c r="AC51" s="565"/>
      <c r="AD51" s="565"/>
      <c r="AE51" s="564"/>
      <c r="AF51" s="519"/>
      <c r="AG51" s="519"/>
      <c r="AH51" s="408" t="e">
        <f t="shared" si="3"/>
        <v>#N/A</v>
      </c>
      <c r="AI51" s="409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6">
        <v>1</v>
      </c>
      <c r="D52" s="507" t="s">
        <v>298</v>
      </c>
      <c r="E52" s="508" t="s">
        <v>131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08">
        <f t="shared" si="1"/>
        <v>508.45000000000005</v>
      </c>
      <c r="U52" s="557">
        <f t="shared" si="29"/>
        <v>128.1294</v>
      </c>
      <c r="V52" s="567">
        <v>4289.87</v>
      </c>
      <c r="W52" s="567" t="s">
        <v>698</v>
      </c>
      <c r="X52" s="565"/>
      <c r="Y52" s="519"/>
      <c r="Z52" s="570">
        <f>AVERAGE(Z53:Z56)</f>
        <v>0.10551231757279279</v>
      </c>
      <c r="AA52" s="409" t="e">
        <f t="shared" si="2"/>
        <v>#N/A</v>
      </c>
      <c r="AB52" s="557" t="e">
        <f t="shared" si="34"/>
        <v>#N/A</v>
      </c>
      <c r="AC52" s="565"/>
      <c r="AD52" s="565"/>
      <c r="AE52" s="564"/>
      <c r="AF52" s="519"/>
      <c r="AG52" s="570" t="e">
        <f>AVERAGE(AG53:AG56)</f>
        <v>#N/A</v>
      </c>
      <c r="AH52" s="408" t="e">
        <f t="shared" si="3"/>
        <v>#N/A</v>
      </c>
      <c r="AI52" s="409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2">
        <v>1</v>
      </c>
      <c r="D53" s="513" t="s">
        <v>298</v>
      </c>
      <c r="E53" s="514" t="s">
        <v>131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08">
        <f t="shared" si="1"/>
        <v>428.45000000000005</v>
      </c>
      <c r="U53" s="557">
        <f t="shared" si="29"/>
        <v>107.96940000000001</v>
      </c>
      <c r="V53" s="565">
        <f>3419.28</f>
        <v>3419.28</v>
      </c>
      <c r="W53" s="564">
        <f>V53/$W$11</f>
        <v>170.964</v>
      </c>
      <c r="X53" s="564">
        <f>W53*$X$11</f>
        <v>34.192799999999998</v>
      </c>
      <c r="Y53" s="519">
        <f>W53-X53</f>
        <v>136.77119999999999</v>
      </c>
      <c r="Z53" s="569">
        <f>(Y53-U53)/Y53</f>
        <v>0.21058380711728775</v>
      </c>
      <c r="AA53" s="409" t="e">
        <f t="shared" si="2"/>
        <v>#N/A</v>
      </c>
      <c r="AB53" s="557" t="e">
        <f t="shared" si="34"/>
        <v>#N/A</v>
      </c>
      <c r="AC53" s="565">
        <f>736.77+332.02</f>
        <v>1068.79</v>
      </c>
      <c r="AD53" s="564">
        <f>AC53/$AD$11</f>
        <v>53.439499999999995</v>
      </c>
      <c r="AE53" s="564">
        <f>AD53*$AE$11</f>
        <v>10.687899999999999</v>
      </c>
      <c r="AF53" s="519">
        <f>AD53-AE53</f>
        <v>42.751599999999996</v>
      </c>
      <c r="AG53" s="569" t="e">
        <f>(AF53-AB53)/AF53</f>
        <v>#N/A</v>
      </c>
      <c r="AH53" s="408" t="e">
        <f t="shared" si="3"/>
        <v>#N/A</v>
      </c>
      <c r="AI53" s="409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2">
        <v>1</v>
      </c>
      <c r="D54" s="513" t="s">
        <v>298</v>
      </c>
      <c r="E54" s="514" t="s">
        <v>131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08">
        <f t="shared" si="1"/>
        <v>516.85</v>
      </c>
      <c r="U54" s="557">
        <f t="shared" si="29"/>
        <v>130.24619999999999</v>
      </c>
      <c r="V54" s="565">
        <f>3811.7</f>
        <v>3811.7</v>
      </c>
      <c r="W54" s="564">
        <f>V54/$W$11</f>
        <v>190.58499999999998</v>
      </c>
      <c r="X54" s="564">
        <f>W54*$X$11</f>
        <v>38.116999999999997</v>
      </c>
      <c r="Y54" s="519">
        <f>W54-X54</f>
        <v>152.46799999999999</v>
      </c>
      <c r="Z54" s="569">
        <f>(Y54-U54)/Y54</f>
        <v>0.14574730435238872</v>
      </c>
      <c r="AA54" s="409" t="e">
        <f t="shared" si="2"/>
        <v>#N/A</v>
      </c>
      <c r="AB54" s="557" t="e">
        <f t="shared" si="34"/>
        <v>#N/A</v>
      </c>
      <c r="AC54" s="565">
        <f>736.77+332.02</f>
        <v>1068.79</v>
      </c>
      <c r="AD54" s="564">
        <f>AC54/$AD$11</f>
        <v>53.439499999999995</v>
      </c>
      <c r="AE54" s="564">
        <f>AD54*$AE$11</f>
        <v>10.687899999999999</v>
      </c>
      <c r="AF54" s="519">
        <f>AD54-AE54</f>
        <v>42.751599999999996</v>
      </c>
      <c r="AG54" s="569" t="e">
        <f>(AF54-AB54)/AF54</f>
        <v>#N/A</v>
      </c>
      <c r="AH54" s="408" t="e">
        <f t="shared" si="3"/>
        <v>#N/A</v>
      </c>
      <c r="AI54" s="409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2">
        <v>1</v>
      </c>
      <c r="D55" s="513" t="s">
        <v>298</v>
      </c>
      <c r="E55" s="514" t="s">
        <v>131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08">
        <f t="shared" si="1"/>
        <v>621.25</v>
      </c>
      <c r="U55" s="557">
        <f t="shared" si="29"/>
        <v>156.55500000000001</v>
      </c>
      <c r="V55" s="565">
        <v>3808.97</v>
      </c>
      <c r="W55" s="564">
        <f>V55/$W$11</f>
        <v>190.4485</v>
      </c>
      <c r="X55" s="564">
        <f>W55*$X$11</f>
        <v>38.089700000000001</v>
      </c>
      <c r="Y55" s="519">
        <f>W55-X55</f>
        <v>152.3588</v>
      </c>
      <c r="Z55" s="569">
        <f>(Y55-U55)/Y55</f>
        <v>-2.7541566355208918E-2</v>
      </c>
      <c r="AA55" s="409" t="e">
        <f t="shared" si="2"/>
        <v>#N/A</v>
      </c>
      <c r="AB55" s="557" t="e">
        <f t="shared" si="34"/>
        <v>#N/A</v>
      </c>
      <c r="AC55" s="565">
        <f>736.77+332.02</f>
        <v>1068.79</v>
      </c>
      <c r="AD55" s="564">
        <f>AC55/$AD$11</f>
        <v>53.439499999999995</v>
      </c>
      <c r="AE55" s="564">
        <f>AD55*$AE$11</f>
        <v>10.687899999999999</v>
      </c>
      <c r="AF55" s="519">
        <f>AD55-AE55</f>
        <v>42.751599999999996</v>
      </c>
      <c r="AG55" s="569" t="e">
        <f>(AF55-AB55)/AF55</f>
        <v>#N/A</v>
      </c>
      <c r="AH55" s="408" t="e">
        <f t="shared" si="3"/>
        <v>#N/A</v>
      </c>
      <c r="AI55" s="409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2">
        <v>1</v>
      </c>
      <c r="D56" s="513" t="s">
        <v>298</v>
      </c>
      <c r="E56" s="514" t="s">
        <v>131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08">
        <f t="shared" si="1"/>
        <v>721.25</v>
      </c>
      <c r="U56" s="557">
        <f t="shared" si="29"/>
        <v>181.75499999999997</v>
      </c>
      <c r="V56" s="565">
        <v>5011.22</v>
      </c>
      <c r="W56" s="564">
        <f>V56/$W$11</f>
        <v>250.56100000000001</v>
      </c>
      <c r="X56" s="564">
        <f>W56*$X$11</f>
        <v>50.112200000000001</v>
      </c>
      <c r="Y56" s="519">
        <f>W56-X56</f>
        <v>200.44880000000001</v>
      </c>
      <c r="Z56" s="569">
        <f>(Y56-U56)/Y56</f>
        <v>9.3259725176703667E-2</v>
      </c>
      <c r="AA56" s="409" t="e">
        <f t="shared" si="2"/>
        <v>#N/A</v>
      </c>
      <c r="AB56" s="557" t="e">
        <f t="shared" si="34"/>
        <v>#N/A</v>
      </c>
      <c r="AC56" s="565">
        <f>736.77+332.02</f>
        <v>1068.79</v>
      </c>
      <c r="AD56" s="564">
        <f>AC56/$AD$11</f>
        <v>53.439499999999995</v>
      </c>
      <c r="AE56" s="564">
        <f>AD56*$AE$11</f>
        <v>10.687899999999999</v>
      </c>
      <c r="AF56" s="519">
        <f>AD56-AE56</f>
        <v>42.751599999999996</v>
      </c>
      <c r="AG56" s="569" t="e">
        <f>(AF56-AB56)/AF56</f>
        <v>#N/A</v>
      </c>
      <c r="AH56" s="408" t="e">
        <f t="shared" si="3"/>
        <v>#N/A</v>
      </c>
      <c r="AI56" s="409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0">
        <v>1</v>
      </c>
      <c r="D57" s="551" t="s">
        <v>298</v>
      </c>
      <c r="E57" s="552" t="s">
        <v>131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08">
        <f t="shared" si="1"/>
        <v>407.55</v>
      </c>
      <c r="U57" s="557">
        <f t="shared" si="29"/>
        <v>102.70259999999998</v>
      </c>
      <c r="V57" s="565"/>
      <c r="W57" s="565"/>
      <c r="X57" s="564"/>
      <c r="Y57" s="519"/>
      <c r="Z57" s="519"/>
      <c r="AA57" s="409" t="e">
        <f t="shared" si="2"/>
        <v>#N/A</v>
      </c>
      <c r="AB57" s="557" t="e">
        <f t="shared" si="34"/>
        <v>#N/A</v>
      </c>
      <c r="AC57" s="565"/>
      <c r="AD57" s="565"/>
      <c r="AE57" s="564"/>
      <c r="AF57" s="519"/>
      <c r="AG57" s="519"/>
      <c r="AH57" s="408" t="e">
        <f t="shared" si="3"/>
        <v>#N/A</v>
      </c>
      <c r="AI57" s="409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6">
        <v>1</v>
      </c>
      <c r="D58" s="507" t="s">
        <v>298</v>
      </c>
      <c r="E58" s="508" t="s">
        <v>131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08">
        <f t="shared" si="1"/>
        <v>618.15000000000009</v>
      </c>
      <c r="U58" s="557">
        <f t="shared" si="29"/>
        <v>155.77379999999999</v>
      </c>
      <c r="V58" s="567">
        <v>5743.5</v>
      </c>
      <c r="W58" s="567" t="s">
        <v>698</v>
      </c>
      <c r="X58" s="565"/>
      <c r="Y58" s="519"/>
      <c r="Z58" s="570">
        <f>AVERAGE(Z59:Z62)</f>
        <v>0.10876790235695155</v>
      </c>
      <c r="AA58" s="409" t="e">
        <f t="shared" si="2"/>
        <v>#N/A</v>
      </c>
      <c r="AB58" s="557" t="e">
        <f t="shared" si="34"/>
        <v>#N/A</v>
      </c>
      <c r="AC58" s="565"/>
      <c r="AD58" s="565"/>
      <c r="AE58" s="564"/>
      <c r="AF58" s="519"/>
      <c r="AG58" s="570" t="e">
        <f>AVERAGE(AG59:AG62)</f>
        <v>#N/A</v>
      </c>
      <c r="AH58" s="408" t="e">
        <f t="shared" si="3"/>
        <v>#N/A</v>
      </c>
      <c r="AI58" s="409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2">
        <v>1</v>
      </c>
      <c r="D59" s="513" t="s">
        <v>298</v>
      </c>
      <c r="E59" s="514" t="s">
        <v>131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08">
        <f t="shared" si="1"/>
        <v>520.65</v>
      </c>
      <c r="U59" s="557">
        <f t="shared" si="29"/>
        <v>131.20379999999997</v>
      </c>
      <c r="V59" s="565">
        <f>4172.04</f>
        <v>4172.04</v>
      </c>
      <c r="W59" s="564">
        <f>V59/$W$11</f>
        <v>208.602</v>
      </c>
      <c r="X59" s="564">
        <f>W59*$X$11</f>
        <v>41.720400000000005</v>
      </c>
      <c r="Y59" s="519">
        <f>W59-X59</f>
        <v>166.88159999999999</v>
      </c>
      <c r="Z59" s="569">
        <f>(Y59-U59)/Y59</f>
        <v>0.21379109500388313</v>
      </c>
      <c r="AA59" s="409" t="e">
        <f t="shared" si="2"/>
        <v>#N/A</v>
      </c>
      <c r="AB59" s="557" t="e">
        <f t="shared" si="34"/>
        <v>#N/A</v>
      </c>
      <c r="AC59" s="565">
        <f>881.37+332.02</f>
        <v>1213.3899999999999</v>
      </c>
      <c r="AD59" s="564">
        <f>AC59/$AD$11</f>
        <v>60.669499999999992</v>
      </c>
      <c r="AE59" s="564">
        <f>AD59*$AE$11</f>
        <v>12.133899999999999</v>
      </c>
      <c r="AF59" s="519">
        <f>AD59-AE59</f>
        <v>48.535599999999995</v>
      </c>
      <c r="AG59" s="569" t="e">
        <f>(AF59-AB59)/AF59</f>
        <v>#N/A</v>
      </c>
      <c r="AH59" s="408" t="e">
        <f t="shared" si="3"/>
        <v>#N/A</v>
      </c>
      <c r="AI59" s="409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2">
        <v>1</v>
      </c>
      <c r="D60" s="513" t="s">
        <v>298</v>
      </c>
      <c r="E60" s="514" t="s">
        <v>131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08">
        <f t="shared" si="1"/>
        <v>628.40000000000009</v>
      </c>
      <c r="U60" s="557">
        <f t="shared" si="29"/>
        <v>158.35679999999999</v>
      </c>
      <c r="V60" s="565">
        <f>4651.92</f>
        <v>4651.92</v>
      </c>
      <c r="W60" s="564">
        <f>V60/$W$11</f>
        <v>232.596</v>
      </c>
      <c r="X60" s="564">
        <f>W60*$X$11</f>
        <v>46.519200000000005</v>
      </c>
      <c r="Y60" s="519">
        <f>W60-X60</f>
        <v>186.07679999999999</v>
      </c>
      <c r="Z60" s="569">
        <f>(Y60-U60)/Y60</f>
        <v>0.14897074756229686</v>
      </c>
      <c r="AA60" s="409" t="e">
        <f t="shared" si="2"/>
        <v>#N/A</v>
      </c>
      <c r="AB60" s="557" t="e">
        <f t="shared" si="34"/>
        <v>#N/A</v>
      </c>
      <c r="AC60" s="565">
        <f>881.37+332.02</f>
        <v>1213.3899999999999</v>
      </c>
      <c r="AD60" s="564">
        <f>AC60/$AD$11</f>
        <v>60.669499999999992</v>
      </c>
      <c r="AE60" s="564">
        <f>AD60*$AE$11</f>
        <v>12.133899999999999</v>
      </c>
      <c r="AF60" s="519">
        <f>AD60-AE60</f>
        <v>48.535599999999995</v>
      </c>
      <c r="AG60" s="569" t="e">
        <f>(AF60-AB60)/AF60</f>
        <v>#N/A</v>
      </c>
      <c r="AH60" s="408" t="e">
        <f t="shared" si="3"/>
        <v>#N/A</v>
      </c>
      <c r="AI60" s="409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2">
        <v>1</v>
      </c>
      <c r="D61" s="513" t="s">
        <v>298</v>
      </c>
      <c r="E61" s="514" t="s">
        <v>131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08">
        <f t="shared" si="1"/>
        <v>755.65000000000009</v>
      </c>
      <c r="U61" s="557">
        <f t="shared" si="29"/>
        <v>190.4238</v>
      </c>
      <c r="V61" s="565">
        <v>4647.8100000000004</v>
      </c>
      <c r="W61" s="564">
        <f>V61/$W$11</f>
        <v>232.39050000000003</v>
      </c>
      <c r="X61" s="564">
        <f>W61*$X$11</f>
        <v>46.478100000000012</v>
      </c>
      <c r="Y61" s="519">
        <f>W61-X61</f>
        <v>185.91240000000002</v>
      </c>
      <c r="Z61" s="569">
        <f>(Y61-U61)/Y61</f>
        <v>-2.4266267338811074E-2</v>
      </c>
      <c r="AA61" s="409" t="e">
        <f t="shared" si="2"/>
        <v>#N/A</v>
      </c>
      <c r="AB61" s="557" t="e">
        <f t="shared" si="34"/>
        <v>#N/A</v>
      </c>
      <c r="AC61" s="565">
        <f>881.37+332.02</f>
        <v>1213.3899999999999</v>
      </c>
      <c r="AD61" s="564">
        <f>AC61/$AD$11</f>
        <v>60.669499999999992</v>
      </c>
      <c r="AE61" s="564">
        <f>AD61*$AE$11</f>
        <v>12.133899999999999</v>
      </c>
      <c r="AF61" s="519">
        <f>AD61-AE61</f>
        <v>48.535599999999995</v>
      </c>
      <c r="AG61" s="569" t="e">
        <f>(AF61-AB61)/AF61</f>
        <v>#N/A</v>
      </c>
      <c r="AH61" s="408" t="e">
        <f t="shared" si="3"/>
        <v>#N/A</v>
      </c>
      <c r="AI61" s="409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2">
        <v>1</v>
      </c>
      <c r="D62" s="513" t="s">
        <v>298</v>
      </c>
      <c r="E62" s="514" t="s">
        <v>131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08">
        <f t="shared" si="1"/>
        <v>877.5</v>
      </c>
      <c r="U62" s="557">
        <f t="shared" si="29"/>
        <v>221.13</v>
      </c>
      <c r="V62" s="565">
        <v>6119.22</v>
      </c>
      <c r="W62" s="564">
        <f>V62/$W$11</f>
        <v>305.96100000000001</v>
      </c>
      <c r="X62" s="564">
        <f>W62*$X$11</f>
        <v>61.192200000000007</v>
      </c>
      <c r="Y62" s="519">
        <f>W62-X62</f>
        <v>244.7688</v>
      </c>
      <c r="Z62" s="569">
        <f>(Y62-U62)/Y62</f>
        <v>9.6576034200437325E-2</v>
      </c>
      <c r="AA62" s="409" t="e">
        <f t="shared" si="2"/>
        <v>#N/A</v>
      </c>
      <c r="AB62" s="557" t="e">
        <f t="shared" si="34"/>
        <v>#N/A</v>
      </c>
      <c r="AC62" s="565">
        <f>881.37+332.02</f>
        <v>1213.3899999999999</v>
      </c>
      <c r="AD62" s="564">
        <f>AC62/$AD$11</f>
        <v>60.669499999999992</v>
      </c>
      <c r="AE62" s="564">
        <f>AD62*$AE$11</f>
        <v>12.133899999999999</v>
      </c>
      <c r="AF62" s="519">
        <f>AD62-AE62</f>
        <v>48.535599999999995</v>
      </c>
      <c r="AG62" s="569" t="e">
        <f>(AF62-AB62)/AF62</f>
        <v>#N/A</v>
      </c>
      <c r="AH62" s="408" t="e">
        <f t="shared" si="3"/>
        <v>#N/A</v>
      </c>
      <c r="AI62" s="409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07" t="str">
        <f>IF('CALC -P.P. - STD HW'!S4="INGLES","QTY.","CANT.")</f>
        <v>CANT.</v>
      </c>
      <c r="D63" s="908" t="str">
        <f>IF('CALC -P.P. - STD HW'!S4="INGLES","DESCRIPTION OF ADDITIONAL SERVICES","DESCRIPCION DE SERVICIOS ADICIONALES")</f>
        <v>DESCRIPCION DE SERVICIOS ADICIONALES</v>
      </c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18"/>
      <c r="V4" s="518"/>
      <c r="W4" s="518"/>
      <c r="X4" s="518"/>
      <c r="Y4" s="518"/>
      <c r="Z4" s="518"/>
      <c r="AA4" s="209" t="s">
        <v>220</v>
      </c>
      <c r="AB4" s="520"/>
      <c r="AC4" s="520"/>
      <c r="AD4" s="520"/>
      <c r="AE4" s="520"/>
      <c r="AF4" s="520"/>
      <c r="AG4" s="520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1"/>
      <c r="W11" s="566">
        <f>AI4</f>
        <v>20</v>
      </c>
      <c r="X11" s="560">
        <v>0.2</v>
      </c>
      <c r="Y11" s="560"/>
      <c r="Z11" s="560"/>
      <c r="AA11" s="224"/>
      <c r="AB11" s="224"/>
      <c r="AC11" s="224"/>
      <c r="AD11" s="566">
        <f>AI4</f>
        <v>20</v>
      </c>
      <c r="AE11" s="560">
        <v>0.2</v>
      </c>
      <c r="AF11" s="560"/>
      <c r="AG11" s="560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09" t="str">
        <f>IF(S4="INGLES","DRAPERIES","CORTINAS")</f>
        <v>CORTINAS</v>
      </c>
      <c r="C12" s="910"/>
      <c r="D12" s="910"/>
      <c r="E12" s="910"/>
      <c r="F12" s="910"/>
      <c r="G12" s="910"/>
      <c r="H12" s="910"/>
      <c r="I12" s="910"/>
      <c r="J12" s="910"/>
      <c r="K12" s="910"/>
      <c r="L12" s="910"/>
      <c r="M12" s="910"/>
      <c r="N12" s="910"/>
      <c r="O12" s="911"/>
      <c r="P12" s="909" t="str">
        <f>IF(S4="INGLES","HARDWARE","HERRAJE")</f>
        <v>HERRAJE</v>
      </c>
      <c r="Q12" s="910"/>
      <c r="R12" s="910"/>
      <c r="S12" s="910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5" t="str">
        <f>Y12</f>
        <v>CORTINAS</v>
      </c>
      <c r="AA12" s="187" t="str">
        <f>P12</f>
        <v>HERRAJE</v>
      </c>
      <c r="AB12" s="525" t="str">
        <f>AA12</f>
        <v>HERRAJE</v>
      </c>
      <c r="AC12" s="525" t="s">
        <v>695</v>
      </c>
      <c r="AD12" s="186" t="s">
        <v>696</v>
      </c>
      <c r="AE12" s="525" t="s">
        <v>696</v>
      </c>
      <c r="AF12" s="525" t="str">
        <f>AA12</f>
        <v>HERRAJE</v>
      </c>
      <c r="AG12" s="525" t="str">
        <f>AF12</f>
        <v>HERRAJE</v>
      </c>
      <c r="AH12" s="909" t="str">
        <f>IF(S4="INGLES","TOTALS","TOTALES")</f>
        <v>TOTALES</v>
      </c>
      <c r="AI12" s="911"/>
      <c r="AJ12" s="181"/>
      <c r="AK12" s="963" t="s">
        <v>256</v>
      </c>
      <c r="AL12" s="963"/>
      <c r="AM12" s="963"/>
      <c r="AN12" s="964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5" t="s">
        <v>258</v>
      </c>
      <c r="AY12" s="907"/>
      <c r="AZ12" s="907"/>
      <c r="BA12" s="907"/>
      <c r="BB12" s="907"/>
      <c r="BC12" s="906"/>
      <c r="BD12" s="905" t="s">
        <v>189</v>
      </c>
      <c r="BE12" s="906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68" t="s">
        <v>77</v>
      </c>
      <c r="V13" s="562" t="s">
        <v>666</v>
      </c>
      <c r="W13" s="562" t="s">
        <v>666</v>
      </c>
      <c r="X13" s="562" t="s">
        <v>666</v>
      </c>
      <c r="Y13" s="559" t="s">
        <v>666</v>
      </c>
      <c r="Z13" s="559" t="s">
        <v>702</v>
      </c>
      <c r="AA13" s="228"/>
      <c r="AB13" s="568" t="s">
        <v>77</v>
      </c>
      <c r="AC13" s="562" t="s">
        <v>666</v>
      </c>
      <c r="AD13" s="562" t="s">
        <v>666</v>
      </c>
      <c r="AE13" s="562" t="s">
        <v>666</v>
      </c>
      <c r="AF13" s="559" t="s">
        <v>666</v>
      </c>
      <c r="AG13" s="559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6" t="s">
        <v>692</v>
      </c>
      <c r="V14" s="563" t="s">
        <v>693</v>
      </c>
      <c r="W14" s="563" t="s">
        <v>697</v>
      </c>
      <c r="X14" s="563" t="s">
        <v>694</v>
      </c>
      <c r="Y14" s="558" t="s">
        <v>692</v>
      </c>
      <c r="Z14" s="558" t="s">
        <v>701</v>
      </c>
      <c r="AA14" s="184" t="str">
        <f>IF('CALC - RIPP- H-RAIL HW '!$S4="INGLES","UNIT PRICE.","PRECIO UNITARIO")</f>
        <v>PRECIO UNITARIO</v>
      </c>
      <c r="AB14" s="556" t="s">
        <v>692</v>
      </c>
      <c r="AC14" s="563" t="s">
        <v>693</v>
      </c>
      <c r="AD14" s="563" t="s">
        <v>697</v>
      </c>
      <c r="AE14" s="563" t="s">
        <v>694</v>
      </c>
      <c r="AF14" s="558" t="s">
        <v>692</v>
      </c>
      <c r="AG14" s="558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4">
        <v>1</v>
      </c>
      <c r="D15" s="545" t="s">
        <v>298</v>
      </c>
      <c r="E15" s="546" t="s">
        <v>132</v>
      </c>
      <c r="F15" s="546" t="s">
        <v>136</v>
      </c>
      <c r="G15" s="547">
        <v>2</v>
      </c>
      <c r="H15" s="546" t="s">
        <v>187</v>
      </c>
      <c r="I15" s="546" t="s">
        <v>321</v>
      </c>
      <c r="J15" s="546" t="str">
        <f t="shared" ref="J15:J62" si="0">IF(OR(C15="",C15&lt;1),"",IF(H15="C.O.M.",CEILING(AW15,0.5),""))</f>
        <v/>
      </c>
      <c r="K15" s="548" t="s">
        <v>664</v>
      </c>
      <c r="L15" s="546" t="s">
        <v>122</v>
      </c>
      <c r="M15" s="548" t="s">
        <v>264</v>
      </c>
      <c r="N15" s="549">
        <v>72</v>
      </c>
      <c r="O15" s="549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08">
        <f t="shared" ref="T15:T62" si="1">IF(OR(C15&lt;1,C15=""),"",BL15)</f>
        <v>342.70000000000005</v>
      </c>
      <c r="U15" s="557">
        <f>T15*0.7*0.6*0.6</f>
        <v>86.360399999999998</v>
      </c>
      <c r="V15" s="564"/>
      <c r="W15" s="564"/>
      <c r="X15" s="564"/>
      <c r="Y15" s="519"/>
      <c r="Z15" s="631">
        <f>AVERAGE(Z17:Z20,Z23:Z26,Z29:Z32,Z35:Z38)</f>
        <v>0.18974250455560768</v>
      </c>
      <c r="AA15" s="409">
        <f t="shared" ref="AA15:AA62" si="2">IF(OR(C15&lt;1,C15=""),"",BO15)</f>
        <v>408.35</v>
      </c>
      <c r="AB15" s="557">
        <f>AA15*0.7*0.6*0.6</f>
        <v>102.90419999999999</v>
      </c>
      <c r="AC15" s="564"/>
      <c r="AD15" s="564"/>
      <c r="AE15" s="564"/>
      <c r="AF15" s="519"/>
      <c r="AG15" s="631">
        <f>AVERAGE(AG17:AG20,AG23:AG26,AG29:AG32,AG35:AG38)</f>
        <v>0.47402679073342796</v>
      </c>
      <c r="AH15" s="408">
        <f t="shared" ref="AH15:AH62" si="3">IF(OR(C15&lt;1,C15=""),"",T15+AA15)</f>
        <v>751.05000000000007</v>
      </c>
      <c r="AI15" s="409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38">
        <v>1</v>
      </c>
      <c r="D16" s="539" t="s">
        <v>298</v>
      </c>
      <c r="E16" s="540" t="s">
        <v>132</v>
      </c>
      <c r="F16" s="540" t="s">
        <v>136</v>
      </c>
      <c r="G16" s="541">
        <v>2</v>
      </c>
      <c r="H16" s="540" t="s">
        <v>691</v>
      </c>
      <c r="I16" s="540" t="s">
        <v>321</v>
      </c>
      <c r="J16" s="540" t="str">
        <f t="shared" si="0"/>
        <v/>
      </c>
      <c r="K16" s="542" t="s">
        <v>664</v>
      </c>
      <c r="L16" s="540" t="s">
        <v>122</v>
      </c>
      <c r="M16" s="542" t="s">
        <v>264</v>
      </c>
      <c r="N16" s="543">
        <v>72</v>
      </c>
      <c r="O16" s="543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08">
        <f t="shared" si="1"/>
        <v>561.55000000000007</v>
      </c>
      <c r="U16" s="557">
        <f t="shared" ref="U16:U62" si="29">T16*0.7*0.6*0.6</f>
        <v>141.51059999999998</v>
      </c>
      <c r="V16" s="564"/>
      <c r="W16" s="564"/>
      <c r="X16" s="564"/>
      <c r="Y16" s="519"/>
      <c r="Z16" s="570">
        <f>AVERAGE(Z17:Z20)</f>
        <v>0.24741300693841636</v>
      </c>
      <c r="AA16" s="409">
        <f t="shared" si="2"/>
        <v>408.35</v>
      </c>
      <c r="AB16" s="557">
        <f>AA16*0.7*0.6*0.6</f>
        <v>102.90419999999999</v>
      </c>
      <c r="AC16" s="564"/>
      <c r="AD16" s="564"/>
      <c r="AE16" s="564"/>
      <c r="AF16" s="519"/>
      <c r="AG16" s="570">
        <f>AVERAGE(AG17:AG20)</f>
        <v>0.55652311071041327</v>
      </c>
      <c r="AH16" s="408">
        <f t="shared" si="3"/>
        <v>969.90000000000009</v>
      </c>
      <c r="AI16" s="409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0">
        <v>1</v>
      </c>
      <c r="D17" s="501" t="s">
        <v>298</v>
      </c>
      <c r="E17" s="502" t="s">
        <v>132</v>
      </c>
      <c r="F17" s="502" t="s">
        <v>136</v>
      </c>
      <c r="G17" s="503">
        <v>2</v>
      </c>
      <c r="H17" s="502" t="s">
        <v>663</v>
      </c>
      <c r="I17" s="502" t="s">
        <v>674</v>
      </c>
      <c r="J17" s="502" t="str">
        <f t="shared" si="0"/>
        <v/>
      </c>
      <c r="K17" s="504" t="s">
        <v>664</v>
      </c>
      <c r="L17" s="502" t="s">
        <v>122</v>
      </c>
      <c r="M17" s="504" t="s">
        <v>264</v>
      </c>
      <c r="N17" s="505">
        <v>72</v>
      </c>
      <c r="O17" s="505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08">
        <f t="shared" si="1"/>
        <v>335</v>
      </c>
      <c r="U17" s="557">
        <f t="shared" si="29"/>
        <v>84.419999999999987</v>
      </c>
      <c r="V17" s="565">
        <v>2981.05</v>
      </c>
      <c r="W17" s="564">
        <f>V17/$W$11</f>
        <v>149.05250000000001</v>
      </c>
      <c r="X17" s="564">
        <f>W17*$X$11</f>
        <v>29.810500000000005</v>
      </c>
      <c r="Y17" s="519">
        <f>W17-X17</f>
        <v>119.242</v>
      </c>
      <c r="Z17" s="569">
        <f>(Y17-U17)/Y17</f>
        <v>0.29202797671961234</v>
      </c>
      <c r="AA17" s="409">
        <f>IF(OR(C17&lt;1,C17=""),"",BO17)</f>
        <v>408.35</v>
      </c>
      <c r="AB17" s="557">
        <f>AA17*0.7*0.6*0.6</f>
        <v>102.90419999999999</v>
      </c>
      <c r="AC17" s="565">
        <f>5480.05+320.94</f>
        <v>5800.99</v>
      </c>
      <c r="AD17" s="564">
        <f>AC17/$AD$11</f>
        <v>290.04949999999997</v>
      </c>
      <c r="AE17" s="564">
        <f>AD17*$AE$11</f>
        <v>58.009899999999995</v>
      </c>
      <c r="AF17" s="519">
        <f>AD17-AE17</f>
        <v>232.03959999999998</v>
      </c>
      <c r="AG17" s="569">
        <f>(AF17-AB17)/AF17</f>
        <v>0.55652311071041327</v>
      </c>
      <c r="AH17" s="408">
        <f t="shared" si="3"/>
        <v>743.35</v>
      </c>
      <c r="AI17" s="409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0">
        <v>1</v>
      </c>
      <c r="D18" s="501" t="s">
        <v>298</v>
      </c>
      <c r="E18" s="502" t="s">
        <v>132</v>
      </c>
      <c r="F18" s="502" t="s">
        <v>136</v>
      </c>
      <c r="G18" s="503">
        <v>2</v>
      </c>
      <c r="H18" s="502" t="s">
        <v>663</v>
      </c>
      <c r="I18" s="502" t="s">
        <v>675</v>
      </c>
      <c r="J18" s="502" t="str">
        <f t="shared" si="0"/>
        <v/>
      </c>
      <c r="K18" s="504" t="s">
        <v>664</v>
      </c>
      <c r="L18" s="502" t="s">
        <v>122</v>
      </c>
      <c r="M18" s="504" t="s">
        <v>264</v>
      </c>
      <c r="N18" s="505">
        <v>72</v>
      </c>
      <c r="O18" s="505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08">
        <f t="shared" si="1"/>
        <v>470.8</v>
      </c>
      <c r="U18" s="557">
        <f t="shared" si="29"/>
        <v>118.64159999999998</v>
      </c>
      <c r="V18" s="565">
        <f>4206.6</f>
        <v>4206.6000000000004</v>
      </c>
      <c r="W18" s="564">
        <f>V18/$W$11</f>
        <v>210.33</v>
      </c>
      <c r="X18" s="564">
        <f>W18*$X$11</f>
        <v>42.066000000000003</v>
      </c>
      <c r="Y18" s="519">
        <f>W18-X18</f>
        <v>168.26400000000001</v>
      </c>
      <c r="Z18" s="569">
        <f>(Y18-U18)/Y18</f>
        <v>0.2949080017115962</v>
      </c>
      <c r="AA18" s="409">
        <f>IF(OR(C18&lt;1,C18=""),"",BO18)</f>
        <v>408.35</v>
      </c>
      <c r="AB18" s="557">
        <f t="shared" ref="AB18:AB62" si="34">AA18*0.7*0.6*0.6</f>
        <v>102.90419999999999</v>
      </c>
      <c r="AC18" s="565">
        <f>5480.05+320.94</f>
        <v>5800.99</v>
      </c>
      <c r="AD18" s="564">
        <f>AC18/$AD$11</f>
        <v>290.04949999999997</v>
      </c>
      <c r="AE18" s="564">
        <f>AD18*$AE$11</f>
        <v>58.009899999999995</v>
      </c>
      <c r="AF18" s="519">
        <f>AD18-AE18</f>
        <v>232.03959999999998</v>
      </c>
      <c r="AG18" s="569">
        <f>(AF18-AB18)/AF18</f>
        <v>0.55652311071041327</v>
      </c>
      <c r="AH18" s="408">
        <f t="shared" si="3"/>
        <v>879.15000000000009</v>
      </c>
      <c r="AI18" s="409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0">
        <v>1</v>
      </c>
      <c r="D19" s="501" t="s">
        <v>298</v>
      </c>
      <c r="E19" s="502" t="s">
        <v>132</v>
      </c>
      <c r="F19" s="502" t="s">
        <v>136</v>
      </c>
      <c r="G19" s="503">
        <v>2</v>
      </c>
      <c r="H19" s="502" t="s">
        <v>663</v>
      </c>
      <c r="I19" s="502" t="s">
        <v>676</v>
      </c>
      <c r="J19" s="502" t="str">
        <f t="shared" si="0"/>
        <v/>
      </c>
      <c r="K19" s="504" t="s">
        <v>664</v>
      </c>
      <c r="L19" s="502" t="s">
        <v>122</v>
      </c>
      <c r="M19" s="504" t="s">
        <v>264</v>
      </c>
      <c r="N19" s="505">
        <v>72</v>
      </c>
      <c r="O19" s="505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08">
        <f t="shared" si="1"/>
        <v>505.15000000000003</v>
      </c>
      <c r="U19" s="557">
        <f t="shared" si="29"/>
        <v>127.2978</v>
      </c>
      <c r="V19" s="565">
        <f>4359.54</f>
        <v>4359.54</v>
      </c>
      <c r="W19" s="564">
        <f>V19/$W$11</f>
        <v>217.977</v>
      </c>
      <c r="X19" s="564">
        <f>W19*$X$11</f>
        <v>43.595400000000005</v>
      </c>
      <c r="Y19" s="519">
        <f>W19-X19</f>
        <v>174.38159999999999</v>
      </c>
      <c r="Z19" s="569">
        <f>(Y19-U19)/Y19</f>
        <v>0.27000440413438115</v>
      </c>
      <c r="AA19" s="409">
        <f t="shared" si="2"/>
        <v>408.35</v>
      </c>
      <c r="AB19" s="557">
        <f t="shared" si="34"/>
        <v>102.90419999999999</v>
      </c>
      <c r="AC19" s="565">
        <f>5480.05+320.94</f>
        <v>5800.99</v>
      </c>
      <c r="AD19" s="564">
        <f>AC19/$AD$11</f>
        <v>290.04949999999997</v>
      </c>
      <c r="AE19" s="564">
        <f>AD19*$AE$11</f>
        <v>58.009899999999995</v>
      </c>
      <c r="AF19" s="519">
        <f>AD19-AE19</f>
        <v>232.03959999999998</v>
      </c>
      <c r="AG19" s="569">
        <f>(AF19-AB19)/AF19</f>
        <v>0.55652311071041327</v>
      </c>
      <c r="AH19" s="408">
        <f t="shared" si="3"/>
        <v>913.5</v>
      </c>
      <c r="AI19" s="409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0">
        <v>1</v>
      </c>
      <c r="D20" s="501" t="s">
        <v>298</v>
      </c>
      <c r="E20" s="502" t="s">
        <v>132</v>
      </c>
      <c r="F20" s="502" t="s">
        <v>136</v>
      </c>
      <c r="G20" s="503">
        <v>2</v>
      </c>
      <c r="H20" s="502" t="s">
        <v>663</v>
      </c>
      <c r="I20" s="502" t="s">
        <v>677</v>
      </c>
      <c r="J20" s="502" t="str">
        <f t="shared" si="0"/>
        <v/>
      </c>
      <c r="K20" s="504" t="s">
        <v>664</v>
      </c>
      <c r="L20" s="502" t="s">
        <v>122</v>
      </c>
      <c r="M20" s="504" t="s">
        <v>264</v>
      </c>
      <c r="N20" s="505">
        <v>72</v>
      </c>
      <c r="O20" s="505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08">
        <f t="shared" si="1"/>
        <v>618.40000000000009</v>
      </c>
      <c r="U20" s="557">
        <f t="shared" si="29"/>
        <v>155.83680000000001</v>
      </c>
      <c r="V20" s="565">
        <f>4492.07</f>
        <v>4492.07</v>
      </c>
      <c r="W20" s="564">
        <f>V20/$W$11</f>
        <v>224.6035</v>
      </c>
      <c r="X20" s="564">
        <f>W20*$X$11</f>
        <v>44.920700000000004</v>
      </c>
      <c r="Y20" s="519">
        <f>W20-X20</f>
        <v>179.68279999999999</v>
      </c>
      <c r="Z20" s="569">
        <f>(Y20-U20)/Y20</f>
        <v>0.13271164518807574</v>
      </c>
      <c r="AA20" s="409">
        <f t="shared" si="2"/>
        <v>408.35</v>
      </c>
      <c r="AB20" s="557">
        <f t="shared" si="34"/>
        <v>102.90419999999999</v>
      </c>
      <c r="AC20" s="565">
        <f>5480.05+320.94</f>
        <v>5800.99</v>
      </c>
      <c r="AD20" s="564">
        <f>AC20/$AD$11</f>
        <v>290.04949999999997</v>
      </c>
      <c r="AE20" s="564">
        <f>AD20*$AE$11</f>
        <v>58.009899999999995</v>
      </c>
      <c r="AF20" s="519">
        <f>AD20-AE20</f>
        <v>232.03959999999998</v>
      </c>
      <c r="AG20" s="569">
        <f>(AF20-AB20)/AF20</f>
        <v>0.55652311071041327</v>
      </c>
      <c r="AH20" s="408">
        <f t="shared" si="3"/>
        <v>1026.75</v>
      </c>
      <c r="AI20" s="409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4">
        <v>1</v>
      </c>
      <c r="D21" s="545" t="s">
        <v>298</v>
      </c>
      <c r="E21" s="546" t="s">
        <v>132</v>
      </c>
      <c r="F21" s="546" t="s">
        <v>136</v>
      </c>
      <c r="G21" s="547">
        <v>2</v>
      </c>
      <c r="H21" s="546" t="s">
        <v>187</v>
      </c>
      <c r="I21" s="546" t="s">
        <v>321</v>
      </c>
      <c r="J21" s="546" t="str">
        <f t="shared" si="0"/>
        <v/>
      </c>
      <c r="K21" s="548" t="s">
        <v>664</v>
      </c>
      <c r="L21" s="546" t="s">
        <v>122</v>
      </c>
      <c r="M21" s="548" t="s">
        <v>264</v>
      </c>
      <c r="N21" s="549">
        <v>98</v>
      </c>
      <c r="O21" s="549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08">
        <f t="shared" si="1"/>
        <v>459.25</v>
      </c>
      <c r="U21" s="557">
        <f t="shared" si="29"/>
        <v>115.73099999999997</v>
      </c>
      <c r="V21" s="565"/>
      <c r="W21" s="565"/>
      <c r="X21" s="564"/>
      <c r="Y21" s="519"/>
      <c r="Z21" s="519"/>
      <c r="AA21" s="409">
        <f t="shared" si="2"/>
        <v>531.85</v>
      </c>
      <c r="AB21" s="557">
        <f t="shared" si="34"/>
        <v>134.02619999999999</v>
      </c>
      <c r="AC21" s="565"/>
      <c r="AD21" s="565"/>
      <c r="AE21" s="564"/>
      <c r="AF21" s="519"/>
      <c r="AG21" s="519"/>
      <c r="AH21" s="408">
        <f t="shared" si="3"/>
        <v>991.1</v>
      </c>
      <c r="AI21" s="409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38">
        <v>1</v>
      </c>
      <c r="D22" s="539" t="s">
        <v>298</v>
      </c>
      <c r="E22" s="540" t="s">
        <v>132</v>
      </c>
      <c r="F22" s="540" t="s">
        <v>136</v>
      </c>
      <c r="G22" s="541">
        <v>2</v>
      </c>
      <c r="H22" s="540" t="s">
        <v>691</v>
      </c>
      <c r="I22" s="540" t="s">
        <v>321</v>
      </c>
      <c r="J22" s="540" t="str">
        <f t="shared" si="0"/>
        <v/>
      </c>
      <c r="K22" s="542" t="s">
        <v>664</v>
      </c>
      <c r="L22" s="540" t="s">
        <v>122</v>
      </c>
      <c r="M22" s="542" t="s">
        <v>264</v>
      </c>
      <c r="N22" s="543">
        <v>98</v>
      </c>
      <c r="O22" s="543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08">
        <f t="shared" si="1"/>
        <v>752.80000000000007</v>
      </c>
      <c r="U22" s="557">
        <f t="shared" si="29"/>
        <v>189.70559999999998</v>
      </c>
      <c r="V22" s="565"/>
      <c r="W22" s="565"/>
      <c r="X22" s="564"/>
      <c r="Y22" s="519"/>
      <c r="Z22" s="570">
        <f>AVERAGE(Z23:Z26)</f>
        <v>0.19344200201706357</v>
      </c>
      <c r="AA22" s="409">
        <f t="shared" si="2"/>
        <v>531.85</v>
      </c>
      <c r="AB22" s="557">
        <f t="shared" si="34"/>
        <v>134.02619999999999</v>
      </c>
      <c r="AC22" s="565"/>
      <c r="AD22" s="565"/>
      <c r="AE22" s="564"/>
      <c r="AF22" s="519"/>
      <c r="AG22" s="570">
        <f>AVERAGE(AG23:AG26)</f>
        <v>0.50954229480553137</v>
      </c>
      <c r="AH22" s="408">
        <f t="shared" si="3"/>
        <v>1284.6500000000001</v>
      </c>
      <c r="AI22" s="409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0">
        <v>1</v>
      </c>
      <c r="D23" s="501" t="s">
        <v>298</v>
      </c>
      <c r="E23" s="502" t="s">
        <v>132</v>
      </c>
      <c r="F23" s="502" t="s">
        <v>136</v>
      </c>
      <c r="G23" s="503">
        <v>2</v>
      </c>
      <c r="H23" s="502" t="s">
        <v>663</v>
      </c>
      <c r="I23" s="502" t="s">
        <v>674</v>
      </c>
      <c r="J23" s="502" t="str">
        <f t="shared" si="0"/>
        <v/>
      </c>
      <c r="K23" s="504" t="s">
        <v>664</v>
      </c>
      <c r="L23" s="502" t="s">
        <v>122</v>
      </c>
      <c r="M23" s="504" t="s">
        <v>264</v>
      </c>
      <c r="N23" s="505">
        <v>98</v>
      </c>
      <c r="O23" s="505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08">
        <f t="shared" si="1"/>
        <v>448.95000000000005</v>
      </c>
      <c r="U23" s="557">
        <f t="shared" si="29"/>
        <v>113.13539999999999</v>
      </c>
      <c r="V23" s="565">
        <v>3725.63</v>
      </c>
      <c r="W23" s="564">
        <f>V23/$W$11</f>
        <v>186.28149999999999</v>
      </c>
      <c r="X23" s="564">
        <f>W23*$X$11</f>
        <v>37.256300000000003</v>
      </c>
      <c r="Y23" s="519">
        <f>W23-X23</f>
        <v>149.02519999999998</v>
      </c>
      <c r="Z23" s="569">
        <f>(Y23-U23)/Y23</f>
        <v>0.24083040989040777</v>
      </c>
      <c r="AA23" s="409">
        <f t="shared" si="2"/>
        <v>531.85</v>
      </c>
      <c r="AB23" s="557">
        <f t="shared" si="34"/>
        <v>134.02619999999999</v>
      </c>
      <c r="AC23" s="565">
        <f>6510.75+320.94</f>
        <v>6831.69</v>
      </c>
      <c r="AD23" s="564">
        <f>AC23/$AD$11</f>
        <v>341.58449999999999</v>
      </c>
      <c r="AE23" s="564">
        <f>AD23*$AE$11</f>
        <v>68.316900000000004</v>
      </c>
      <c r="AF23" s="519">
        <f>AD23-AE23</f>
        <v>273.26760000000002</v>
      </c>
      <c r="AG23" s="569">
        <f>(AF23-AB23)/AF23</f>
        <v>0.50954229480553137</v>
      </c>
      <c r="AH23" s="408">
        <f t="shared" si="3"/>
        <v>980.80000000000007</v>
      </c>
      <c r="AI23" s="409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0">
        <v>1</v>
      </c>
      <c r="D24" s="501" t="s">
        <v>298</v>
      </c>
      <c r="E24" s="502" t="s">
        <v>132</v>
      </c>
      <c r="F24" s="502" t="s">
        <v>136</v>
      </c>
      <c r="G24" s="503">
        <v>2</v>
      </c>
      <c r="H24" s="502" t="s">
        <v>663</v>
      </c>
      <c r="I24" s="502" t="s">
        <v>675</v>
      </c>
      <c r="J24" s="502" t="str">
        <f t="shared" si="0"/>
        <v/>
      </c>
      <c r="K24" s="504" t="s">
        <v>664</v>
      </c>
      <c r="L24" s="502" t="s">
        <v>122</v>
      </c>
      <c r="M24" s="504" t="s">
        <v>264</v>
      </c>
      <c r="N24" s="505">
        <v>98</v>
      </c>
      <c r="O24" s="505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08">
        <f t="shared" si="1"/>
        <v>631.1</v>
      </c>
      <c r="U24" s="557">
        <f t="shared" si="29"/>
        <v>159.03719999999996</v>
      </c>
      <c r="V24" s="565">
        <f>5262.84</f>
        <v>5262.84</v>
      </c>
      <c r="W24" s="564">
        <f>V24/$W$11</f>
        <v>263.142</v>
      </c>
      <c r="X24" s="564">
        <f>W24*$X$11</f>
        <v>52.628399999999999</v>
      </c>
      <c r="Y24" s="519">
        <f>W24-X24</f>
        <v>210.5136</v>
      </c>
      <c r="Z24" s="569">
        <f>(Y24-U24)/Y24</f>
        <v>0.24452766947123625</v>
      </c>
      <c r="AA24" s="409">
        <f t="shared" si="2"/>
        <v>531.85</v>
      </c>
      <c r="AB24" s="557">
        <f t="shared" si="34"/>
        <v>134.02619999999999</v>
      </c>
      <c r="AC24" s="565">
        <f>6510.75+320.94</f>
        <v>6831.69</v>
      </c>
      <c r="AD24" s="564">
        <f>AC24/$AD$11</f>
        <v>341.58449999999999</v>
      </c>
      <c r="AE24" s="564">
        <f>AD24*$AE$11</f>
        <v>68.316900000000004</v>
      </c>
      <c r="AF24" s="519">
        <f>AD24-AE24</f>
        <v>273.26760000000002</v>
      </c>
      <c r="AG24" s="569">
        <f>(AF24-AB24)/AF24</f>
        <v>0.50954229480553137</v>
      </c>
      <c r="AH24" s="408">
        <f t="shared" si="3"/>
        <v>1162.95</v>
      </c>
      <c r="AI24" s="409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0">
        <v>1</v>
      </c>
      <c r="D25" s="501" t="s">
        <v>298</v>
      </c>
      <c r="E25" s="502" t="s">
        <v>132</v>
      </c>
      <c r="F25" s="502" t="s">
        <v>136</v>
      </c>
      <c r="G25" s="503">
        <v>2</v>
      </c>
      <c r="H25" s="502" t="s">
        <v>663</v>
      </c>
      <c r="I25" s="502" t="s">
        <v>676</v>
      </c>
      <c r="J25" s="502" t="str">
        <f t="shared" si="0"/>
        <v/>
      </c>
      <c r="K25" s="504" t="s">
        <v>664</v>
      </c>
      <c r="L25" s="502" t="s">
        <v>122</v>
      </c>
      <c r="M25" s="504" t="s">
        <v>264</v>
      </c>
      <c r="N25" s="505">
        <v>98</v>
      </c>
      <c r="O25" s="505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08">
        <f t="shared" si="1"/>
        <v>677.2</v>
      </c>
      <c r="U25" s="557">
        <f t="shared" si="29"/>
        <v>170.65439999999998</v>
      </c>
      <c r="V25" s="565">
        <f>5453.87</f>
        <v>5453.87</v>
      </c>
      <c r="W25" s="564">
        <f>V25/$W$11</f>
        <v>272.69349999999997</v>
      </c>
      <c r="X25" s="564">
        <f>W25*$X$11</f>
        <v>54.538699999999999</v>
      </c>
      <c r="Y25" s="519">
        <f>W25-X25</f>
        <v>218.15479999999997</v>
      </c>
      <c r="Z25" s="569">
        <f>(Y25-U25)/Y25</f>
        <v>0.21773712978123788</v>
      </c>
      <c r="AA25" s="409">
        <f t="shared" si="2"/>
        <v>531.85</v>
      </c>
      <c r="AB25" s="557">
        <f t="shared" si="34"/>
        <v>134.02619999999999</v>
      </c>
      <c r="AC25" s="565">
        <f>6510.75+320.94</f>
        <v>6831.69</v>
      </c>
      <c r="AD25" s="564">
        <f>AC25/$AD$11</f>
        <v>341.58449999999999</v>
      </c>
      <c r="AE25" s="564">
        <f>AD25*$AE$11</f>
        <v>68.316900000000004</v>
      </c>
      <c r="AF25" s="519">
        <f>AD25-AE25</f>
        <v>273.26760000000002</v>
      </c>
      <c r="AG25" s="569">
        <f>(AF25-AB25)/AF25</f>
        <v>0.50954229480553137</v>
      </c>
      <c r="AH25" s="408">
        <f t="shared" si="3"/>
        <v>1209.0500000000002</v>
      </c>
      <c r="AI25" s="409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0">
        <v>1</v>
      </c>
      <c r="D26" s="501" t="s">
        <v>298</v>
      </c>
      <c r="E26" s="502" t="s">
        <v>132</v>
      </c>
      <c r="F26" s="502" t="s">
        <v>136</v>
      </c>
      <c r="G26" s="503">
        <v>2</v>
      </c>
      <c r="H26" s="502" t="s">
        <v>663</v>
      </c>
      <c r="I26" s="502" t="s">
        <v>677</v>
      </c>
      <c r="J26" s="502" t="str">
        <f t="shared" si="0"/>
        <v/>
      </c>
      <c r="K26" s="504" t="s">
        <v>664</v>
      </c>
      <c r="L26" s="502" t="s">
        <v>122</v>
      </c>
      <c r="M26" s="504" t="s">
        <v>264</v>
      </c>
      <c r="N26" s="505">
        <v>98</v>
      </c>
      <c r="O26" s="505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08">
        <f t="shared" si="1"/>
        <v>829.1</v>
      </c>
      <c r="U26" s="557">
        <f t="shared" si="29"/>
        <v>208.93319999999997</v>
      </c>
      <c r="V26" s="565">
        <f>5620.55</f>
        <v>5620.55</v>
      </c>
      <c r="W26" s="564">
        <f>V26/$W$11</f>
        <v>281.02750000000003</v>
      </c>
      <c r="X26" s="564">
        <f>W26*$X$11</f>
        <v>56.205500000000008</v>
      </c>
      <c r="Y26" s="519">
        <f>W26-X26</f>
        <v>224.82200000000003</v>
      </c>
      <c r="Z26" s="569">
        <f>(Y26-U26)/Y26</f>
        <v>7.0672798925372329E-2</v>
      </c>
      <c r="AA26" s="409">
        <f t="shared" si="2"/>
        <v>531.85</v>
      </c>
      <c r="AB26" s="557">
        <f t="shared" si="34"/>
        <v>134.02619999999999</v>
      </c>
      <c r="AC26" s="565">
        <f>6510.75+320.94</f>
        <v>6831.69</v>
      </c>
      <c r="AD26" s="564">
        <f>AC26/$AD$11</f>
        <v>341.58449999999999</v>
      </c>
      <c r="AE26" s="564">
        <f>AD26*$AE$11</f>
        <v>68.316900000000004</v>
      </c>
      <c r="AF26" s="519">
        <f>AD26-AE26</f>
        <v>273.26760000000002</v>
      </c>
      <c r="AG26" s="569">
        <f>(AF26-AB26)/AF26</f>
        <v>0.50954229480553137</v>
      </c>
      <c r="AH26" s="408">
        <f t="shared" si="3"/>
        <v>1360.95</v>
      </c>
      <c r="AI26" s="409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4">
        <v>1</v>
      </c>
      <c r="D27" s="545" t="s">
        <v>298</v>
      </c>
      <c r="E27" s="546" t="s">
        <v>132</v>
      </c>
      <c r="F27" s="546" t="s">
        <v>136</v>
      </c>
      <c r="G27" s="547">
        <v>2</v>
      </c>
      <c r="H27" s="546" t="s">
        <v>187</v>
      </c>
      <c r="I27" s="546" t="s">
        <v>321</v>
      </c>
      <c r="J27" s="546" t="str">
        <f t="shared" si="0"/>
        <v/>
      </c>
      <c r="K27" s="548" t="s">
        <v>664</v>
      </c>
      <c r="L27" s="546" t="s">
        <v>122</v>
      </c>
      <c r="M27" s="548" t="s">
        <v>264</v>
      </c>
      <c r="N27" s="549">
        <v>124</v>
      </c>
      <c r="O27" s="549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08">
        <f t="shared" si="1"/>
        <v>568.80000000000007</v>
      </c>
      <c r="U27" s="557">
        <f t="shared" si="29"/>
        <v>143.33760000000001</v>
      </c>
      <c r="V27" s="565"/>
      <c r="W27" s="565"/>
      <c r="X27" s="564"/>
      <c r="Y27" s="519"/>
      <c r="Z27" s="519"/>
      <c r="AA27" s="409">
        <f t="shared" si="2"/>
        <v>655.40000000000009</v>
      </c>
      <c r="AB27" s="557">
        <f t="shared" si="34"/>
        <v>165.16080000000002</v>
      </c>
      <c r="AC27" s="565"/>
      <c r="AD27" s="565"/>
      <c r="AE27" s="564"/>
      <c r="AF27" s="519"/>
      <c r="AG27" s="519"/>
      <c r="AH27" s="408">
        <f t="shared" si="3"/>
        <v>1224.2000000000003</v>
      </c>
      <c r="AI27" s="409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38">
        <v>1</v>
      </c>
      <c r="D28" s="539" t="s">
        <v>298</v>
      </c>
      <c r="E28" s="540" t="s">
        <v>132</v>
      </c>
      <c r="F28" s="540" t="s">
        <v>136</v>
      </c>
      <c r="G28" s="541">
        <v>2</v>
      </c>
      <c r="H28" s="540" t="s">
        <v>691</v>
      </c>
      <c r="I28" s="540" t="s">
        <v>321</v>
      </c>
      <c r="J28" s="540" t="str">
        <f t="shared" si="0"/>
        <v/>
      </c>
      <c r="K28" s="542" t="s">
        <v>664</v>
      </c>
      <c r="L28" s="540" t="s">
        <v>122</v>
      </c>
      <c r="M28" s="542" t="s">
        <v>264</v>
      </c>
      <c r="N28" s="543">
        <v>124</v>
      </c>
      <c r="O28" s="543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08">
        <f t="shared" si="1"/>
        <v>931.75</v>
      </c>
      <c r="U28" s="557">
        <f t="shared" si="29"/>
        <v>234.80099999999993</v>
      </c>
      <c r="V28" s="565"/>
      <c r="W28" s="565"/>
      <c r="X28" s="564"/>
      <c r="Y28" s="519"/>
      <c r="Z28" s="570">
        <f>AVERAGE(Z29:Z32)</f>
        <v>0.16836369736717974</v>
      </c>
      <c r="AA28" s="409">
        <f t="shared" si="2"/>
        <v>655.40000000000009</v>
      </c>
      <c r="AB28" s="557">
        <f t="shared" si="34"/>
        <v>165.16080000000002</v>
      </c>
      <c r="AC28" s="565"/>
      <c r="AD28" s="565"/>
      <c r="AE28" s="564"/>
      <c r="AF28" s="519"/>
      <c r="AG28" s="570">
        <f>AVERAGE(AG29:AG32)</f>
        <v>0.43937042513411451</v>
      </c>
      <c r="AH28" s="408">
        <f t="shared" si="3"/>
        <v>1587.15</v>
      </c>
      <c r="AI28" s="409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0">
        <v>1</v>
      </c>
      <c r="D29" s="501" t="s">
        <v>298</v>
      </c>
      <c r="E29" s="502" t="s">
        <v>132</v>
      </c>
      <c r="F29" s="502" t="s">
        <v>136</v>
      </c>
      <c r="G29" s="503">
        <v>2</v>
      </c>
      <c r="H29" s="502" t="s">
        <v>663</v>
      </c>
      <c r="I29" s="502" t="s">
        <v>674</v>
      </c>
      <c r="J29" s="502" t="str">
        <f t="shared" si="0"/>
        <v/>
      </c>
      <c r="K29" s="504" t="s">
        <v>664</v>
      </c>
      <c r="L29" s="502" t="s">
        <v>122</v>
      </c>
      <c r="M29" s="504" t="s">
        <v>264</v>
      </c>
      <c r="N29" s="505">
        <v>124</v>
      </c>
      <c r="O29" s="505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08">
        <f t="shared" si="1"/>
        <v>556.05000000000007</v>
      </c>
      <c r="U29" s="557">
        <f t="shared" si="29"/>
        <v>140.12459999999999</v>
      </c>
      <c r="V29" s="565">
        <f>4470.21</f>
        <v>4470.21</v>
      </c>
      <c r="W29" s="564">
        <f>V29/$W$11</f>
        <v>223.51050000000001</v>
      </c>
      <c r="X29" s="564">
        <f>W29*$X$11</f>
        <v>44.702100000000002</v>
      </c>
      <c r="Y29" s="519">
        <f>W29-X29</f>
        <v>178.80840000000001</v>
      </c>
      <c r="Z29" s="569">
        <f>(Y29-U29)/Y29</f>
        <v>0.21634218526646409</v>
      </c>
      <c r="AA29" s="409">
        <f t="shared" si="2"/>
        <v>655.40000000000009</v>
      </c>
      <c r="AB29" s="557">
        <f t="shared" si="34"/>
        <v>165.16080000000002</v>
      </c>
      <c r="AC29" s="565">
        <f>7044.03+320.94</f>
        <v>7364.9699999999993</v>
      </c>
      <c r="AD29" s="564">
        <f>AC29/$AD$11</f>
        <v>368.24849999999998</v>
      </c>
      <c r="AE29" s="564">
        <f>AD29*$AE$11</f>
        <v>73.649699999999996</v>
      </c>
      <c r="AF29" s="519">
        <f>AD29-AE29</f>
        <v>294.59879999999998</v>
      </c>
      <c r="AG29" s="569">
        <f>(AF29-AB29)/AF29</f>
        <v>0.43937042513411451</v>
      </c>
      <c r="AH29" s="408">
        <f t="shared" si="3"/>
        <v>1211.4500000000003</v>
      </c>
      <c r="AI29" s="409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0">
        <v>1</v>
      </c>
      <c r="D30" s="501" t="s">
        <v>298</v>
      </c>
      <c r="E30" s="502" t="s">
        <v>132</v>
      </c>
      <c r="F30" s="502" t="s">
        <v>136</v>
      </c>
      <c r="G30" s="503">
        <v>2</v>
      </c>
      <c r="H30" s="502" t="s">
        <v>663</v>
      </c>
      <c r="I30" s="502" t="s">
        <v>675</v>
      </c>
      <c r="J30" s="502" t="str">
        <f t="shared" si="0"/>
        <v/>
      </c>
      <c r="K30" s="504" t="s">
        <v>664</v>
      </c>
      <c r="L30" s="502" t="s">
        <v>122</v>
      </c>
      <c r="M30" s="504" t="s">
        <v>264</v>
      </c>
      <c r="N30" s="505">
        <v>124</v>
      </c>
      <c r="O30" s="505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08">
        <f t="shared" si="1"/>
        <v>781.30000000000007</v>
      </c>
      <c r="U30" s="557">
        <f t="shared" si="29"/>
        <v>196.88759999999996</v>
      </c>
      <c r="V30" s="565">
        <f>6319.08</f>
        <v>6319.08</v>
      </c>
      <c r="W30" s="564">
        <f>V30/$W$11</f>
        <v>315.95400000000001</v>
      </c>
      <c r="X30" s="564">
        <f>W30*$X$11</f>
        <v>63.190800000000003</v>
      </c>
      <c r="Y30" s="519">
        <f>W30-X30</f>
        <v>252.76320000000001</v>
      </c>
      <c r="Z30" s="569">
        <f>(Y30-U30)/Y30</f>
        <v>0.22105907822024742</v>
      </c>
      <c r="AA30" s="409">
        <f t="shared" si="2"/>
        <v>655.40000000000009</v>
      </c>
      <c r="AB30" s="557">
        <f t="shared" si="34"/>
        <v>165.16080000000002</v>
      </c>
      <c r="AC30" s="565">
        <f>7044.03+320.94</f>
        <v>7364.9699999999993</v>
      </c>
      <c r="AD30" s="564">
        <f>AC30/$AD$11</f>
        <v>368.24849999999998</v>
      </c>
      <c r="AE30" s="564">
        <f>AD30*$AE$11</f>
        <v>73.649699999999996</v>
      </c>
      <c r="AF30" s="519">
        <f>AD30-AE30</f>
        <v>294.59879999999998</v>
      </c>
      <c r="AG30" s="569">
        <f>(AF30-AB30)/AF30</f>
        <v>0.43937042513411451</v>
      </c>
      <c r="AH30" s="408">
        <f t="shared" si="3"/>
        <v>1436.7000000000003</v>
      </c>
      <c r="AI30" s="409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0">
        <v>1</v>
      </c>
      <c r="D31" s="501" t="s">
        <v>298</v>
      </c>
      <c r="E31" s="502" t="s">
        <v>132</v>
      </c>
      <c r="F31" s="502" t="s">
        <v>136</v>
      </c>
      <c r="G31" s="503">
        <v>2</v>
      </c>
      <c r="H31" s="502" t="s">
        <v>663</v>
      </c>
      <c r="I31" s="502" t="s">
        <v>676</v>
      </c>
      <c r="J31" s="502" t="str">
        <f t="shared" si="0"/>
        <v/>
      </c>
      <c r="K31" s="504" t="s">
        <v>664</v>
      </c>
      <c r="L31" s="502" t="s">
        <v>122</v>
      </c>
      <c r="M31" s="504" t="s">
        <v>264</v>
      </c>
      <c r="N31" s="505">
        <v>124</v>
      </c>
      <c r="O31" s="505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08">
        <f t="shared" si="1"/>
        <v>838.25</v>
      </c>
      <c r="U31" s="557">
        <f t="shared" si="29"/>
        <v>211.239</v>
      </c>
      <c r="V31" s="565">
        <f>6549.56</f>
        <v>6549.56</v>
      </c>
      <c r="W31" s="564">
        <f>V31/$W$11</f>
        <v>327.47800000000001</v>
      </c>
      <c r="X31" s="564">
        <f>W31*$X$11</f>
        <v>65.49560000000001</v>
      </c>
      <c r="Y31" s="519">
        <f>W31-X31</f>
        <v>261.98239999999998</v>
      </c>
      <c r="Z31" s="569">
        <f>(Y31-U31)/Y31</f>
        <v>0.19369011048070398</v>
      </c>
      <c r="AA31" s="409">
        <f t="shared" si="2"/>
        <v>655.40000000000009</v>
      </c>
      <c r="AB31" s="557">
        <f t="shared" si="34"/>
        <v>165.16080000000002</v>
      </c>
      <c r="AC31" s="565">
        <f>7044.03+320.94</f>
        <v>7364.9699999999993</v>
      </c>
      <c r="AD31" s="564">
        <f>AC31/$AD$11</f>
        <v>368.24849999999998</v>
      </c>
      <c r="AE31" s="564">
        <f>AD31*$AE$11</f>
        <v>73.649699999999996</v>
      </c>
      <c r="AF31" s="519">
        <f>AD31-AE31</f>
        <v>294.59879999999998</v>
      </c>
      <c r="AG31" s="569">
        <f>(AF31-AB31)/AF31</f>
        <v>0.43937042513411451</v>
      </c>
      <c r="AH31" s="408">
        <f t="shared" si="3"/>
        <v>1493.65</v>
      </c>
      <c r="AI31" s="409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0">
        <v>1</v>
      </c>
      <c r="D32" s="501" t="s">
        <v>298</v>
      </c>
      <c r="E32" s="502" t="s">
        <v>132</v>
      </c>
      <c r="F32" s="502" t="s">
        <v>136</v>
      </c>
      <c r="G32" s="503">
        <v>2</v>
      </c>
      <c r="H32" s="502" t="s">
        <v>663</v>
      </c>
      <c r="I32" s="502" t="s">
        <v>677</v>
      </c>
      <c r="J32" s="502" t="str">
        <f t="shared" si="0"/>
        <v/>
      </c>
      <c r="K32" s="504" t="s">
        <v>664</v>
      </c>
      <c r="L32" s="502" t="s">
        <v>122</v>
      </c>
      <c r="M32" s="504" t="s">
        <v>264</v>
      </c>
      <c r="N32" s="505">
        <v>124</v>
      </c>
      <c r="O32" s="505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08">
        <f t="shared" si="1"/>
        <v>1026.1000000000001</v>
      </c>
      <c r="U32" s="557">
        <f t="shared" si="29"/>
        <v>258.5772</v>
      </c>
      <c r="V32" s="565">
        <f>6750.4</f>
        <v>6750.4</v>
      </c>
      <c r="W32" s="564">
        <f>V32/$W$11</f>
        <v>337.52</v>
      </c>
      <c r="X32" s="564">
        <f>W32*$X$11</f>
        <v>67.504000000000005</v>
      </c>
      <c r="Y32" s="519">
        <f>W32-X32</f>
        <v>270.01599999999996</v>
      </c>
      <c r="Z32" s="569">
        <f>(Y32-U32)/Y32</f>
        <v>4.2363415501303479E-2</v>
      </c>
      <c r="AA32" s="409">
        <f t="shared" si="2"/>
        <v>655.40000000000009</v>
      </c>
      <c r="AB32" s="557">
        <f t="shared" si="34"/>
        <v>165.16080000000002</v>
      </c>
      <c r="AC32" s="565">
        <f>7044.03+320.94</f>
        <v>7364.9699999999993</v>
      </c>
      <c r="AD32" s="564">
        <f>AC32/$AD$11</f>
        <v>368.24849999999998</v>
      </c>
      <c r="AE32" s="564">
        <f>AD32*$AE$11</f>
        <v>73.649699999999996</v>
      </c>
      <c r="AF32" s="519">
        <f>AD32-AE32</f>
        <v>294.59879999999998</v>
      </c>
      <c r="AG32" s="569">
        <f>(AF32-AB32)/AF32</f>
        <v>0.43937042513411451</v>
      </c>
      <c r="AH32" s="408">
        <f t="shared" si="3"/>
        <v>1681.5000000000002</v>
      </c>
      <c r="AI32" s="409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4">
        <v>1</v>
      </c>
      <c r="D33" s="545" t="s">
        <v>298</v>
      </c>
      <c r="E33" s="546" t="s">
        <v>132</v>
      </c>
      <c r="F33" s="546" t="s">
        <v>136</v>
      </c>
      <c r="G33" s="547">
        <v>2</v>
      </c>
      <c r="H33" s="546" t="s">
        <v>187</v>
      </c>
      <c r="I33" s="546" t="s">
        <v>321</v>
      </c>
      <c r="J33" s="546" t="str">
        <f t="shared" si="0"/>
        <v/>
      </c>
      <c r="K33" s="548" t="s">
        <v>664</v>
      </c>
      <c r="L33" s="546" t="s">
        <v>122</v>
      </c>
      <c r="M33" s="548" t="s">
        <v>264</v>
      </c>
      <c r="N33" s="549">
        <v>150</v>
      </c>
      <c r="O33" s="549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08">
        <f t="shared" si="1"/>
        <v>685.35</v>
      </c>
      <c r="U33" s="557">
        <f t="shared" si="29"/>
        <v>172.70819999999998</v>
      </c>
      <c r="V33" s="565"/>
      <c r="W33" s="565"/>
      <c r="X33" s="564"/>
      <c r="Y33" s="519"/>
      <c r="Z33" s="519"/>
      <c r="AA33" s="409">
        <f t="shared" si="2"/>
        <v>778.90000000000009</v>
      </c>
      <c r="AB33" s="557">
        <f t="shared" si="34"/>
        <v>196.28279999999998</v>
      </c>
      <c r="AC33" s="565"/>
      <c r="AD33" s="565"/>
      <c r="AE33" s="564"/>
      <c r="AF33" s="519"/>
      <c r="AG33" s="519"/>
      <c r="AH33" s="408">
        <f t="shared" si="3"/>
        <v>1464.25</v>
      </c>
      <c r="AI33" s="409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38">
        <v>1</v>
      </c>
      <c r="D34" s="539" t="s">
        <v>298</v>
      </c>
      <c r="E34" s="540" t="s">
        <v>132</v>
      </c>
      <c r="F34" s="540" t="s">
        <v>136</v>
      </c>
      <c r="G34" s="541">
        <v>2</v>
      </c>
      <c r="H34" s="540" t="s">
        <v>691</v>
      </c>
      <c r="I34" s="540" t="s">
        <v>321</v>
      </c>
      <c r="J34" s="540" t="str">
        <f t="shared" si="0"/>
        <v/>
      </c>
      <c r="K34" s="542" t="s">
        <v>664</v>
      </c>
      <c r="L34" s="540" t="s">
        <v>122</v>
      </c>
      <c r="M34" s="542" t="s">
        <v>264</v>
      </c>
      <c r="N34" s="543">
        <v>150</v>
      </c>
      <c r="O34" s="543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08">
        <f t="shared" si="1"/>
        <v>1123.05</v>
      </c>
      <c r="U34" s="557">
        <f t="shared" si="29"/>
        <v>283.00859999999994</v>
      </c>
      <c r="V34" s="565"/>
      <c r="W34" s="565"/>
      <c r="X34" s="564"/>
      <c r="Y34" s="519"/>
      <c r="Z34" s="570">
        <f>AVERAGE(Z35:Z38)</f>
        <v>0.14975131189977098</v>
      </c>
      <c r="AA34" s="409">
        <f t="shared" si="2"/>
        <v>778.90000000000009</v>
      </c>
      <c r="AB34" s="557">
        <f t="shared" si="34"/>
        <v>196.28279999999998</v>
      </c>
      <c r="AC34" s="565"/>
      <c r="AD34" s="565"/>
      <c r="AE34" s="564"/>
      <c r="AF34" s="519"/>
      <c r="AG34" s="570">
        <f>AVERAGE(AG35:AG38)</f>
        <v>0.39067133228365231</v>
      </c>
      <c r="AH34" s="408">
        <f t="shared" si="3"/>
        <v>1901.95</v>
      </c>
      <c r="AI34" s="409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0">
        <v>1</v>
      </c>
      <c r="D35" s="501" t="s">
        <v>298</v>
      </c>
      <c r="E35" s="502" t="s">
        <v>132</v>
      </c>
      <c r="F35" s="502" t="s">
        <v>136</v>
      </c>
      <c r="G35" s="503">
        <v>2</v>
      </c>
      <c r="H35" s="502" t="s">
        <v>663</v>
      </c>
      <c r="I35" s="502" t="s">
        <v>674</v>
      </c>
      <c r="J35" s="502" t="str">
        <f t="shared" si="0"/>
        <v/>
      </c>
      <c r="K35" s="504" t="s">
        <v>664</v>
      </c>
      <c r="L35" s="502" t="s">
        <v>122</v>
      </c>
      <c r="M35" s="504" t="s">
        <v>264</v>
      </c>
      <c r="N35" s="505">
        <v>150</v>
      </c>
      <c r="O35" s="505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08">
        <f t="shared" si="1"/>
        <v>670</v>
      </c>
      <c r="U35" s="557">
        <f t="shared" si="29"/>
        <v>168.83999999999997</v>
      </c>
      <c r="V35" s="565">
        <f>5279</f>
        <v>5279</v>
      </c>
      <c r="W35" s="564">
        <f>V35/$W$11</f>
        <v>263.95</v>
      </c>
      <c r="X35" s="564">
        <f>W35*$X$11</f>
        <v>52.79</v>
      </c>
      <c r="Y35" s="519">
        <f>W35-X35</f>
        <v>211.16</v>
      </c>
      <c r="Z35" s="569">
        <f>(Y35-U35)/Y35</f>
        <v>0.20041674559575687</v>
      </c>
      <c r="AA35" s="409">
        <f t="shared" si="2"/>
        <v>778.90000000000009</v>
      </c>
      <c r="AB35" s="557">
        <f t="shared" si="34"/>
        <v>196.28279999999998</v>
      </c>
      <c r="AC35" s="565">
        <f>7732.3+320.94</f>
        <v>8053.24</v>
      </c>
      <c r="AD35" s="564">
        <f>AC35/$AD$11</f>
        <v>402.66199999999998</v>
      </c>
      <c r="AE35" s="564">
        <f>AD35*$AE$11</f>
        <v>80.532399999999996</v>
      </c>
      <c r="AF35" s="519">
        <f>AD35-AE35</f>
        <v>322.12959999999998</v>
      </c>
      <c r="AG35" s="569">
        <f>(AF35-AB35)/AF35</f>
        <v>0.39067133228365231</v>
      </c>
      <c r="AH35" s="408">
        <f t="shared" si="3"/>
        <v>1448.9</v>
      </c>
      <c r="AI35" s="409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0">
        <v>1</v>
      </c>
      <c r="D36" s="501" t="s">
        <v>298</v>
      </c>
      <c r="E36" s="502" t="s">
        <v>132</v>
      </c>
      <c r="F36" s="502" t="s">
        <v>136</v>
      </c>
      <c r="G36" s="503">
        <v>2</v>
      </c>
      <c r="H36" s="502" t="s">
        <v>663</v>
      </c>
      <c r="I36" s="502" t="s">
        <v>675</v>
      </c>
      <c r="J36" s="502" t="str">
        <f t="shared" si="0"/>
        <v/>
      </c>
      <c r="K36" s="504" t="s">
        <v>664</v>
      </c>
      <c r="L36" s="502" t="s">
        <v>122</v>
      </c>
      <c r="M36" s="504" t="s">
        <v>264</v>
      </c>
      <c r="N36" s="505">
        <v>150</v>
      </c>
      <c r="O36" s="505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08">
        <f t="shared" si="1"/>
        <v>941.6</v>
      </c>
      <c r="U36" s="557">
        <f t="shared" si="29"/>
        <v>237.28319999999997</v>
      </c>
      <c r="V36" s="565">
        <f>7456.32</f>
        <v>7456.32</v>
      </c>
      <c r="W36" s="564">
        <f>V36/$W$11</f>
        <v>372.81599999999997</v>
      </c>
      <c r="X36" s="564">
        <f>W36*$X$11</f>
        <v>74.563199999999995</v>
      </c>
      <c r="Y36" s="519">
        <f>W36-X36</f>
        <v>298.25279999999998</v>
      </c>
      <c r="Z36" s="569">
        <f>(Y36-U36)/Y36</f>
        <v>0.20442255697180384</v>
      </c>
      <c r="AA36" s="409">
        <f t="shared" si="2"/>
        <v>778.90000000000009</v>
      </c>
      <c r="AB36" s="557">
        <f t="shared" si="34"/>
        <v>196.28279999999998</v>
      </c>
      <c r="AC36" s="565">
        <f>7732.3+320.94</f>
        <v>8053.24</v>
      </c>
      <c r="AD36" s="564">
        <f>AC36/$AD$11</f>
        <v>402.66199999999998</v>
      </c>
      <c r="AE36" s="564">
        <f>AD36*$AE$11</f>
        <v>80.532399999999996</v>
      </c>
      <c r="AF36" s="519">
        <f>AD36-AE36</f>
        <v>322.12959999999998</v>
      </c>
      <c r="AG36" s="569">
        <f>(AF36-AB36)/AF36</f>
        <v>0.39067133228365231</v>
      </c>
      <c r="AH36" s="408">
        <f t="shared" si="3"/>
        <v>1720.5</v>
      </c>
      <c r="AI36" s="409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0">
        <v>1</v>
      </c>
      <c r="D37" s="501" t="s">
        <v>298</v>
      </c>
      <c r="E37" s="502" t="s">
        <v>132</v>
      </c>
      <c r="F37" s="502" t="s">
        <v>136</v>
      </c>
      <c r="G37" s="503">
        <v>2</v>
      </c>
      <c r="H37" s="502" t="s">
        <v>663</v>
      </c>
      <c r="I37" s="502" t="s">
        <v>676</v>
      </c>
      <c r="J37" s="502" t="str">
        <f t="shared" si="0"/>
        <v/>
      </c>
      <c r="K37" s="504" t="s">
        <v>664</v>
      </c>
      <c r="L37" s="502" t="s">
        <v>122</v>
      </c>
      <c r="M37" s="504" t="s">
        <v>264</v>
      </c>
      <c r="N37" s="505">
        <v>150</v>
      </c>
      <c r="O37" s="505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08">
        <f t="shared" si="1"/>
        <v>1010.3000000000001</v>
      </c>
      <c r="U37" s="557">
        <f t="shared" si="29"/>
        <v>254.59559999999999</v>
      </c>
      <c r="V37" s="565">
        <f>7706.74</f>
        <v>7706.74</v>
      </c>
      <c r="W37" s="564">
        <f>V37/$W$11</f>
        <v>385.33699999999999</v>
      </c>
      <c r="X37" s="564">
        <f>W37*$X$11</f>
        <v>77.067400000000006</v>
      </c>
      <c r="Y37" s="519">
        <f>W37-X37</f>
        <v>308.26959999999997</v>
      </c>
      <c r="Z37" s="569">
        <f>(Y37-U37)/Y37</f>
        <v>0.17411382763658817</v>
      </c>
      <c r="AA37" s="409">
        <f t="shared" si="2"/>
        <v>778.90000000000009</v>
      </c>
      <c r="AB37" s="557">
        <f t="shared" si="34"/>
        <v>196.28279999999998</v>
      </c>
      <c r="AC37" s="565">
        <f>7732.3+320.94</f>
        <v>8053.24</v>
      </c>
      <c r="AD37" s="564">
        <f>AC37/$AD$11</f>
        <v>402.66199999999998</v>
      </c>
      <c r="AE37" s="564">
        <f>AD37*$AE$11</f>
        <v>80.532399999999996</v>
      </c>
      <c r="AF37" s="519">
        <f>AD37-AE37</f>
        <v>322.12959999999998</v>
      </c>
      <c r="AG37" s="569">
        <f>(AF37-AB37)/AF37</f>
        <v>0.39067133228365231</v>
      </c>
      <c r="AH37" s="408">
        <f t="shared" si="3"/>
        <v>1789.2000000000003</v>
      </c>
      <c r="AI37" s="409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0">
        <v>1</v>
      </c>
      <c r="D38" s="501" t="s">
        <v>298</v>
      </c>
      <c r="E38" s="502" t="s">
        <v>132</v>
      </c>
      <c r="F38" s="502" t="s">
        <v>136</v>
      </c>
      <c r="G38" s="503">
        <v>2</v>
      </c>
      <c r="H38" s="502" t="s">
        <v>663</v>
      </c>
      <c r="I38" s="502" t="s">
        <v>677</v>
      </c>
      <c r="J38" s="502" t="str">
        <f t="shared" si="0"/>
        <v/>
      </c>
      <c r="K38" s="504" t="s">
        <v>664</v>
      </c>
      <c r="L38" s="502" t="s">
        <v>122</v>
      </c>
      <c r="M38" s="504" t="s">
        <v>264</v>
      </c>
      <c r="N38" s="505">
        <v>150</v>
      </c>
      <c r="O38" s="505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08">
        <f t="shared" si="1"/>
        <v>1236.8000000000002</v>
      </c>
      <c r="U38" s="557">
        <f t="shared" si="29"/>
        <v>311.67360000000002</v>
      </c>
      <c r="V38" s="565">
        <f>7951.28</f>
        <v>7951.28</v>
      </c>
      <c r="W38" s="564">
        <f>V38/$W$11</f>
        <v>397.56399999999996</v>
      </c>
      <c r="X38" s="564">
        <f>W38*$X$11</f>
        <v>79.512799999999999</v>
      </c>
      <c r="Y38" s="519">
        <f>W38-X38</f>
        <v>318.05119999999999</v>
      </c>
      <c r="Z38" s="569">
        <f>(Y38-U38)/Y38</f>
        <v>2.0052117394935069E-2</v>
      </c>
      <c r="AA38" s="409">
        <f t="shared" si="2"/>
        <v>778.90000000000009</v>
      </c>
      <c r="AB38" s="557">
        <f t="shared" si="34"/>
        <v>196.28279999999998</v>
      </c>
      <c r="AC38" s="565">
        <f>7732.3+320.94</f>
        <v>8053.24</v>
      </c>
      <c r="AD38" s="564">
        <f>AC38/$AD$11</f>
        <v>402.66199999999998</v>
      </c>
      <c r="AE38" s="564">
        <f>AD38*$AE$11</f>
        <v>80.532399999999996</v>
      </c>
      <c r="AF38" s="519">
        <f>AD38-AE38</f>
        <v>322.12959999999998</v>
      </c>
      <c r="AG38" s="569">
        <f>(AF38-AB38)/AF38</f>
        <v>0.39067133228365231</v>
      </c>
      <c r="AH38" s="408">
        <f t="shared" si="3"/>
        <v>2015.7000000000003</v>
      </c>
      <c r="AI38" s="409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0">
        <v>1</v>
      </c>
      <c r="D39" s="551" t="s">
        <v>298</v>
      </c>
      <c r="E39" s="552" t="s">
        <v>132</v>
      </c>
      <c r="F39" s="552" t="s">
        <v>116</v>
      </c>
      <c r="G39" s="553">
        <v>2</v>
      </c>
      <c r="H39" s="552" t="s">
        <v>187</v>
      </c>
      <c r="I39" s="552" t="s">
        <v>323</v>
      </c>
      <c r="J39" s="552" t="str">
        <f t="shared" si="0"/>
        <v/>
      </c>
      <c r="K39" s="554" t="s">
        <v>665</v>
      </c>
      <c r="L39" s="552" t="s">
        <v>122</v>
      </c>
      <c r="M39" s="554" t="s">
        <v>264</v>
      </c>
      <c r="N39" s="555">
        <v>72</v>
      </c>
      <c r="O39" s="555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08">
        <f t="shared" si="1"/>
        <v>207.75</v>
      </c>
      <c r="U39" s="557">
        <f t="shared" si="29"/>
        <v>52.352999999999987</v>
      </c>
      <c r="V39" s="565"/>
      <c r="W39" s="565"/>
      <c r="X39" s="564"/>
      <c r="Y39" s="519"/>
      <c r="Z39" s="631">
        <f>AVERAGE(Z41:Z44,Z47:Z50,Z53:Z56,Z59:Z62)</f>
        <v>0.16398572120314886</v>
      </c>
      <c r="AA39" s="409">
        <f t="shared" si="2"/>
        <v>408.35</v>
      </c>
      <c r="AB39" s="557">
        <f t="shared" si="34"/>
        <v>102.90419999999999</v>
      </c>
      <c r="AC39" s="565"/>
      <c r="AD39" s="565"/>
      <c r="AE39" s="564"/>
      <c r="AF39" s="519"/>
      <c r="AG39" s="631">
        <f>AVERAGE(AG41:AG44,AG47:AG50,AG53:AG56,AG59:AG62)</f>
        <v>0.47402679073342796</v>
      </c>
      <c r="AH39" s="408">
        <f t="shared" si="3"/>
        <v>616.1</v>
      </c>
      <c r="AI39" s="409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6">
        <v>1</v>
      </c>
      <c r="D40" s="507" t="s">
        <v>298</v>
      </c>
      <c r="E40" s="508" t="s">
        <v>132</v>
      </c>
      <c r="F40" s="508" t="s">
        <v>116</v>
      </c>
      <c r="G40" s="509">
        <v>2</v>
      </c>
      <c r="H40" s="508" t="s">
        <v>691</v>
      </c>
      <c r="I40" s="508" t="s">
        <v>323</v>
      </c>
      <c r="J40" s="508" t="str">
        <f t="shared" si="0"/>
        <v/>
      </c>
      <c r="K40" s="510" t="s">
        <v>665</v>
      </c>
      <c r="L40" s="508" t="s">
        <v>122</v>
      </c>
      <c r="M40" s="510" t="s">
        <v>264</v>
      </c>
      <c r="N40" s="511">
        <v>72</v>
      </c>
      <c r="O40" s="511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08">
        <f t="shared" si="1"/>
        <v>315.75</v>
      </c>
      <c r="U40" s="557">
        <f t="shared" si="29"/>
        <v>79.568999999999988</v>
      </c>
      <c r="V40" s="565"/>
      <c r="W40" s="565"/>
      <c r="X40" s="564"/>
      <c r="Y40" s="519"/>
      <c r="Z40" s="570">
        <f>AVERAGE(Z41:Z44)</f>
        <v>0.19917724993384794</v>
      </c>
      <c r="AA40" s="409">
        <f t="shared" si="2"/>
        <v>408.35</v>
      </c>
      <c r="AB40" s="557">
        <f t="shared" si="34"/>
        <v>102.90419999999999</v>
      </c>
      <c r="AC40" s="565"/>
      <c r="AD40" s="565"/>
      <c r="AE40" s="564"/>
      <c r="AF40" s="519"/>
      <c r="AG40" s="570">
        <f>AVERAGE(AG41:AG44)</f>
        <v>0.55652311071041327</v>
      </c>
      <c r="AH40" s="408">
        <f t="shared" si="3"/>
        <v>724.1</v>
      </c>
      <c r="AI40" s="409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2">
        <v>1</v>
      </c>
      <c r="D41" s="513" t="s">
        <v>298</v>
      </c>
      <c r="E41" s="514" t="s">
        <v>132</v>
      </c>
      <c r="F41" s="514" t="s">
        <v>116</v>
      </c>
      <c r="G41" s="515">
        <v>2</v>
      </c>
      <c r="H41" s="514" t="s">
        <v>663</v>
      </c>
      <c r="I41" s="514" t="s">
        <v>681</v>
      </c>
      <c r="J41" s="514" t="str">
        <f t="shared" si="0"/>
        <v/>
      </c>
      <c r="K41" s="516" t="s">
        <v>665</v>
      </c>
      <c r="L41" s="514" t="s">
        <v>122</v>
      </c>
      <c r="M41" s="516" t="s">
        <v>264</v>
      </c>
      <c r="N41" s="517">
        <v>72</v>
      </c>
      <c r="O41" s="517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08">
        <f t="shared" si="1"/>
        <v>265.75</v>
      </c>
      <c r="U41" s="557">
        <f t="shared" si="29"/>
        <v>66.96899999999998</v>
      </c>
      <c r="V41" s="565">
        <f>2498.04</f>
        <v>2498.04</v>
      </c>
      <c r="W41" s="564">
        <f>V41/$W$11</f>
        <v>124.902</v>
      </c>
      <c r="X41" s="564">
        <f>W41*$X$11</f>
        <v>24.980400000000003</v>
      </c>
      <c r="Y41" s="519">
        <f>W41-X41</f>
        <v>99.921599999999998</v>
      </c>
      <c r="Z41" s="569">
        <f>(Y41-U41)/Y41</f>
        <v>0.32978455108805321</v>
      </c>
      <c r="AA41" s="409">
        <f t="shared" si="2"/>
        <v>408.35</v>
      </c>
      <c r="AB41" s="557">
        <f t="shared" si="34"/>
        <v>102.90419999999999</v>
      </c>
      <c r="AC41" s="565">
        <f>5480.05+320.94</f>
        <v>5800.99</v>
      </c>
      <c r="AD41" s="564">
        <f>AC41/$AD$11</f>
        <v>290.04949999999997</v>
      </c>
      <c r="AE41" s="564">
        <f>AD41*$AE$11</f>
        <v>58.009899999999995</v>
      </c>
      <c r="AF41" s="519">
        <f>AD41-AE41</f>
        <v>232.03959999999998</v>
      </c>
      <c r="AG41" s="569">
        <f>(AF41-AB41)/AF41</f>
        <v>0.55652311071041327</v>
      </c>
      <c r="AH41" s="408">
        <f t="shared" si="3"/>
        <v>674.1</v>
      </c>
      <c r="AI41" s="409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2">
        <v>1</v>
      </c>
      <c r="D42" s="513" t="s">
        <v>298</v>
      </c>
      <c r="E42" s="514" t="s">
        <v>132</v>
      </c>
      <c r="F42" s="514" t="s">
        <v>116</v>
      </c>
      <c r="G42" s="515">
        <v>2</v>
      </c>
      <c r="H42" s="514" t="s">
        <v>663</v>
      </c>
      <c r="I42" s="514" t="s">
        <v>685</v>
      </c>
      <c r="J42" s="514" t="str">
        <f t="shared" si="0"/>
        <v/>
      </c>
      <c r="K42" s="516" t="s">
        <v>665</v>
      </c>
      <c r="L42" s="514" t="s">
        <v>122</v>
      </c>
      <c r="M42" s="516" t="s">
        <v>264</v>
      </c>
      <c r="N42" s="517">
        <v>72</v>
      </c>
      <c r="O42" s="517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08">
        <f t="shared" si="1"/>
        <v>321</v>
      </c>
      <c r="U42" s="557">
        <f t="shared" si="29"/>
        <v>80.891999999999996</v>
      </c>
      <c r="V42" s="565">
        <f>2762.46</f>
        <v>2762.46</v>
      </c>
      <c r="W42" s="564">
        <f>V42/$W$11</f>
        <v>138.12299999999999</v>
      </c>
      <c r="X42" s="564">
        <f>W42*$X$11</f>
        <v>27.624600000000001</v>
      </c>
      <c r="Y42" s="519">
        <f>W42-X42</f>
        <v>110.49839999999999</v>
      </c>
      <c r="Z42" s="569">
        <f>(Y42-U42)/Y42</f>
        <v>0.26793510132273407</v>
      </c>
      <c r="AA42" s="409">
        <f t="shared" si="2"/>
        <v>408.35</v>
      </c>
      <c r="AB42" s="557">
        <f t="shared" si="34"/>
        <v>102.90419999999999</v>
      </c>
      <c r="AC42" s="565">
        <f>5480.05+320.94</f>
        <v>5800.99</v>
      </c>
      <c r="AD42" s="564">
        <f>AC42/$AD$11</f>
        <v>290.04949999999997</v>
      </c>
      <c r="AE42" s="564">
        <f>AD42*$AE$11</f>
        <v>58.009899999999995</v>
      </c>
      <c r="AF42" s="519">
        <f>AD42-AE42</f>
        <v>232.03959999999998</v>
      </c>
      <c r="AG42" s="569">
        <f>(AF42-AB42)/AF42</f>
        <v>0.55652311071041327</v>
      </c>
      <c r="AH42" s="408">
        <f t="shared" si="3"/>
        <v>729.35</v>
      </c>
      <c r="AI42" s="409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2">
        <v>1</v>
      </c>
      <c r="D43" s="513" t="s">
        <v>298</v>
      </c>
      <c r="E43" s="514" t="s">
        <v>132</v>
      </c>
      <c r="F43" s="514" t="s">
        <v>116</v>
      </c>
      <c r="G43" s="515">
        <v>2</v>
      </c>
      <c r="H43" s="514" t="s">
        <v>663</v>
      </c>
      <c r="I43" s="514" t="s">
        <v>687</v>
      </c>
      <c r="J43" s="514" t="str">
        <f t="shared" si="0"/>
        <v/>
      </c>
      <c r="K43" s="516" t="s">
        <v>665</v>
      </c>
      <c r="L43" s="514" t="s">
        <v>122</v>
      </c>
      <c r="M43" s="516" t="s">
        <v>264</v>
      </c>
      <c r="N43" s="517">
        <v>72</v>
      </c>
      <c r="O43" s="517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08">
        <f t="shared" si="1"/>
        <v>386.25</v>
      </c>
      <c r="U43" s="557">
        <f t="shared" si="29"/>
        <v>97.334999999999994</v>
      </c>
      <c r="V43" s="565">
        <f>2761.1</f>
        <v>2761.1</v>
      </c>
      <c r="W43" s="564">
        <f>V43/$W$11</f>
        <v>138.05500000000001</v>
      </c>
      <c r="X43" s="564">
        <f>W43*$X$11</f>
        <v>27.611000000000004</v>
      </c>
      <c r="Y43" s="519">
        <f>W43-X43</f>
        <v>110.444</v>
      </c>
      <c r="Z43" s="569">
        <f>(Y43-U43)/Y43</f>
        <v>0.11869363659411113</v>
      </c>
      <c r="AA43" s="409">
        <f t="shared" si="2"/>
        <v>408.35</v>
      </c>
      <c r="AB43" s="557">
        <f t="shared" si="34"/>
        <v>102.90419999999999</v>
      </c>
      <c r="AC43" s="565">
        <f>5480.05+320.94</f>
        <v>5800.99</v>
      </c>
      <c r="AD43" s="564">
        <f>AC43/$AD$11</f>
        <v>290.04949999999997</v>
      </c>
      <c r="AE43" s="564">
        <f>AD43*$AE$11</f>
        <v>58.009899999999995</v>
      </c>
      <c r="AF43" s="519">
        <f>AD43-AE43</f>
        <v>232.03959999999998</v>
      </c>
      <c r="AG43" s="569">
        <f>(AF43-AB43)/AF43</f>
        <v>0.55652311071041327</v>
      </c>
      <c r="AH43" s="408">
        <f t="shared" si="3"/>
        <v>794.6</v>
      </c>
      <c r="AI43" s="409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2">
        <v>1</v>
      </c>
      <c r="D44" s="513" t="s">
        <v>298</v>
      </c>
      <c r="E44" s="514" t="s">
        <v>132</v>
      </c>
      <c r="F44" s="514" t="s">
        <v>116</v>
      </c>
      <c r="G44" s="515">
        <v>2</v>
      </c>
      <c r="H44" s="514" t="s">
        <v>663</v>
      </c>
      <c r="I44" s="514" t="s">
        <v>689</v>
      </c>
      <c r="J44" s="514" t="str">
        <f t="shared" si="0"/>
        <v/>
      </c>
      <c r="K44" s="516" t="s">
        <v>665</v>
      </c>
      <c r="L44" s="514" t="s">
        <v>122</v>
      </c>
      <c r="M44" s="516" t="s">
        <v>264</v>
      </c>
      <c r="N44" s="517">
        <v>72</v>
      </c>
      <c r="O44" s="517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08">
        <f t="shared" si="1"/>
        <v>448.75</v>
      </c>
      <c r="U44" s="557">
        <f t="shared" si="29"/>
        <v>113.08499999999999</v>
      </c>
      <c r="V44" s="565">
        <f>3073.95</f>
        <v>3073.95</v>
      </c>
      <c r="W44" s="564">
        <f>V44/$W$11</f>
        <v>153.69749999999999</v>
      </c>
      <c r="X44" s="564">
        <f>W44*$X$11</f>
        <v>30.7395</v>
      </c>
      <c r="Y44" s="519">
        <f>W44-X44</f>
        <v>122.958</v>
      </c>
      <c r="Z44" s="569">
        <f>(Y44-U44)/Y44</f>
        <v>8.029571073049338E-2</v>
      </c>
      <c r="AA44" s="409">
        <f t="shared" si="2"/>
        <v>408.35</v>
      </c>
      <c r="AB44" s="557">
        <f t="shared" si="34"/>
        <v>102.90419999999999</v>
      </c>
      <c r="AC44" s="565">
        <f>5480.05+320.94</f>
        <v>5800.99</v>
      </c>
      <c r="AD44" s="564">
        <f>AC44/$AD$11</f>
        <v>290.04949999999997</v>
      </c>
      <c r="AE44" s="564">
        <f>AD44*$AE$11</f>
        <v>58.009899999999995</v>
      </c>
      <c r="AF44" s="519">
        <f>AD44-AE44</f>
        <v>232.03959999999998</v>
      </c>
      <c r="AG44" s="569">
        <f>(AF44-AB44)/AF44</f>
        <v>0.55652311071041327</v>
      </c>
      <c r="AH44" s="408">
        <f t="shared" si="3"/>
        <v>857.1</v>
      </c>
      <c r="AI44" s="409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0">
        <v>1</v>
      </c>
      <c r="D45" s="551" t="s">
        <v>298</v>
      </c>
      <c r="E45" s="552" t="s">
        <v>132</v>
      </c>
      <c r="F45" s="552" t="s">
        <v>116</v>
      </c>
      <c r="G45" s="553">
        <v>2</v>
      </c>
      <c r="H45" s="552" t="s">
        <v>187</v>
      </c>
      <c r="I45" s="552" t="s">
        <v>323</v>
      </c>
      <c r="J45" s="552" t="str">
        <f t="shared" si="0"/>
        <v/>
      </c>
      <c r="K45" s="554" t="s">
        <v>665</v>
      </c>
      <c r="L45" s="552" t="s">
        <v>122</v>
      </c>
      <c r="M45" s="554" t="s">
        <v>264</v>
      </c>
      <c r="N45" s="555">
        <v>98</v>
      </c>
      <c r="O45" s="555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08">
        <f t="shared" si="1"/>
        <v>271.7</v>
      </c>
      <c r="U45" s="557">
        <f t="shared" si="29"/>
        <v>68.468399999999988</v>
      </c>
      <c r="V45" s="565"/>
      <c r="W45" s="565"/>
      <c r="X45" s="564"/>
      <c r="Y45" s="519"/>
      <c r="Z45" s="519"/>
      <c r="AA45" s="409">
        <f t="shared" si="2"/>
        <v>531.85</v>
      </c>
      <c r="AB45" s="557">
        <f t="shared" si="34"/>
        <v>134.02619999999999</v>
      </c>
      <c r="AC45" s="565"/>
      <c r="AD45" s="565"/>
      <c r="AE45" s="564"/>
      <c r="AF45" s="519"/>
      <c r="AG45" s="519"/>
      <c r="AH45" s="408">
        <f t="shared" si="3"/>
        <v>803.55</v>
      </c>
      <c r="AI45" s="409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6">
        <v>1</v>
      </c>
      <c r="D46" s="507" t="s">
        <v>298</v>
      </c>
      <c r="E46" s="508" t="s">
        <v>132</v>
      </c>
      <c r="F46" s="508" t="s">
        <v>116</v>
      </c>
      <c r="G46" s="509">
        <v>2</v>
      </c>
      <c r="H46" s="508" t="s">
        <v>691</v>
      </c>
      <c r="I46" s="508" t="s">
        <v>323</v>
      </c>
      <c r="J46" s="508" t="str">
        <f t="shared" si="0"/>
        <v/>
      </c>
      <c r="K46" s="510" t="s">
        <v>665</v>
      </c>
      <c r="L46" s="508" t="s">
        <v>122</v>
      </c>
      <c r="M46" s="510" t="s">
        <v>264</v>
      </c>
      <c r="N46" s="511">
        <v>98</v>
      </c>
      <c r="O46" s="511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08">
        <f t="shared" si="1"/>
        <v>412.1</v>
      </c>
      <c r="U46" s="557">
        <f t="shared" si="29"/>
        <v>103.84919999999998</v>
      </c>
      <c r="V46" s="565"/>
      <c r="W46" s="565"/>
      <c r="X46" s="564"/>
      <c r="Y46" s="519"/>
      <c r="Z46" s="570">
        <f>AVERAGE(Z47:Z50)</f>
        <v>0.16551398328047112</v>
      </c>
      <c r="AA46" s="409">
        <f t="shared" si="2"/>
        <v>531.85</v>
      </c>
      <c r="AB46" s="557">
        <f t="shared" si="34"/>
        <v>134.02619999999999</v>
      </c>
      <c r="AC46" s="565"/>
      <c r="AD46" s="565"/>
      <c r="AE46" s="564"/>
      <c r="AF46" s="519"/>
      <c r="AG46" s="570">
        <f>AVERAGE(AG47:AG50)</f>
        <v>0.50954229480553137</v>
      </c>
      <c r="AH46" s="408">
        <f t="shared" si="3"/>
        <v>943.95</v>
      </c>
      <c r="AI46" s="409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2">
        <v>1</v>
      </c>
      <c r="D47" s="513" t="s">
        <v>298</v>
      </c>
      <c r="E47" s="514" t="s">
        <v>132</v>
      </c>
      <c r="F47" s="514" t="s">
        <v>116</v>
      </c>
      <c r="G47" s="515">
        <v>2</v>
      </c>
      <c r="H47" s="514" t="s">
        <v>663</v>
      </c>
      <c r="I47" s="514" t="s">
        <v>681</v>
      </c>
      <c r="J47" s="514" t="str">
        <f t="shared" si="0"/>
        <v/>
      </c>
      <c r="K47" s="516" t="s">
        <v>665</v>
      </c>
      <c r="L47" s="514" t="s">
        <v>122</v>
      </c>
      <c r="M47" s="516" t="s">
        <v>264</v>
      </c>
      <c r="N47" s="517">
        <v>98</v>
      </c>
      <c r="O47" s="517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08">
        <f t="shared" si="1"/>
        <v>347.1</v>
      </c>
      <c r="U47" s="557">
        <f t="shared" si="29"/>
        <v>87.469199999999987</v>
      </c>
      <c r="V47" s="565">
        <f>3127.68</f>
        <v>3127.68</v>
      </c>
      <c r="W47" s="564">
        <f>V47/$W$11</f>
        <v>156.38399999999999</v>
      </c>
      <c r="X47" s="564">
        <f>W47*$X$11</f>
        <v>31.276799999999998</v>
      </c>
      <c r="Y47" s="519">
        <f>W47-X47</f>
        <v>125.10719999999999</v>
      </c>
      <c r="Z47" s="569">
        <f>(Y47-U47)/Y47</f>
        <v>0.30084599447513816</v>
      </c>
      <c r="AA47" s="409">
        <f t="shared" si="2"/>
        <v>531.85</v>
      </c>
      <c r="AB47" s="557">
        <f t="shared" si="34"/>
        <v>134.02619999999999</v>
      </c>
      <c r="AC47" s="565">
        <f>6510.75+320.94</f>
        <v>6831.69</v>
      </c>
      <c r="AD47" s="564">
        <f>AC47/$AD$11</f>
        <v>341.58449999999999</v>
      </c>
      <c r="AE47" s="564">
        <f>AD47*$AE$11</f>
        <v>68.316900000000004</v>
      </c>
      <c r="AF47" s="519">
        <f>AD47-AE47</f>
        <v>273.26760000000002</v>
      </c>
      <c r="AG47" s="569">
        <f>(AF47-AB47)/AF47</f>
        <v>0.50954229480553137</v>
      </c>
      <c r="AH47" s="408">
        <f t="shared" si="3"/>
        <v>878.95</v>
      </c>
      <c r="AI47" s="409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2">
        <v>1</v>
      </c>
      <c r="D48" s="513" t="s">
        <v>298</v>
      </c>
      <c r="E48" s="514" t="s">
        <v>132</v>
      </c>
      <c r="F48" s="514" t="s">
        <v>116</v>
      </c>
      <c r="G48" s="515">
        <v>2</v>
      </c>
      <c r="H48" s="514" t="s">
        <v>663</v>
      </c>
      <c r="I48" s="514" t="s">
        <v>685</v>
      </c>
      <c r="J48" s="514" t="str">
        <f t="shared" si="0"/>
        <v/>
      </c>
      <c r="K48" s="516" t="s">
        <v>665</v>
      </c>
      <c r="L48" s="514" t="s">
        <v>122</v>
      </c>
      <c r="M48" s="516" t="s">
        <v>264</v>
      </c>
      <c r="N48" s="517">
        <v>98</v>
      </c>
      <c r="O48" s="517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08">
        <f t="shared" si="1"/>
        <v>418.95000000000005</v>
      </c>
      <c r="U48" s="557">
        <f t="shared" si="29"/>
        <v>105.57539999999999</v>
      </c>
      <c r="V48" s="565">
        <f>3459.22</f>
        <v>3459.22</v>
      </c>
      <c r="W48" s="564">
        <f>V48/$W$11</f>
        <v>172.96099999999998</v>
      </c>
      <c r="X48" s="564">
        <f>W48*$X$11</f>
        <v>34.592199999999998</v>
      </c>
      <c r="Y48" s="519">
        <f>W48-X48</f>
        <v>138.36879999999999</v>
      </c>
      <c r="Z48" s="569">
        <f>(Y48-U48)/Y48</f>
        <v>0.23699995952844866</v>
      </c>
      <c r="AA48" s="409">
        <f t="shared" si="2"/>
        <v>531.85</v>
      </c>
      <c r="AB48" s="557">
        <f t="shared" si="34"/>
        <v>134.02619999999999</v>
      </c>
      <c r="AC48" s="565">
        <f>6510.75+320.94</f>
        <v>6831.69</v>
      </c>
      <c r="AD48" s="564">
        <f>AC48/$AD$11</f>
        <v>341.58449999999999</v>
      </c>
      <c r="AE48" s="564">
        <f>AD48*$AE$11</f>
        <v>68.316900000000004</v>
      </c>
      <c r="AF48" s="519">
        <f>AD48-AE48</f>
        <v>273.26760000000002</v>
      </c>
      <c r="AG48" s="569">
        <f>(AF48-AB48)/AF48</f>
        <v>0.50954229480553137</v>
      </c>
      <c r="AH48" s="408">
        <f t="shared" si="3"/>
        <v>950.80000000000007</v>
      </c>
      <c r="AI48" s="409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2">
        <v>1</v>
      </c>
      <c r="D49" s="513" t="s">
        <v>298</v>
      </c>
      <c r="E49" s="514" t="s">
        <v>132</v>
      </c>
      <c r="F49" s="514" t="s">
        <v>116</v>
      </c>
      <c r="G49" s="515">
        <v>2</v>
      </c>
      <c r="H49" s="514" t="s">
        <v>663</v>
      </c>
      <c r="I49" s="514" t="s">
        <v>687</v>
      </c>
      <c r="J49" s="514" t="str">
        <f t="shared" si="0"/>
        <v/>
      </c>
      <c r="K49" s="516" t="s">
        <v>665</v>
      </c>
      <c r="L49" s="514" t="s">
        <v>122</v>
      </c>
      <c r="M49" s="516" t="s">
        <v>264</v>
      </c>
      <c r="N49" s="517">
        <v>98</v>
      </c>
      <c r="O49" s="517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08">
        <f t="shared" si="1"/>
        <v>503.75</v>
      </c>
      <c r="U49" s="557">
        <f t="shared" si="29"/>
        <v>126.94499999999999</v>
      </c>
      <c r="V49" s="565">
        <v>3456.49</v>
      </c>
      <c r="W49" s="564">
        <f>V49/$W$11</f>
        <v>172.8245</v>
      </c>
      <c r="X49" s="564">
        <f>W49*$X$11</f>
        <v>34.564900000000002</v>
      </c>
      <c r="Y49" s="519">
        <f>W49-X49</f>
        <v>138.25960000000001</v>
      </c>
      <c r="Z49" s="569">
        <f>(Y49-U49)/Y49</f>
        <v>8.1835908681928873E-2</v>
      </c>
      <c r="AA49" s="409">
        <f t="shared" si="2"/>
        <v>531.85</v>
      </c>
      <c r="AB49" s="557">
        <f t="shared" si="34"/>
        <v>134.02619999999999</v>
      </c>
      <c r="AC49" s="565">
        <f>6510.75+320.94</f>
        <v>6831.69</v>
      </c>
      <c r="AD49" s="564">
        <f>AC49/$AD$11</f>
        <v>341.58449999999999</v>
      </c>
      <c r="AE49" s="564">
        <f>AD49*$AE$11</f>
        <v>68.316900000000004</v>
      </c>
      <c r="AF49" s="519">
        <f>AD49-AE49</f>
        <v>273.26760000000002</v>
      </c>
      <c r="AG49" s="569">
        <f>(AF49-AB49)/AF49</f>
        <v>0.50954229480553137</v>
      </c>
      <c r="AH49" s="408">
        <f t="shared" si="3"/>
        <v>1035.5999999999999</v>
      </c>
      <c r="AI49" s="409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2">
        <v>1</v>
      </c>
      <c r="D50" s="513" t="s">
        <v>298</v>
      </c>
      <c r="E50" s="514" t="s">
        <v>132</v>
      </c>
      <c r="F50" s="514" t="s">
        <v>116</v>
      </c>
      <c r="G50" s="515">
        <v>2</v>
      </c>
      <c r="H50" s="514" t="s">
        <v>663</v>
      </c>
      <c r="I50" s="514" t="s">
        <v>689</v>
      </c>
      <c r="J50" s="514" t="str">
        <f t="shared" si="0"/>
        <v/>
      </c>
      <c r="K50" s="516" t="s">
        <v>665</v>
      </c>
      <c r="L50" s="514" t="s">
        <v>122</v>
      </c>
      <c r="M50" s="516" t="s">
        <v>264</v>
      </c>
      <c r="N50" s="517">
        <v>98</v>
      </c>
      <c r="O50" s="517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08">
        <f t="shared" si="1"/>
        <v>585</v>
      </c>
      <c r="U50" s="557">
        <f t="shared" si="29"/>
        <v>147.41999999999999</v>
      </c>
      <c r="V50" s="565">
        <f>3848.58</f>
        <v>3848.58</v>
      </c>
      <c r="W50" s="564">
        <f>V50/$W$11</f>
        <v>192.429</v>
      </c>
      <c r="X50" s="564">
        <f>W50*$X$11</f>
        <v>38.485800000000005</v>
      </c>
      <c r="Y50" s="519">
        <f>W50-X50</f>
        <v>153.94319999999999</v>
      </c>
      <c r="Z50" s="569">
        <f>(Y50-U50)/Y50</f>
        <v>4.237407043636876E-2</v>
      </c>
      <c r="AA50" s="409">
        <f t="shared" si="2"/>
        <v>531.85</v>
      </c>
      <c r="AB50" s="557">
        <f t="shared" si="34"/>
        <v>134.02619999999999</v>
      </c>
      <c r="AC50" s="565">
        <f>6510.75+320.94</f>
        <v>6831.69</v>
      </c>
      <c r="AD50" s="564">
        <f>AC50/$AD$11</f>
        <v>341.58449999999999</v>
      </c>
      <c r="AE50" s="564">
        <f>AD50*$AE$11</f>
        <v>68.316900000000004</v>
      </c>
      <c r="AF50" s="519">
        <f>AD50-AE50</f>
        <v>273.26760000000002</v>
      </c>
      <c r="AG50" s="569">
        <f>(AF50-AB50)/AF50</f>
        <v>0.50954229480553137</v>
      </c>
      <c r="AH50" s="408">
        <f t="shared" si="3"/>
        <v>1116.8499999999999</v>
      </c>
      <c r="AI50" s="409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0">
        <v>1</v>
      </c>
      <c r="D51" s="551" t="s">
        <v>298</v>
      </c>
      <c r="E51" s="552" t="s">
        <v>132</v>
      </c>
      <c r="F51" s="552" t="s">
        <v>116</v>
      </c>
      <c r="G51" s="553">
        <v>2</v>
      </c>
      <c r="H51" s="552" t="s">
        <v>187</v>
      </c>
      <c r="I51" s="552" t="s">
        <v>323</v>
      </c>
      <c r="J51" s="552" t="str">
        <f t="shared" si="0"/>
        <v/>
      </c>
      <c r="K51" s="554" t="s">
        <v>665</v>
      </c>
      <c r="L51" s="552" t="s">
        <v>122</v>
      </c>
      <c r="M51" s="554" t="s">
        <v>264</v>
      </c>
      <c r="N51" s="555">
        <v>124</v>
      </c>
      <c r="O51" s="555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08">
        <f t="shared" si="1"/>
        <v>335.65000000000003</v>
      </c>
      <c r="U51" s="557">
        <f t="shared" si="29"/>
        <v>84.583800000000011</v>
      </c>
      <c r="V51" s="565"/>
      <c r="W51" s="565"/>
      <c r="X51" s="564"/>
      <c r="Y51" s="519"/>
      <c r="Z51" s="519"/>
      <c r="AA51" s="409">
        <f t="shared" si="2"/>
        <v>655.40000000000009</v>
      </c>
      <c r="AB51" s="557">
        <f t="shared" si="34"/>
        <v>165.16080000000002</v>
      </c>
      <c r="AC51" s="565"/>
      <c r="AD51" s="565"/>
      <c r="AE51" s="564"/>
      <c r="AF51" s="519"/>
      <c r="AG51" s="519"/>
      <c r="AH51" s="408">
        <f t="shared" si="3"/>
        <v>991.05000000000018</v>
      </c>
      <c r="AI51" s="409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6">
        <v>1</v>
      </c>
      <c r="D52" s="507" t="s">
        <v>298</v>
      </c>
      <c r="E52" s="508" t="s">
        <v>132</v>
      </c>
      <c r="F52" s="508" t="s">
        <v>116</v>
      </c>
      <c r="G52" s="509">
        <v>2</v>
      </c>
      <c r="H52" s="508" t="s">
        <v>691</v>
      </c>
      <c r="I52" s="508" t="s">
        <v>323</v>
      </c>
      <c r="J52" s="508" t="str">
        <f t="shared" si="0"/>
        <v/>
      </c>
      <c r="K52" s="510" t="s">
        <v>665</v>
      </c>
      <c r="L52" s="508" t="s">
        <v>122</v>
      </c>
      <c r="M52" s="510" t="s">
        <v>264</v>
      </c>
      <c r="N52" s="511">
        <v>124</v>
      </c>
      <c r="O52" s="511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08">
        <f t="shared" si="1"/>
        <v>508.45000000000005</v>
      </c>
      <c r="U52" s="557">
        <f t="shared" si="29"/>
        <v>128.1294</v>
      </c>
      <c r="V52" s="565"/>
      <c r="W52" s="565"/>
      <c r="X52" s="564"/>
      <c r="Y52" s="519"/>
      <c r="Z52" s="570">
        <f>AVERAGE(Z53:Z56)</f>
        <v>0.14301474264129896</v>
      </c>
      <c r="AA52" s="409">
        <f t="shared" si="2"/>
        <v>655.40000000000009</v>
      </c>
      <c r="AB52" s="557">
        <f t="shared" si="34"/>
        <v>165.16080000000002</v>
      </c>
      <c r="AC52" s="565"/>
      <c r="AD52" s="565"/>
      <c r="AE52" s="564"/>
      <c r="AF52" s="519"/>
      <c r="AG52" s="570">
        <f>AVERAGE(AG53:AG56)</f>
        <v>0.43937042513411451</v>
      </c>
      <c r="AH52" s="408">
        <f t="shared" si="3"/>
        <v>1163.8500000000001</v>
      </c>
      <c r="AI52" s="409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2">
        <v>1</v>
      </c>
      <c r="D53" s="513" t="s">
        <v>298</v>
      </c>
      <c r="E53" s="514" t="s">
        <v>132</v>
      </c>
      <c r="F53" s="514" t="s">
        <v>116</v>
      </c>
      <c r="G53" s="515">
        <v>2</v>
      </c>
      <c r="H53" s="514" t="s">
        <v>663</v>
      </c>
      <c r="I53" s="514" t="s">
        <v>681</v>
      </c>
      <c r="J53" s="514" t="str">
        <f t="shared" si="0"/>
        <v/>
      </c>
      <c r="K53" s="516" t="s">
        <v>665</v>
      </c>
      <c r="L53" s="514" t="s">
        <v>122</v>
      </c>
      <c r="M53" s="516" t="s">
        <v>264</v>
      </c>
      <c r="N53" s="517">
        <v>124</v>
      </c>
      <c r="O53" s="517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08">
        <f t="shared" si="1"/>
        <v>428.45000000000005</v>
      </c>
      <c r="U53" s="557">
        <f t="shared" si="29"/>
        <v>107.96940000000001</v>
      </c>
      <c r="V53" s="565">
        <f>3757.32</f>
        <v>3757.32</v>
      </c>
      <c r="W53" s="564">
        <f>V53/$W$11</f>
        <v>187.86600000000001</v>
      </c>
      <c r="X53" s="564">
        <f>W53*$X$11</f>
        <v>37.573200000000007</v>
      </c>
      <c r="Y53" s="519">
        <f>W53-X53</f>
        <v>150.2928</v>
      </c>
      <c r="Z53" s="569">
        <f>(Y53-U53)/Y53</f>
        <v>0.28160630449362839</v>
      </c>
      <c r="AA53" s="409">
        <f t="shared" si="2"/>
        <v>655.40000000000009</v>
      </c>
      <c r="AB53" s="557">
        <f t="shared" si="34"/>
        <v>165.16080000000002</v>
      </c>
      <c r="AC53" s="565">
        <f>7044.03+320.94</f>
        <v>7364.9699999999993</v>
      </c>
      <c r="AD53" s="564">
        <f>AC53/$AD$11</f>
        <v>368.24849999999998</v>
      </c>
      <c r="AE53" s="564">
        <f>AD53*$AE$11</f>
        <v>73.649699999999996</v>
      </c>
      <c r="AF53" s="519">
        <f>AD53-AE53</f>
        <v>294.59879999999998</v>
      </c>
      <c r="AG53" s="569">
        <f>(AF53-AB53)/AF53</f>
        <v>0.43937042513411451</v>
      </c>
      <c r="AH53" s="408">
        <f t="shared" si="3"/>
        <v>1083.8500000000001</v>
      </c>
      <c r="AI53" s="409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2">
        <v>1</v>
      </c>
      <c r="D54" s="513" t="s">
        <v>298</v>
      </c>
      <c r="E54" s="514" t="s">
        <v>132</v>
      </c>
      <c r="F54" s="514" t="s">
        <v>116</v>
      </c>
      <c r="G54" s="515">
        <v>2</v>
      </c>
      <c r="H54" s="514" t="s">
        <v>663</v>
      </c>
      <c r="I54" s="514" t="s">
        <v>685</v>
      </c>
      <c r="J54" s="514" t="str">
        <f t="shared" si="0"/>
        <v/>
      </c>
      <c r="K54" s="516" t="s">
        <v>665</v>
      </c>
      <c r="L54" s="514" t="s">
        <v>122</v>
      </c>
      <c r="M54" s="516" t="s">
        <v>264</v>
      </c>
      <c r="N54" s="517">
        <v>124</v>
      </c>
      <c r="O54" s="517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08">
        <f t="shared" si="1"/>
        <v>516.85</v>
      </c>
      <c r="U54" s="557">
        <f t="shared" si="29"/>
        <v>130.24619999999999</v>
      </c>
      <c r="V54" s="565">
        <f>4154.61</f>
        <v>4154.6099999999997</v>
      </c>
      <c r="W54" s="564">
        <f>V54/$W$11</f>
        <v>207.73049999999998</v>
      </c>
      <c r="X54" s="564">
        <f>W54*$X$11</f>
        <v>41.546099999999996</v>
      </c>
      <c r="Y54" s="519">
        <f>W54-X54</f>
        <v>166.18439999999998</v>
      </c>
      <c r="Z54" s="569">
        <f>(Y54-U54)/Y54</f>
        <v>0.21625495533876826</v>
      </c>
      <c r="AA54" s="409">
        <f t="shared" si="2"/>
        <v>655.40000000000009</v>
      </c>
      <c r="AB54" s="557">
        <f t="shared" si="34"/>
        <v>165.16080000000002</v>
      </c>
      <c r="AC54" s="565">
        <f>7044.03+320.94</f>
        <v>7364.9699999999993</v>
      </c>
      <c r="AD54" s="564">
        <f>AC54/$AD$11</f>
        <v>368.24849999999998</v>
      </c>
      <c r="AE54" s="564">
        <f>AD54*$AE$11</f>
        <v>73.649699999999996</v>
      </c>
      <c r="AF54" s="519">
        <f>AD54-AE54</f>
        <v>294.59879999999998</v>
      </c>
      <c r="AG54" s="569">
        <f>(AF54-AB54)/AF54</f>
        <v>0.43937042513411451</v>
      </c>
      <c r="AH54" s="408">
        <f t="shared" si="3"/>
        <v>1172.25</v>
      </c>
      <c r="AI54" s="409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2">
        <v>1</v>
      </c>
      <c r="D55" s="513" t="s">
        <v>298</v>
      </c>
      <c r="E55" s="514" t="s">
        <v>132</v>
      </c>
      <c r="F55" s="514" t="s">
        <v>116</v>
      </c>
      <c r="G55" s="515">
        <v>2</v>
      </c>
      <c r="H55" s="514" t="s">
        <v>663</v>
      </c>
      <c r="I55" s="514" t="s">
        <v>687</v>
      </c>
      <c r="J55" s="514" t="str">
        <f t="shared" si="0"/>
        <v/>
      </c>
      <c r="K55" s="516" t="s">
        <v>665</v>
      </c>
      <c r="L55" s="514" t="s">
        <v>122</v>
      </c>
      <c r="M55" s="516" t="s">
        <v>264</v>
      </c>
      <c r="N55" s="517">
        <v>124</v>
      </c>
      <c r="O55" s="517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08">
        <f t="shared" si="1"/>
        <v>621.25</v>
      </c>
      <c r="U55" s="557">
        <f t="shared" si="29"/>
        <v>156.55500000000001</v>
      </c>
      <c r="V55" s="565">
        <f>4151.88</f>
        <v>4151.88</v>
      </c>
      <c r="W55" s="564">
        <f>V55/$W$11</f>
        <v>207.59399999999999</v>
      </c>
      <c r="X55" s="564">
        <f>W55*$X$11</f>
        <v>41.518799999999999</v>
      </c>
      <c r="Y55" s="519">
        <f>W55-X55</f>
        <v>166.0752</v>
      </c>
      <c r="Z55" s="569">
        <f>(Y55-U55)/Y55</f>
        <v>5.7324633659932303E-2</v>
      </c>
      <c r="AA55" s="409">
        <f t="shared" si="2"/>
        <v>655.40000000000009</v>
      </c>
      <c r="AB55" s="557">
        <f t="shared" si="34"/>
        <v>165.16080000000002</v>
      </c>
      <c r="AC55" s="565">
        <f>7044.03+320.94</f>
        <v>7364.9699999999993</v>
      </c>
      <c r="AD55" s="564">
        <f>AC55/$AD$11</f>
        <v>368.24849999999998</v>
      </c>
      <c r="AE55" s="564">
        <f>AD55*$AE$11</f>
        <v>73.649699999999996</v>
      </c>
      <c r="AF55" s="519">
        <f>AD55-AE55</f>
        <v>294.59879999999998</v>
      </c>
      <c r="AG55" s="569">
        <f>(AF55-AB55)/AF55</f>
        <v>0.43937042513411451</v>
      </c>
      <c r="AH55" s="408">
        <f t="shared" si="3"/>
        <v>1276.6500000000001</v>
      </c>
      <c r="AI55" s="409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2">
        <v>1</v>
      </c>
      <c r="D56" s="513" t="s">
        <v>298</v>
      </c>
      <c r="E56" s="514" t="s">
        <v>132</v>
      </c>
      <c r="F56" s="514" t="s">
        <v>116</v>
      </c>
      <c r="G56" s="515">
        <v>2</v>
      </c>
      <c r="H56" s="514" t="s">
        <v>663</v>
      </c>
      <c r="I56" s="514" t="s">
        <v>689</v>
      </c>
      <c r="J56" s="514" t="str">
        <f t="shared" si="0"/>
        <v/>
      </c>
      <c r="K56" s="516" t="s">
        <v>665</v>
      </c>
      <c r="L56" s="514" t="s">
        <v>122</v>
      </c>
      <c r="M56" s="516" t="s">
        <v>264</v>
      </c>
      <c r="N56" s="517">
        <v>124</v>
      </c>
      <c r="O56" s="517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08">
        <f t="shared" si="1"/>
        <v>721.25</v>
      </c>
      <c r="U56" s="557">
        <f t="shared" si="29"/>
        <v>181.75499999999997</v>
      </c>
      <c r="V56" s="565">
        <v>4621.8599999999997</v>
      </c>
      <c r="W56" s="564">
        <f>V56/$W$11</f>
        <v>231.09299999999999</v>
      </c>
      <c r="X56" s="564">
        <f>W56*$X$11</f>
        <v>46.218600000000002</v>
      </c>
      <c r="Y56" s="519">
        <f>W56-X56</f>
        <v>184.87439999999998</v>
      </c>
      <c r="Z56" s="569">
        <f>(Y56-U56)/Y56</f>
        <v>1.6873077072866841E-2</v>
      </c>
      <c r="AA56" s="409">
        <f t="shared" si="2"/>
        <v>655.40000000000009</v>
      </c>
      <c r="AB56" s="557">
        <f t="shared" si="34"/>
        <v>165.16080000000002</v>
      </c>
      <c r="AC56" s="565">
        <f>7044.03+320.94</f>
        <v>7364.9699999999993</v>
      </c>
      <c r="AD56" s="564">
        <f>AC56/$AD$11</f>
        <v>368.24849999999998</v>
      </c>
      <c r="AE56" s="564">
        <f>AD56*$AE$11</f>
        <v>73.649699999999996</v>
      </c>
      <c r="AF56" s="519">
        <f>AD56-AE56</f>
        <v>294.59879999999998</v>
      </c>
      <c r="AG56" s="569">
        <f>(AF56-AB56)/AF56</f>
        <v>0.43937042513411451</v>
      </c>
      <c r="AH56" s="408">
        <f t="shared" si="3"/>
        <v>1376.65</v>
      </c>
      <c r="AI56" s="409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0">
        <v>1</v>
      </c>
      <c r="D57" s="551" t="s">
        <v>298</v>
      </c>
      <c r="E57" s="552" t="s">
        <v>132</v>
      </c>
      <c r="F57" s="552" t="s">
        <v>116</v>
      </c>
      <c r="G57" s="553">
        <v>2</v>
      </c>
      <c r="H57" s="552" t="s">
        <v>187</v>
      </c>
      <c r="I57" s="552" t="s">
        <v>323</v>
      </c>
      <c r="J57" s="552" t="str">
        <f t="shared" si="0"/>
        <v/>
      </c>
      <c r="K57" s="554" t="s">
        <v>665</v>
      </c>
      <c r="L57" s="552" t="s">
        <v>122</v>
      </c>
      <c r="M57" s="554" t="s">
        <v>264</v>
      </c>
      <c r="N57" s="555">
        <v>150</v>
      </c>
      <c r="O57" s="555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08">
        <f t="shared" si="1"/>
        <v>407.55</v>
      </c>
      <c r="U57" s="557">
        <f t="shared" si="29"/>
        <v>102.70259999999998</v>
      </c>
      <c r="V57" s="565"/>
      <c r="W57" s="565"/>
      <c r="X57" s="564"/>
      <c r="Y57" s="519"/>
      <c r="Z57" s="519"/>
      <c r="AA57" s="409">
        <f t="shared" si="2"/>
        <v>778.90000000000009</v>
      </c>
      <c r="AB57" s="557">
        <f t="shared" si="34"/>
        <v>196.28279999999998</v>
      </c>
      <c r="AC57" s="565"/>
      <c r="AD57" s="565"/>
      <c r="AE57" s="564"/>
      <c r="AF57" s="519"/>
      <c r="AG57" s="519"/>
      <c r="AH57" s="408">
        <f t="shared" si="3"/>
        <v>1186.45</v>
      </c>
      <c r="AI57" s="409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6">
        <v>1</v>
      </c>
      <c r="D58" s="507" t="s">
        <v>298</v>
      </c>
      <c r="E58" s="508" t="s">
        <v>132</v>
      </c>
      <c r="F58" s="508" t="s">
        <v>116</v>
      </c>
      <c r="G58" s="509">
        <v>2</v>
      </c>
      <c r="H58" s="508" t="s">
        <v>691</v>
      </c>
      <c r="I58" s="508" t="s">
        <v>323</v>
      </c>
      <c r="J58" s="508" t="str">
        <f t="shared" si="0"/>
        <v/>
      </c>
      <c r="K58" s="510" t="s">
        <v>665</v>
      </c>
      <c r="L58" s="508" t="s">
        <v>122</v>
      </c>
      <c r="M58" s="510" t="s">
        <v>264</v>
      </c>
      <c r="N58" s="511">
        <v>150</v>
      </c>
      <c r="O58" s="511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08">
        <f t="shared" si="1"/>
        <v>618.15000000000009</v>
      </c>
      <c r="U58" s="557">
        <f t="shared" si="29"/>
        <v>155.77379999999999</v>
      </c>
      <c r="V58" s="565"/>
      <c r="W58" s="565"/>
      <c r="X58" s="564"/>
      <c r="Y58" s="519"/>
      <c r="Z58" s="570">
        <f>AVERAGE(Z59:Z62)</f>
        <v>0.14823690895697744</v>
      </c>
      <c r="AA58" s="409">
        <f t="shared" si="2"/>
        <v>778.90000000000009</v>
      </c>
      <c r="AB58" s="557">
        <f t="shared" si="34"/>
        <v>196.28279999999998</v>
      </c>
      <c r="AC58" s="565"/>
      <c r="AD58" s="565"/>
      <c r="AE58" s="564"/>
      <c r="AF58" s="519"/>
      <c r="AG58" s="570">
        <f>AVERAGE(AG59:AG62)</f>
        <v>0.39067133228365231</v>
      </c>
      <c r="AH58" s="408">
        <f t="shared" si="3"/>
        <v>1397.0500000000002</v>
      </c>
      <c r="AI58" s="409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2">
        <v>1</v>
      </c>
      <c r="D59" s="513" t="s">
        <v>298</v>
      </c>
      <c r="E59" s="514" t="s">
        <v>132</v>
      </c>
      <c r="F59" s="514" t="s">
        <v>116</v>
      </c>
      <c r="G59" s="515">
        <v>2</v>
      </c>
      <c r="H59" s="514" t="s">
        <v>663</v>
      </c>
      <c r="I59" s="514" t="s">
        <v>681</v>
      </c>
      <c r="J59" s="514" t="str">
        <f t="shared" si="0"/>
        <v/>
      </c>
      <c r="K59" s="516" t="s">
        <v>665</v>
      </c>
      <c r="L59" s="514" t="s">
        <v>122</v>
      </c>
      <c r="M59" s="516" t="s">
        <v>264</v>
      </c>
      <c r="N59" s="517">
        <v>150</v>
      </c>
      <c r="O59" s="517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08">
        <f t="shared" si="1"/>
        <v>520.65</v>
      </c>
      <c r="U59" s="557">
        <f t="shared" si="29"/>
        <v>131.20379999999997</v>
      </c>
      <c r="V59" s="565">
        <f>4597.56</f>
        <v>4597.5600000000004</v>
      </c>
      <c r="W59" s="564">
        <f>V59/$W$11</f>
        <v>229.87800000000001</v>
      </c>
      <c r="X59" s="564">
        <f>W59*$X$11</f>
        <v>45.975600000000007</v>
      </c>
      <c r="Y59" s="519">
        <f>W59-X59</f>
        <v>183.9024</v>
      </c>
      <c r="Z59" s="569">
        <f>(Y59-U59)/Y59</f>
        <v>0.28655743481324891</v>
      </c>
      <c r="AA59" s="409">
        <f t="shared" si="2"/>
        <v>778.90000000000009</v>
      </c>
      <c r="AB59" s="557">
        <f t="shared" si="34"/>
        <v>196.28279999999998</v>
      </c>
      <c r="AC59" s="565">
        <f>7732.3+320.94</f>
        <v>8053.24</v>
      </c>
      <c r="AD59" s="564">
        <f>AC59/$AD$11</f>
        <v>402.66199999999998</v>
      </c>
      <c r="AE59" s="564">
        <f>AD59*$AE$11</f>
        <v>80.532399999999996</v>
      </c>
      <c r="AF59" s="519">
        <f>AD59-AE59</f>
        <v>322.12959999999998</v>
      </c>
      <c r="AG59" s="569">
        <f>(AF59-AB59)/AF59</f>
        <v>0.39067133228365231</v>
      </c>
      <c r="AH59" s="408">
        <f t="shared" si="3"/>
        <v>1299.5500000000002</v>
      </c>
      <c r="AI59" s="409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2">
        <v>1</v>
      </c>
      <c r="D60" s="513" t="s">
        <v>298</v>
      </c>
      <c r="E60" s="514" t="s">
        <v>132</v>
      </c>
      <c r="F60" s="514" t="s">
        <v>116</v>
      </c>
      <c r="G60" s="515">
        <v>2</v>
      </c>
      <c r="H60" s="514" t="s">
        <v>663</v>
      </c>
      <c r="I60" s="514" t="s">
        <v>685</v>
      </c>
      <c r="J60" s="514" t="str">
        <f t="shared" si="0"/>
        <v/>
      </c>
      <c r="K60" s="516" t="s">
        <v>665</v>
      </c>
      <c r="L60" s="514" t="s">
        <v>122</v>
      </c>
      <c r="M60" s="516" t="s">
        <v>264</v>
      </c>
      <c r="N60" s="517">
        <v>150</v>
      </c>
      <c r="O60" s="517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08">
        <f t="shared" si="1"/>
        <v>628.40000000000009</v>
      </c>
      <c r="U60" s="557">
        <f t="shared" si="29"/>
        <v>158.35679999999999</v>
      </c>
      <c r="V60" s="565">
        <f>5083.62</f>
        <v>5083.62</v>
      </c>
      <c r="W60" s="564">
        <f>V60/$W$11</f>
        <v>254.18099999999998</v>
      </c>
      <c r="X60" s="564">
        <f>W60*$X$11</f>
        <v>50.836199999999998</v>
      </c>
      <c r="Y60" s="519">
        <f>W60-X60</f>
        <v>203.34479999999999</v>
      </c>
      <c r="Z60" s="569">
        <f>(Y60-U60)/Y60</f>
        <v>0.22123998253213262</v>
      </c>
      <c r="AA60" s="409">
        <f t="shared" si="2"/>
        <v>778.90000000000009</v>
      </c>
      <c r="AB60" s="557">
        <f t="shared" si="34"/>
        <v>196.28279999999998</v>
      </c>
      <c r="AC60" s="565">
        <f>7732.3+320.94</f>
        <v>8053.24</v>
      </c>
      <c r="AD60" s="564">
        <f>AC60/$AD$11</f>
        <v>402.66199999999998</v>
      </c>
      <c r="AE60" s="564">
        <f>AD60*$AE$11</f>
        <v>80.532399999999996</v>
      </c>
      <c r="AF60" s="519">
        <f>AD60-AE60</f>
        <v>322.12959999999998</v>
      </c>
      <c r="AG60" s="569">
        <f>(AF60-AB60)/AF60</f>
        <v>0.39067133228365231</v>
      </c>
      <c r="AH60" s="408">
        <f t="shared" si="3"/>
        <v>1407.3000000000002</v>
      </c>
      <c r="AI60" s="409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2">
        <v>1</v>
      </c>
      <c r="D61" s="513" t="s">
        <v>298</v>
      </c>
      <c r="E61" s="514" t="s">
        <v>132</v>
      </c>
      <c r="F61" s="514" t="s">
        <v>116</v>
      </c>
      <c r="G61" s="515">
        <v>2</v>
      </c>
      <c r="H61" s="514" t="s">
        <v>663</v>
      </c>
      <c r="I61" s="514" t="s">
        <v>687</v>
      </c>
      <c r="J61" s="514" t="str">
        <f t="shared" si="0"/>
        <v/>
      </c>
      <c r="K61" s="516" t="s">
        <v>665</v>
      </c>
      <c r="L61" s="514" t="s">
        <v>122</v>
      </c>
      <c r="M61" s="516" t="s">
        <v>264</v>
      </c>
      <c r="N61" s="517">
        <v>150</v>
      </c>
      <c r="O61" s="517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08">
        <f t="shared" si="1"/>
        <v>755.65000000000009</v>
      </c>
      <c r="U61" s="557">
        <f t="shared" si="29"/>
        <v>190.4238</v>
      </c>
      <c r="V61" s="565">
        <f>5079.53</f>
        <v>5079.53</v>
      </c>
      <c r="W61" s="564">
        <f>V61/$W$11</f>
        <v>253.97649999999999</v>
      </c>
      <c r="X61" s="564">
        <f>W61*$X$11</f>
        <v>50.795299999999997</v>
      </c>
      <c r="Y61" s="519">
        <f>W61-X61</f>
        <v>203.18119999999999</v>
      </c>
      <c r="Z61" s="569">
        <f>(Y61-U61)/Y61</f>
        <v>6.2788289467726299E-2</v>
      </c>
      <c r="AA61" s="409">
        <f t="shared" si="2"/>
        <v>778.90000000000009</v>
      </c>
      <c r="AB61" s="557">
        <f t="shared" si="34"/>
        <v>196.28279999999998</v>
      </c>
      <c r="AC61" s="565">
        <f>7732.3+320.94</f>
        <v>8053.24</v>
      </c>
      <c r="AD61" s="564">
        <f>AC61/$AD$11</f>
        <v>402.66199999999998</v>
      </c>
      <c r="AE61" s="564">
        <f>AD61*$AE$11</f>
        <v>80.532399999999996</v>
      </c>
      <c r="AF61" s="519">
        <f>AD61-AE61</f>
        <v>322.12959999999998</v>
      </c>
      <c r="AG61" s="569">
        <f>(AF61-AB61)/AF61</f>
        <v>0.39067133228365231</v>
      </c>
      <c r="AH61" s="408">
        <f t="shared" si="3"/>
        <v>1534.5500000000002</v>
      </c>
      <c r="AI61" s="409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2">
        <v>1</v>
      </c>
      <c r="D62" s="513" t="s">
        <v>298</v>
      </c>
      <c r="E62" s="514" t="s">
        <v>132</v>
      </c>
      <c r="F62" s="514" t="s">
        <v>116</v>
      </c>
      <c r="G62" s="515">
        <v>2</v>
      </c>
      <c r="H62" s="514" t="s">
        <v>663</v>
      </c>
      <c r="I62" s="514" t="s">
        <v>689</v>
      </c>
      <c r="J62" s="514" t="str">
        <f t="shared" si="0"/>
        <v/>
      </c>
      <c r="K62" s="516" t="s">
        <v>665</v>
      </c>
      <c r="L62" s="514" t="s">
        <v>122</v>
      </c>
      <c r="M62" s="516" t="s">
        <v>264</v>
      </c>
      <c r="N62" s="517">
        <v>150</v>
      </c>
      <c r="O62" s="517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08">
        <f t="shared" si="1"/>
        <v>877.5</v>
      </c>
      <c r="U62" s="557">
        <f t="shared" si="29"/>
        <v>221.13</v>
      </c>
      <c r="V62" s="565">
        <f>5654.7</f>
        <v>5654.7</v>
      </c>
      <c r="W62" s="564">
        <f>V62/$W$11</f>
        <v>282.73500000000001</v>
      </c>
      <c r="X62" s="564">
        <f>W62*$X$11</f>
        <v>56.547000000000004</v>
      </c>
      <c r="Y62" s="519">
        <f>W62-X62</f>
        <v>226.18800000000002</v>
      </c>
      <c r="Z62" s="569">
        <f>(Y62-U62)/Y62</f>
        <v>2.2361929014801937E-2</v>
      </c>
      <c r="AA62" s="409">
        <f t="shared" si="2"/>
        <v>778.90000000000009</v>
      </c>
      <c r="AB62" s="557">
        <f t="shared" si="34"/>
        <v>196.28279999999998</v>
      </c>
      <c r="AC62" s="565">
        <f>7732.3+320.94</f>
        <v>8053.24</v>
      </c>
      <c r="AD62" s="564">
        <f>AC62/$AD$11</f>
        <v>402.66199999999998</v>
      </c>
      <c r="AE62" s="564">
        <f>AD62*$AE$11</f>
        <v>80.532399999999996</v>
      </c>
      <c r="AF62" s="519">
        <f>AD62-AE62</f>
        <v>322.12959999999998</v>
      </c>
      <c r="AG62" s="569">
        <f>(AF62-AB62)/AF62</f>
        <v>0.39067133228365231</v>
      </c>
      <c r="AH62" s="408">
        <f t="shared" si="3"/>
        <v>1656.4</v>
      </c>
      <c r="AI62" s="409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07" t="str">
        <f>IF('CALC - RIPP- H-RAIL HW '!S4="INGLES","QTY.","CANT.")</f>
        <v>CANT.</v>
      </c>
      <c r="D63" s="908" t="str">
        <f>IF('CALC - RIPP- H-RAIL HW '!S4="INGLES","DESCRIPTION OF ADDITIONAL SERVICES","DESCRIPCION DE SERVICIOS ADICIONALES")</f>
        <v>DESCRIPCION DE SERVICIOS ADICIONALES</v>
      </c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0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1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1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2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6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497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498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499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2022-08-12T19:44:02Z</cp:lastPrinted>
  <dcterms:created xsi:type="dcterms:W3CDTF">2021-02-10T23:07:35Z</dcterms:created>
  <dcterms:modified xsi:type="dcterms:W3CDTF">2025-11-19T18:14:27Z</dcterms:modified>
</cp:coreProperties>
</file>