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1 NOVIEMBRE 25\PO BS 111825EG-3 SELENE MORA\"/>
    </mc:Choice>
  </mc:AlternateContent>
  <xr:revisionPtr revIDLastSave="0" documentId="8_{A72EE091-DE76-425F-9066-B06ACD7F3EC5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" i="47" l="1"/>
  <c r="P72" i="46"/>
  <c r="T9" i="38"/>
  <c r="T64" i="38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X44" i="59"/>
  <c r="Z44" i="59" s="1"/>
  <c r="W44" i="59"/>
  <c r="Y44" i="59" s="1"/>
  <c r="X43" i="59"/>
  <c r="Z43" i="59" s="1"/>
  <c r="W43" i="59"/>
  <c r="Y43" i="59" s="1"/>
  <c r="AA43" i="59" s="1"/>
  <c r="X42" i="59"/>
  <c r="Z42" i="59" s="1"/>
  <c r="W42" i="59"/>
  <c r="Y42" i="59" s="1"/>
  <c r="X41" i="59"/>
  <c r="Z41" i="59" s="1"/>
  <c r="W41" i="59"/>
  <c r="Y41" i="59" s="1"/>
  <c r="X40" i="59"/>
  <c r="Z40" i="59" s="1"/>
  <c r="W40" i="59"/>
  <c r="Y40" i="59" s="1"/>
  <c r="X39" i="59"/>
  <c r="Z39" i="59" s="1"/>
  <c r="W39" i="59"/>
  <c r="Y39" i="59" s="1"/>
  <c r="AA39" i="59" s="1"/>
  <c r="X38" i="59"/>
  <c r="Z38" i="59" s="1"/>
  <c r="W38" i="59"/>
  <c r="Y38" i="59" s="1"/>
  <c r="X37" i="59"/>
  <c r="Z37" i="59" s="1"/>
  <c r="W37" i="59"/>
  <c r="Y37" i="59" s="1"/>
  <c r="AA37" i="59" s="1"/>
  <c r="X36" i="59"/>
  <c r="Z36" i="59" s="1"/>
  <c r="W36" i="59"/>
  <c r="Y36" i="59" s="1"/>
  <c r="X35" i="59"/>
  <c r="Z35" i="59" s="1"/>
  <c r="W35" i="59"/>
  <c r="Y35" i="59" s="1"/>
  <c r="X34" i="59"/>
  <c r="Z34" i="59" s="1"/>
  <c r="W34" i="59"/>
  <c r="Y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X26" i="59"/>
  <c r="Z26" i="59" s="1"/>
  <c r="W26" i="59"/>
  <c r="Y26" i="59" s="1"/>
  <c r="T26" i="59"/>
  <c r="X25" i="59"/>
  <c r="Z25" i="59" s="1"/>
  <c r="W25" i="59"/>
  <c r="Y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T23" i="59"/>
  <c r="X22" i="59"/>
  <c r="Z22" i="59" s="1"/>
  <c r="W22" i="59"/>
  <c r="Y22" i="59" s="1"/>
  <c r="T22" i="59"/>
  <c r="X21" i="59"/>
  <c r="Z21" i="59" s="1"/>
  <c r="W21" i="59"/>
  <c r="Y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T18" i="59"/>
  <c r="X17" i="59"/>
  <c r="Z17" i="59" s="1"/>
  <c r="W17" i="59"/>
  <c r="Y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T15" i="59"/>
  <c r="X14" i="59"/>
  <c r="Z14" i="59" s="1"/>
  <c r="W14" i="59"/>
  <c r="Y14" i="59" s="1"/>
  <c r="T14" i="59"/>
  <c r="X13" i="59"/>
  <c r="Z13" i="59" s="1"/>
  <c r="W13" i="59"/>
  <c r="Y13" i="59" s="1"/>
  <c r="T13" i="59"/>
  <c r="X12" i="59"/>
  <c r="Z12" i="59" s="1"/>
  <c r="W12" i="59"/>
  <c r="Y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27" i="59" l="1"/>
  <c r="AA18" i="59"/>
  <c r="AA45" i="59"/>
  <c r="AA42" i="59"/>
  <c r="AA41" i="59"/>
  <c r="AA40" i="59"/>
  <c r="AA44" i="59"/>
  <c r="AA38" i="59"/>
  <c r="AA35" i="59"/>
  <c r="AA34" i="59"/>
  <c r="AA36" i="59"/>
  <c r="AA30" i="59"/>
  <c r="AA26" i="59"/>
  <c r="AA25" i="59"/>
  <c r="AA23" i="59"/>
  <c r="AA22" i="59"/>
  <c r="AA21" i="59"/>
  <c r="AA17" i="59"/>
  <c r="AA15" i="59"/>
  <c r="AA14" i="59"/>
  <c r="AA13" i="59"/>
  <c r="AA12" i="59"/>
  <c r="AA9" i="59"/>
  <c r="AA31" i="59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H54" i="23" s="1"/>
  <c r="I54" i="23" s="1"/>
  <c r="J54" i="23" s="1"/>
  <c r="K54" i="23" s="1"/>
  <c r="G49" i="23"/>
  <c r="G48" i="23"/>
  <c r="G47" i="23"/>
  <c r="H49" i="23" s="1"/>
  <c r="I49" i="23" s="1"/>
  <c r="J49" i="23" s="1"/>
  <c r="K49" i="23" s="1"/>
  <c r="G44" i="23"/>
  <c r="G43" i="23"/>
  <c r="G42" i="23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H44" i="23"/>
  <c r="I44" i="23" s="1"/>
  <c r="J44" i="23" s="1"/>
  <c r="K44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X44" i="58"/>
  <c r="Z44" i="58" s="1"/>
  <c r="W44" i="58"/>
  <c r="Y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T26" i="58"/>
  <c r="X25" i="58"/>
  <c r="Z25" i="58" s="1"/>
  <c r="W25" i="58"/>
  <c r="Y25" i="58" s="1"/>
  <c r="T25" i="58"/>
  <c r="X24" i="58"/>
  <c r="Z24" i="58" s="1"/>
  <c r="W24" i="58"/>
  <c r="Y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A26" i="58" l="1"/>
  <c r="AA21" i="58"/>
  <c r="AA44" i="58"/>
  <c r="AA45" i="58"/>
  <c r="AA35" i="58"/>
  <c r="AA29" i="58"/>
  <c r="AA24" i="58"/>
  <c r="AQ13" i="38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T24" i="57"/>
  <c r="X23" i="57"/>
  <c r="Z23" i="57" s="1"/>
  <c r="W23" i="57"/>
  <c r="Y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X44" i="55"/>
  <c r="Z44" i="55" s="1"/>
  <c r="W44" i="55"/>
  <c r="Y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X39" i="55"/>
  <c r="Z39" i="55" s="1"/>
  <c r="W39" i="55"/>
  <c r="Y39" i="55" s="1"/>
  <c r="X38" i="55"/>
  <c r="Z38" i="55" s="1"/>
  <c r="W38" i="55"/>
  <c r="Y38" i="55" s="1"/>
  <c r="AA38" i="55" s="1"/>
  <c r="X37" i="55"/>
  <c r="Z37" i="55" s="1"/>
  <c r="W37" i="55"/>
  <c r="Y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8" i="56" l="1"/>
  <c r="AA24" i="57"/>
  <c r="AA22" i="55"/>
  <c r="AA45" i="55"/>
  <c r="AA44" i="56"/>
  <c r="AA44" i="57"/>
  <c r="AA40" i="55"/>
  <c r="AA44" i="55"/>
  <c r="AA39" i="55"/>
  <c r="AA38" i="57"/>
  <c r="AA37" i="55"/>
  <c r="AA29" i="55"/>
  <c r="AA24" i="56"/>
  <c r="AA23" i="57"/>
  <c r="AA18" i="57"/>
  <c r="AA26" i="55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K44" i="52"/>
  <c r="AM44" i="52" s="1"/>
  <c r="AJ44" i="52"/>
  <c r="AL44" i="52" s="1"/>
  <c r="AK43" i="52"/>
  <c r="AM43" i="52" s="1"/>
  <c r="AJ43" i="52"/>
  <c r="AL43" i="52" s="1"/>
  <c r="AK42" i="52"/>
  <c r="AM42" i="52" s="1"/>
  <c r="AJ42" i="52"/>
  <c r="AL42" i="52" s="1"/>
  <c r="AK41" i="52"/>
  <c r="AM41" i="52" s="1"/>
  <c r="AJ41" i="52"/>
  <c r="AL41" i="52" s="1"/>
  <c r="AK40" i="52"/>
  <c r="AM40" i="52" s="1"/>
  <c r="AJ40" i="52"/>
  <c r="AL40" i="52" s="1"/>
  <c r="AK39" i="52"/>
  <c r="AM39" i="52" s="1"/>
  <c r="AJ39" i="52"/>
  <c r="AL39" i="52" s="1"/>
  <c r="AK38" i="52"/>
  <c r="AM38" i="52" s="1"/>
  <c r="AJ38" i="52"/>
  <c r="AL38" i="52" s="1"/>
  <c r="AK37" i="52"/>
  <c r="AM37" i="52" s="1"/>
  <c r="AJ37" i="52"/>
  <c r="AL37" i="52" s="1"/>
  <c r="AK36" i="52"/>
  <c r="AM36" i="52" s="1"/>
  <c r="AJ36" i="52"/>
  <c r="AL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43" i="52" l="1"/>
  <c r="AN41" i="52"/>
  <c r="AN39" i="52"/>
  <c r="AN45" i="52"/>
  <c r="AN42" i="52"/>
  <c r="AN44" i="52"/>
  <c r="AN37" i="52"/>
  <c r="AN36" i="52"/>
  <c r="AN19" i="52"/>
  <c r="AN23" i="52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K43" i="51"/>
  <c r="AM43" i="51" s="1"/>
  <c r="AJ43" i="51"/>
  <c r="AL43" i="51" s="1"/>
  <c r="AK42" i="51"/>
  <c r="AM42" i="51" s="1"/>
  <c r="AJ42" i="51"/>
  <c r="AL42" i="51" s="1"/>
  <c r="AK41" i="51"/>
  <c r="AM41" i="51" s="1"/>
  <c r="AJ41" i="51"/>
  <c r="AL41" i="51" s="1"/>
  <c r="AN41" i="51" s="1"/>
  <c r="AK40" i="51"/>
  <c r="AM40" i="51" s="1"/>
  <c r="AJ40" i="51"/>
  <c r="AL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43" i="51" l="1"/>
  <c r="AN40" i="51"/>
  <c r="AN42" i="51"/>
  <c r="AN44" i="51"/>
  <c r="AN36" i="51"/>
  <c r="AN24" i="51"/>
  <c r="AN19" i="51"/>
  <c r="AN26" i="5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AT51" i="38"/>
  <c r="AT50" i="38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A45" i="49"/>
  <c r="AC45" i="49" s="1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A44" i="49"/>
  <c r="AC44" i="49" s="1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AF42" i="49" l="1"/>
  <c r="AF41" i="49"/>
  <c r="AF45" i="49"/>
  <c r="AF44" i="49"/>
  <c r="AF36" i="49"/>
  <c r="AF37" i="49"/>
  <c r="AF35" i="49"/>
  <c r="O66" i="46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Q42" i="47"/>
  <c r="Q41" i="47"/>
  <c r="Q40" i="47"/>
  <c r="Q39" i="47"/>
  <c r="Q38" i="47"/>
  <c r="Q37" i="47"/>
  <c r="Q36" i="47"/>
  <c r="Q35" i="47"/>
  <c r="Q34" i="47"/>
  <c r="Q33" i="47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F21" i="50"/>
  <c r="AF33" i="50"/>
  <c r="R35" i="47"/>
  <c r="J75" i="47"/>
  <c r="K75" i="47" s="1"/>
  <c r="R107" i="47"/>
  <c r="L19" i="47"/>
  <c r="AF22" i="50"/>
  <c r="Z15" i="50"/>
  <c r="Z23" i="50"/>
  <c r="Z31" i="50"/>
  <c r="AA19" i="47"/>
  <c r="AF23" i="50"/>
  <c r="AF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26" i="38"/>
  <c r="AR26" i="38" s="1"/>
  <c r="AJ25" i="38"/>
  <c r="AR25" i="38" s="1"/>
  <c r="AJ24" i="38"/>
  <c r="AR24" i="38" s="1"/>
  <c r="AJ21" i="38"/>
  <c r="AR21" i="38" s="1"/>
  <c r="AJ20" i="38"/>
  <c r="AR20" i="38" s="1"/>
  <c r="AC15" i="50" l="1"/>
  <c r="AC39" i="50"/>
  <c r="AG39" i="50" s="1"/>
  <c r="H39" i="47" s="1"/>
  <c r="AC36" i="50"/>
  <c r="AG36" i="50" s="1"/>
  <c r="H36" i="47" s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F11" i="50"/>
  <c r="AC10" i="50"/>
  <c r="AF10" i="50"/>
  <c r="AF18" i="50"/>
  <c r="AC19" i="50"/>
  <c r="AG19" i="50" s="1"/>
  <c r="H19" i="47" s="1"/>
  <c r="AC11" i="50"/>
  <c r="S20" i="44"/>
  <c r="S21" i="49"/>
  <c r="AG34" i="50"/>
  <c r="H34" i="47" s="1"/>
  <c r="AA5" i="50"/>
  <c r="Z5" i="50"/>
  <c r="AA16" i="50"/>
  <c r="Z16" i="50"/>
  <c r="AA8" i="50"/>
  <c r="Z8" i="50"/>
  <c r="AA41" i="50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A40" i="50"/>
  <c r="Z40" i="50"/>
  <c r="AA44" i="50"/>
  <c r="Z44" i="50"/>
  <c r="AA32" i="50"/>
  <c r="Z32" i="50"/>
  <c r="AA35" i="50"/>
  <c r="Z35" i="50"/>
  <c r="AA43" i="50"/>
  <c r="Z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Z33" i="50"/>
  <c r="AA29" i="50"/>
  <c r="AF29" i="50" s="1"/>
  <c r="Z29" i="50"/>
  <c r="AA12" i="50"/>
  <c r="Z12" i="50"/>
  <c r="P74" i="46"/>
  <c r="AG15" i="50" l="1"/>
  <c r="H15" i="47" s="1"/>
  <c r="AC42" i="50"/>
  <c r="AG42" i="50" s="1"/>
  <c r="H42" i="47" s="1"/>
  <c r="AC33" i="50"/>
  <c r="AG33" i="50" s="1"/>
  <c r="H33" i="47" s="1"/>
  <c r="AF41" i="50"/>
  <c r="AC41" i="50"/>
  <c r="AC44" i="50"/>
  <c r="AG44" i="50" s="1"/>
  <c r="AC43" i="50"/>
  <c r="AG43" i="50" s="1"/>
  <c r="H43" i="47" s="1"/>
  <c r="AF40" i="50"/>
  <c r="AC40" i="50"/>
  <c r="AG28" i="50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41" i="50" l="1"/>
  <c r="H41" i="47" s="1"/>
  <c r="AG40" i="50"/>
  <c r="H40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L52" i="46"/>
  <c r="H52" i="46"/>
  <c r="G52" i="46"/>
  <c r="F52" i="46"/>
  <c r="D52" i="46"/>
  <c r="L51" i="46"/>
  <c r="H51" i="46"/>
  <c r="G51" i="46"/>
  <c r="F51" i="46"/>
  <c r="D51" i="46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B42" i="42"/>
  <c r="X42" i="42"/>
  <c r="Z42" i="42" s="1"/>
  <c r="W42" i="42"/>
  <c r="Y42" i="42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AB46" i="41"/>
  <c r="AA46" i="41"/>
  <c r="W46" i="41"/>
  <c r="Y46" i="41" s="1"/>
  <c r="V46" i="41"/>
  <c r="X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K43" i="35"/>
  <c r="AM43" i="35" s="1"/>
  <c r="AJ43" i="35"/>
  <c r="AL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K22" i="35"/>
  <c r="AM22" i="35" s="1"/>
  <c r="AJ22" i="35"/>
  <c r="AL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K38" i="34"/>
  <c r="AM38" i="34" s="1"/>
  <c r="AJ38" i="34"/>
  <c r="AL38" i="34" s="1"/>
  <c r="AK37" i="34"/>
  <c r="AM37" i="34" s="1"/>
  <c r="AJ37" i="34"/>
  <c r="AL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K24" i="34"/>
  <c r="AM24" i="34" s="1"/>
  <c r="AJ24" i="34"/>
  <c r="AL24" i="34" s="1"/>
  <c r="AK23" i="34"/>
  <c r="AM23" i="34" s="1"/>
  <c r="AJ23" i="34"/>
  <c r="AL23" i="34" s="1"/>
  <c r="AK22" i="34"/>
  <c r="AM22" i="34" s="1"/>
  <c r="AJ22" i="34"/>
  <c r="AL22" i="34" s="1"/>
  <c r="AK21" i="34"/>
  <c r="AM21" i="34" s="1"/>
  <c r="AJ21" i="34"/>
  <c r="AL21" i="34" s="1"/>
  <c r="AK20" i="34"/>
  <c r="AM20" i="34" s="1"/>
  <c r="AJ20" i="34"/>
  <c r="AL20" i="34" s="1"/>
  <c r="AK19" i="34"/>
  <c r="AM19" i="34" s="1"/>
  <c r="AJ19" i="34"/>
  <c r="AL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K44" i="33"/>
  <c r="AM44" i="33" s="1"/>
  <c r="AJ44" i="33"/>
  <c r="AL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K42" i="32"/>
  <c r="AM42" i="32" s="1"/>
  <c r="AJ42" i="32"/>
  <c r="AL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K38" i="32"/>
  <c r="AM38" i="32" s="1"/>
  <c r="AJ38" i="32"/>
  <c r="AL38" i="32" s="1"/>
  <c r="AK37" i="32"/>
  <c r="AM37" i="32" s="1"/>
  <c r="AJ37" i="32"/>
  <c r="AL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51" i="38" s="1"/>
  <c r="AR51" i="38" s="1"/>
  <c r="AJ45" i="7"/>
  <c r="AR45" i="7" s="1"/>
  <c r="AK44" i="7"/>
  <c r="AU44" i="7" s="1"/>
  <c r="AJ50" i="38" s="1"/>
  <c r="AR50" i="38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41" i="38" s="1"/>
  <c r="AR41" i="38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35" i="38" s="1"/>
  <c r="AR35" i="38" s="1"/>
  <c r="AJ29" i="7"/>
  <c r="AR29" i="7" s="1"/>
  <c r="AK28" i="7"/>
  <c r="AM28" i="7" s="1"/>
  <c r="AJ28" i="7"/>
  <c r="AK27" i="7"/>
  <c r="AU27" i="7" s="1"/>
  <c r="AJ33" i="38" s="1"/>
  <c r="AR33" i="38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7" i="38" s="1"/>
  <c r="AR27" i="38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R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R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28" i="33" l="1"/>
  <c r="AN25" i="34"/>
  <c r="AN45" i="36"/>
  <c r="AN45" i="33"/>
  <c r="Z47" i="41"/>
  <c r="AB45" i="44"/>
  <c r="AN44" i="33"/>
  <c r="AN44" i="35"/>
  <c r="AA43" i="42"/>
  <c r="AN40" i="37"/>
  <c r="AN39" i="34"/>
  <c r="AN39" i="32"/>
  <c r="AN43" i="32"/>
  <c r="AN42" i="32"/>
  <c r="AN44" i="34"/>
  <c r="AN43" i="35"/>
  <c r="Z44" i="41"/>
  <c r="Z46" i="41"/>
  <c r="AA42" i="42"/>
  <c r="AA44" i="43"/>
  <c r="AN38" i="33"/>
  <c r="AN38" i="35"/>
  <c r="AN37" i="32"/>
  <c r="AN37" i="34"/>
  <c r="AN37" i="36"/>
  <c r="AN36" i="37"/>
  <c r="AN27" i="37"/>
  <c r="AA26" i="42"/>
  <c r="AN24" i="33"/>
  <c r="Z26" i="41"/>
  <c r="AA24" i="43"/>
  <c r="AN23" i="34"/>
  <c r="AN23" i="35"/>
  <c r="AN22" i="35"/>
  <c r="AN21" i="34"/>
  <c r="AN19" i="32"/>
  <c r="AN19" i="34"/>
  <c r="Z22" i="41"/>
  <c r="AA20" i="43"/>
  <c r="AD25" i="38"/>
  <c r="U25" i="38" s="1"/>
  <c r="AN31" i="37"/>
  <c r="AN25" i="32"/>
  <c r="AD31" i="38" s="1"/>
  <c r="AN26" i="35"/>
  <c r="Z24" i="41"/>
  <c r="AB23" i="44"/>
  <c r="AN23" i="32"/>
  <c r="AD29" i="38" s="1"/>
  <c r="AN22" i="33"/>
  <c r="AN24" i="35"/>
  <c r="AN21" i="32"/>
  <c r="AD27" i="38" s="1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AB19" i="44"/>
  <c r="AN22" i="36"/>
  <c r="AN21" i="37"/>
  <c r="AN33" i="32"/>
  <c r="AN32" i="33"/>
  <c r="AN36" i="33"/>
  <c r="AN31" i="34"/>
  <c r="AN35" i="34"/>
  <c r="AN30" i="32"/>
  <c r="AN34" i="32"/>
  <c r="AD40" i="38" s="1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AB43" i="44"/>
  <c r="AA21" i="42"/>
  <c r="AA29" i="42"/>
  <c r="AA37" i="42"/>
  <c r="AA45" i="42"/>
  <c r="AN20" i="32"/>
  <c r="AN24" i="32"/>
  <c r="AN28" i="32"/>
  <c r="AN32" i="32"/>
  <c r="AD38" i="38" s="1"/>
  <c r="AN36" i="32"/>
  <c r="AD42" i="38" s="1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AN26" i="37"/>
  <c r="AN30" i="37"/>
  <c r="AN34" i="37"/>
  <c r="AN38" i="37"/>
  <c r="AN42" i="37"/>
  <c r="AN46" i="37"/>
  <c r="AA24" i="42"/>
  <c r="AA32" i="42"/>
  <c r="AA40" i="42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AB17" i="44"/>
  <c r="AN16" i="33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J29" i="38" s="1"/>
  <c r="AR29" i="38" s="1"/>
  <c r="AP31" i="7"/>
  <c r="AR33" i="7"/>
  <c r="AR35" i="7"/>
  <c r="AM27" i="7"/>
  <c r="AM46" i="7"/>
  <c r="AU22" i="7"/>
  <c r="AJ28" i="38" s="1"/>
  <c r="AR28" i="38" s="1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D21" i="38" s="1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J37" i="38" s="1"/>
  <c r="AR37" i="38" s="1"/>
  <c r="AM38" i="7"/>
  <c r="AP38" i="7"/>
  <c r="AP30" i="7"/>
  <c r="AR30" i="7"/>
  <c r="AR26" i="7"/>
  <c r="AU26" i="7"/>
  <c r="AJ32" i="38" s="1"/>
  <c r="AR32" i="38" s="1"/>
  <c r="AQ38" i="7"/>
  <c r="AU38" i="7"/>
  <c r="AJ44" i="38" s="1"/>
  <c r="AR44" i="38" s="1"/>
  <c r="AL46" i="7"/>
  <c r="AM47" i="7"/>
  <c r="AU43" i="7"/>
  <c r="AJ49" i="38" s="1"/>
  <c r="AR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D20" i="38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D15" i="38" s="1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J36" i="38" s="1"/>
  <c r="AR36" i="38" s="1"/>
  <c r="AM32" i="7"/>
  <c r="AU32" i="7"/>
  <c r="AJ38" i="38" s="1"/>
  <c r="AR38" i="38" s="1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D17" i="38" s="1"/>
  <c r="AU17" i="7"/>
  <c r="AJ23" i="38" s="1"/>
  <c r="AR23" i="38" s="1"/>
  <c r="AM17" i="7"/>
  <c r="AM24" i="7"/>
  <c r="AU24" i="7"/>
  <c r="AJ30" i="38" s="1"/>
  <c r="AR30" i="38" s="1"/>
  <c r="AT24" i="7"/>
  <c r="AU28" i="7"/>
  <c r="AJ34" i="38" s="1"/>
  <c r="AR34" i="38" s="1"/>
  <c r="AT28" i="7"/>
  <c r="AM33" i="7"/>
  <c r="AU33" i="7"/>
  <c r="AJ39" i="38" s="1"/>
  <c r="AR39" i="38" s="1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N8" i="33"/>
  <c r="AN11" i="33"/>
  <c r="AN13" i="33"/>
  <c r="AN10" i="32"/>
  <c r="AN12" i="32"/>
  <c r="AN38" i="7"/>
  <c r="AD44" i="38" s="1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R19" i="38" s="1"/>
  <c r="AL8" i="7"/>
  <c r="AR9" i="7"/>
  <c r="AQ12" i="7"/>
  <c r="AL16" i="7"/>
  <c r="AR17" i="7"/>
  <c r="AP21" i="7"/>
  <c r="AL23" i="7"/>
  <c r="AU25" i="7"/>
  <c r="AJ31" i="38" s="1"/>
  <c r="AR31" i="38" s="1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U27" i="38" l="1"/>
  <c r="U44" i="38"/>
  <c r="U31" i="38"/>
  <c r="AD23" i="38"/>
  <c r="U23" i="38" s="1"/>
  <c r="AS54" i="7"/>
  <c r="U38" i="38"/>
  <c r="AN29" i="7"/>
  <c r="AD35" i="38" s="1"/>
  <c r="U35" i="38" s="1"/>
  <c r="U21" i="38"/>
  <c r="U20" i="38"/>
  <c r="U42" i="38"/>
  <c r="U40" i="38"/>
  <c r="AS31" i="7"/>
  <c r="AN30" i="7"/>
  <c r="AD36" i="38" s="1"/>
  <c r="U36" i="38" s="1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D32" i="38" s="1"/>
  <c r="U32" i="38" s="1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D47" i="38" s="1"/>
  <c r="AN18" i="7"/>
  <c r="AN25" i="7"/>
  <c r="AN31" i="7"/>
  <c r="AD37" i="38" s="1"/>
  <c r="U37" i="38" s="1"/>
  <c r="AS33" i="7"/>
  <c r="AN33" i="7"/>
  <c r="AD39" i="38" s="1"/>
  <c r="U39" i="38" s="1"/>
  <c r="AS12" i="7"/>
  <c r="AN40" i="7"/>
  <c r="AD46" i="38" s="1"/>
  <c r="U46" i="38" s="1"/>
  <c r="AS29" i="7"/>
  <c r="AN37" i="7"/>
  <c r="AD43" i="38" s="1"/>
  <c r="U43" i="38" s="1"/>
  <c r="AS37" i="7"/>
  <c r="AS42" i="7"/>
  <c r="AN42" i="7"/>
  <c r="AD48" i="38" s="1"/>
  <c r="AS71" i="7"/>
  <c r="AS15" i="7"/>
  <c r="AS39" i="7"/>
  <c r="AN39" i="7"/>
  <c r="AD45" i="38" s="1"/>
  <c r="U45" i="38" s="1"/>
  <c r="AS65" i="7"/>
  <c r="AN65" i="7"/>
  <c r="AS67" i="7"/>
  <c r="AN67" i="7"/>
  <c r="AN12" i="7"/>
  <c r="AS59" i="7"/>
  <c r="AN59" i="7"/>
  <c r="AN24" i="7"/>
  <c r="AD30" i="38" s="1"/>
  <c r="U30" i="38" s="1"/>
  <c r="AS24" i="7"/>
  <c r="AN85" i="7"/>
  <c r="AS85" i="7"/>
  <c r="AS68" i="7"/>
  <c r="AN68" i="7"/>
  <c r="AN55" i="7"/>
  <c r="AS55" i="7"/>
  <c r="AN35" i="7"/>
  <c r="AD41" i="38" s="1"/>
  <c r="U41" i="38" s="1"/>
  <c r="AS35" i="7"/>
  <c r="AS76" i="7"/>
  <c r="AN76" i="7"/>
  <c r="AN77" i="7"/>
  <c r="AS77" i="7"/>
  <c r="AS19" i="7"/>
  <c r="AN19" i="7"/>
  <c r="AS72" i="7"/>
  <c r="AN72" i="7"/>
  <c r="AS27" i="7"/>
  <c r="AN27" i="7"/>
  <c r="AD33" i="38" s="1"/>
  <c r="U33" i="38" s="1"/>
  <c r="AN69" i="7"/>
  <c r="AS69" i="7"/>
  <c r="AS51" i="7"/>
  <c r="AN51" i="7"/>
  <c r="AS32" i="7"/>
  <c r="AN32" i="7"/>
  <c r="AN8" i="7"/>
  <c r="AD14" i="38" s="1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D16" i="38" s="1"/>
  <c r="AS10" i="7"/>
  <c r="AS20" i="7"/>
  <c r="AN20" i="7"/>
  <c r="AD26" i="38" s="1"/>
  <c r="U26" i="38" s="1"/>
  <c r="AN36" i="7"/>
  <c r="AS36" i="7"/>
  <c r="AN13" i="7"/>
  <c r="AS13" i="7"/>
  <c r="AN22" i="7"/>
  <c r="AD28" i="38" s="1"/>
  <c r="U28" i="38" s="1"/>
  <c r="AS22" i="7"/>
  <c r="AN80" i="7"/>
  <c r="AS80" i="7"/>
  <c r="AS28" i="7"/>
  <c r="AN28" i="7"/>
  <c r="AD34" i="38" s="1"/>
  <c r="U34" i="38" s="1"/>
  <c r="AN88" i="7"/>
  <c r="AS88" i="7"/>
  <c r="AN45" i="7"/>
  <c r="AD51" i="38" s="1"/>
  <c r="U51" i="38" s="1"/>
  <c r="AS45" i="7"/>
  <c r="AS43" i="7"/>
  <c r="AN43" i="7"/>
  <c r="AD49" i="38" s="1"/>
  <c r="U49" i="38" s="1"/>
  <c r="AS56" i="7"/>
  <c r="AN56" i="7"/>
  <c r="AS84" i="7"/>
  <c r="AN84" i="7"/>
  <c r="AS64" i="7"/>
  <c r="AN64" i="7"/>
  <c r="AN48" i="7"/>
  <c r="AS48" i="7"/>
  <c r="AN16" i="7"/>
  <c r="AD22" i="38" s="1"/>
  <c r="U22" i="38" s="1"/>
  <c r="AS16" i="7"/>
  <c r="AN63" i="7"/>
  <c r="AS63" i="7"/>
  <c r="AS44" i="7"/>
  <c r="AN44" i="7"/>
  <c r="AD50" i="38" s="1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U47" i="38" l="1"/>
  <c r="U48" i="38"/>
  <c r="U50" i="38"/>
  <c r="AD24" i="38"/>
  <c r="U24" i="38" s="1"/>
  <c r="AD19" i="38"/>
  <c r="U19" i="38" s="1"/>
  <c r="AD18" i="38"/>
  <c r="U18" i="38" s="1"/>
  <c r="AU21" i="38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W51" i="38" s="1"/>
  <c r="S51" i="38" s="1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W44" i="38" s="1"/>
  <c r="S44" i="38" s="1"/>
  <c r="AI43" i="38"/>
  <c r="AG43" i="38"/>
  <c r="AF43" i="38"/>
  <c r="W43" i="38" s="1"/>
  <c r="S43" i="38" s="1"/>
  <c r="AI42" i="38"/>
  <c r="AG42" i="38"/>
  <c r="AF42" i="38"/>
  <c r="AI41" i="38"/>
  <c r="AG41" i="38"/>
  <c r="AF41" i="38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48" i="38" l="1"/>
  <c r="S48" i="38" s="1"/>
  <c r="T48" i="38" s="1"/>
  <c r="T51" i="38"/>
  <c r="T52" i="46"/>
  <c r="N52" i="46" s="1"/>
  <c r="P52" i="46" s="1"/>
  <c r="W47" i="38"/>
  <c r="S47" i="38" s="1"/>
  <c r="W46" i="38"/>
  <c r="S46" i="38" s="1"/>
  <c r="W50" i="38"/>
  <c r="S50" i="38" s="1"/>
  <c r="T50" i="38" s="1"/>
  <c r="W45" i="38"/>
  <c r="S45" i="38" s="1"/>
  <c r="W49" i="38"/>
  <c r="S49" i="38" s="1"/>
  <c r="T49" i="38" s="1"/>
  <c r="T44" i="38"/>
  <c r="T45" i="46"/>
  <c r="N45" i="46" s="1"/>
  <c r="P45" i="46" s="1"/>
  <c r="W52" i="38"/>
  <c r="S52" i="38" s="1"/>
  <c r="W41" i="38"/>
  <c r="S41" i="38" s="1"/>
  <c r="T41" i="38" s="1"/>
  <c r="T43" i="38"/>
  <c r="T44" i="46"/>
  <c r="N44" i="46" s="1"/>
  <c r="P44" i="46" s="1"/>
  <c r="W33" i="38"/>
  <c r="S33" i="38" s="1"/>
  <c r="T33" i="38" s="1"/>
  <c r="W37" i="38"/>
  <c r="S37" i="38" s="1"/>
  <c r="T37" i="38" s="1"/>
  <c r="W34" i="38"/>
  <c r="S34" i="38" s="1"/>
  <c r="W23" i="38"/>
  <c r="S23" i="38" s="1"/>
  <c r="T23" i="38" s="1"/>
  <c r="W22" i="38"/>
  <c r="S22" i="38" s="1"/>
  <c r="T22" i="38" s="1"/>
  <c r="S40" i="38"/>
  <c r="T40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46" l="1"/>
  <c r="N34" i="46" s="1"/>
  <c r="P34" i="46" s="1"/>
  <c r="T46" i="38"/>
  <c r="T47" i="46"/>
  <c r="N47" i="46" s="1"/>
  <c r="P47" i="46" s="1"/>
  <c r="T45" i="38"/>
  <c r="T46" i="46"/>
  <c r="N46" i="46" s="1"/>
  <c r="P46" i="46" s="1"/>
  <c r="T47" i="38"/>
  <c r="T48" i="46"/>
  <c r="N48" i="46" s="1"/>
  <c r="P48" i="46" s="1"/>
  <c r="T52" i="38"/>
  <c r="T53" i="46"/>
  <c r="N53" i="46" s="1"/>
  <c r="P53" i="46" s="1"/>
  <c r="T34" i="38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H54" i="38" s="1"/>
  <c r="O62" i="46" l="1"/>
  <c r="Q55" i="47"/>
  <c r="H55" i="47" s="1"/>
  <c r="T61" i="38"/>
  <c r="Y8" i="38"/>
  <c r="AB10" i="38"/>
  <c r="B26" i="38"/>
  <c r="Y25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T51" i="46" l="1"/>
  <c r="N51" i="46" s="1"/>
  <c r="P51" i="46" s="1"/>
  <c r="P62" i="46" s="1"/>
  <c r="Y62" i="46" s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<sst xmlns="http://schemas.openxmlformats.org/spreadsheetml/2006/main" count="3530" uniqueCount="495">
  <si>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</si>
  <si>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</si>
  <si>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</si>
  <si>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</si>
  <si>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</si>
  <si>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</si>
  <si>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</si>
  <si>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</si>
  <si>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</si>
  <si>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</si>
  <si>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</si>
  <si>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</si>
  <si>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</si>
  <si>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</si>
  <si>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</si>
  <si>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</si>
  <si>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</si>
  <si>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</si>
  <si>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</si>
  <si>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</si>
  <si>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</si>
  <si>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</si>
  <si>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</si>
  <si>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</si>
  <si>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</si>
  <si>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</si>
  <si>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</si>
  <si>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</si>
  <si>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</si>
  <si>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</si>
  <si>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</si>
  <si>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</si>
  <si>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</si>
  <si>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</si>
  <si>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</si>
  <si>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</si>
  <si>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</si>
  <si>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</si>
  <si>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</si>
  <si>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</si>
  <si>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</si>
  <si>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</si>
  <si>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</si>
  <si>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</si>
  <si>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</si>
  <si>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</si>
  <si>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</si>
  <si>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</si>
  <si>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</si>
  <si>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</si>
  <si>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</si>
  <si>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</si>
  <si>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</si>
  <si>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</si>
  <si>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</si>
  <si>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</si>
  <si>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</si>
  <si>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</si>
  <si>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</si>
  <si>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</si>
  <si>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</si>
  <si>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</si>
  <si>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</si>
  <si>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</si>
  <si>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</si>
  <si>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</si>
  <si>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</si>
  <si>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</si>
  <si>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</si>
  <si>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</si>
  <si>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</si>
  <si>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</si>
  <si>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</si>
  <si>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</si>
  <si>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</si>
  <si>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</si>
  <si>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</si>
  <si>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</si>
  <si>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</si>
  <si>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</si>
  <si>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</si>
  <si>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</si>
  <si>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</si>
  <si>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</si>
  <si>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</si>
  <si>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</si>
  <si>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</si>
  <si>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</si>
  <si>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</si>
  <si>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</si>
  <si>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</si>
  <si>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</si>
  <si>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</si>
  <si>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</si>
  <si>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</si>
  <si>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</si>
  <si>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</si>
  <si>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</si>
  <si>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</si>
  <si>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</si>
  <si>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</si>
  <si>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</si>
  <si>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</si>
  <si>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</si>
  <si>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</si>
  <si>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</si>
  <si>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</si>
  <si>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</si>
  <si>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</si>
  <si>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</si>
  <si>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</si>
  <si>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</si>
  <si>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</si>
  <si>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</si>
  <si>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</si>
  <si>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</si>
  <si>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</si>
  <si>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</si>
  <si>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</si>
  <si>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</si>
  <si>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</si>
  <si>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</si>
  <si>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</si>
  <si>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</si>
  <si>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</si>
  <si>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</si>
  <si>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</si>
  <si>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</si>
  <si>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</si>
  <si>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</si>
  <si>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</si>
  <si>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</si>
  <si>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</si>
  <si>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</si>
  <si>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</si>
  <si>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</si>
  <si>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</si>
  <si>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</si>
  <si>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</si>
  <si>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</si>
  <si>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</si>
  <si>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</si>
  <si>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</si>
  <si>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</si>
  <si>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</si>
  <si>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</si>
  <si>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</si>
  <si>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</si>
  <si>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</si>
  <si>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</si>
  <si>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</si>
  <si>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</si>
  <si>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</si>
  <si>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</si>
  <si>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</si>
  <si>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</si>
  <si>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</si>
  <si>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</si>
  <si>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</si>
  <si>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</si>
  <si>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</si>
  <si>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</si>
  <si>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</si>
  <si>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</si>
  <si>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</si>
  <si>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</si>
  <si>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</si>
  <si>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</si>
  <si>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</si>
  <si>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</si>
  <si>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</si>
  <si>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</si>
  <si>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</si>
  <si>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</si>
  <si>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</si>
  <si>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</si>
  <si>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</si>
  <si>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</si>
  <si>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</si>
  <si>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</si>
  <si>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</si>
  <si>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</si>
  <si>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</si>
  <si>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</si>
  <si>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</si>
  <si>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</si>
  <si>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</si>
  <si>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</si>
  <si>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</si>
  <si>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</si>
  <si>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</si>
  <si>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</si>
  <si>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</si>
  <si>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</si>
  <si>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</si>
  <si>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</si>
  <si>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</si>
  <si>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</si>
  <si>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</si>
  <si>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</si>
  <si>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</si>
  <si>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</si>
  <si>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</si>
  <si>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</si>
  <si>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</si>
  <si>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</si>
  <si>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</si>
  <si>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</si>
  <si>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</si>
  <si>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</si>
  <si>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</si>
  <si>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</si>
  <si>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</si>
  <si>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</si>
  <si>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</si>
  <si>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</si>
  <si>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</si>
  <si>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</si>
  <si>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</si>
  <si>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</si>
  <si>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</si>
  <si>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</si>
  <si>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</si>
  <si>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</si>
  <si>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</si>
  <si>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</si>
  <si>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</si>
  <si>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</si>
  <si>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</si>
  <si>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</si>
  <si>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</si>
  <si>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</si>
  <si>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</si>
  <si>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</si>
  <si>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</si>
  <si>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</si>
  <si>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</si>
  <si>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</si>
  <si>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</si>
  <si>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</si>
  <si>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</si>
  <si>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</si>
  <si>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</si>
  <si>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</si>
  <si>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</si>
  <si>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</si>
  <si>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</si>
  <si>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</si>
  <si>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</si>
  <si>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</si>
  <si>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</si>
  <si>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</si>
  <si>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</si>
  <si>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</si>
  <si>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</si>
  <si>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</si>
  <si>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</si>
  <si>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</si>
  <si>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</si>
  <si>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</si>
  <si>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</si>
  <si>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</si>
  <si>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</si>
  <si>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</si>
  <si>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</si>
  <si>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</si>
  <si>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</si>
  <si>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</si>
  <si>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</si>
  <si>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</si>
  <si>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</si>
  <si>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</si>
  <si>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</si>
  <si>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</si>
  <si>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</si>
  <si>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</si>
  <si>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</si>
  <si>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</si>
  <si>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</si>
  <si>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</si>
  <si>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</si>
  <si>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</si>
  <si>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</si>
  <si>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</si>
  <si>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</si>
  <si>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</si>
  <si>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</si>
  <si>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</si>
  <si>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</si>
  <si>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</si>
  <si>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</si>
  <si>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</si>
  <si>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</si>
  <si>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</si>
  <si>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</si>
  <si>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</si>
  <si>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</si>
  <si>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</si>
  <si>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</si>
  <si>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</si>
  <si>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</si>
  <si>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</si>
  <si>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</si>
  <si>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</si>
  <si>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</si>
  <si>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</si>
  <si>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</si>
  <si>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</si>
  <si>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</si>
  <si>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</si>
  <si>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</si>
  <si>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</si>
  <si>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</si>
  <si>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</si>
  <si>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</si>
  <si>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</si>
  <si>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</si>
  <si>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</si>
  <si>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</si>
  <si>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</si>
  <si>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</si>
  <si>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</si>
  <si>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</si>
  <si>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</si>
  <si>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</si>
  <si>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</si>
  <si>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</si>
  <si>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</si>
  <si>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</si>
  <si>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</si>
  <si>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</si>
  <si>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</si>
  <si>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</si>
  <si>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</si>
  <si>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</si>
  <si>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</si>
  <si>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</si>
  <si>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</si>
  <si>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</si>
  <si>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</si>
  <si>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</si>
  <si>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</si>
  <si>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</si>
  <si>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</si>
  <si>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</si>
  <si>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</si>
  <si>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</si>
  <si>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</si>
  <si>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</si>
  <si>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</si>
  <si>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</si>
  <si>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</si>
  <si>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</si>
  <si>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</si>
  <si>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</si>
  <si>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</si>
  <si>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</si>
  <si>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</si>
  <si>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</si>
  <si>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</si>
  <si>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</si>
  <si>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</si>
  <si>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</si>
  <si>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</si>
  <si>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</si>
  <si>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</si>
  <si>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</si>
  <si>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</si>
  <si>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</si>
  <si>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</si>
  <si>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</si>
  <si>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</si>
  <si>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</si>
  <si>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</si>
  <si>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</si>
  <si>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</si>
  <si>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</si>
  <si>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</si>
  <si>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</si>
  <si>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</si>
  <si>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</si>
  <si>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</si>
  <si>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</si>
  <si>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</si>
  <si>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</si>
  <si>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</si>
  <si>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</si>
  <si>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</si>
  <si>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</si>
  <si>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</si>
  <si>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</si>
  <si>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</si>
  <si>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</si>
  <si>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</si>
  <si>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</si>
  <si>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</si>
  <si>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</si>
  <si>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</si>
  <si>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</si>
  <si>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</si>
  <si>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</si>
  <si>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</si>
  <si>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</si>
  <si>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</si>
  <si>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</si>
  <si>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</si>
  <si>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</si>
  <si>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</si>
  <si>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</si>
  <si>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</si>
  <si>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</si>
  <si>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</si>
  <si>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</si>
  <si>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</si>
  <si>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</si>
  <si>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</si>
  <si>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</si>
  <si>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</si>
  <si>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</si>
  <si>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</si>
  <si>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</si>
  <si>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</si>
  <si>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</si>
  <si>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</si>
  <si>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</si>
  <si>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</si>
  <si>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</si>
  <si>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</si>
  <si>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</si>
  <si>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</si>
  <si>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</si>
  <si>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</si>
  <si>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</si>
  <si>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</si>
  <si>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</si>
  <si>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</si>
  <si>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</si>
  <si>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</si>
  <si>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</si>
  <si>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</si>
  <si>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</si>
  <si>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</si>
  <si>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</si>
  <si>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</si>
  <si>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</si>
  <si>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</si>
  <si>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</si>
  <si>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</si>
  <si>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</si>
  <si>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</si>
  <si>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</si>
  <si>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</si>
  <si>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</si>
  <si>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</si>
  <si>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</si>
  <si>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</si>
  <si>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</si>
  <si>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</si>
  <si>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</si>
  <si>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</si>
  <si>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</si>
  <si>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</si>
  <si>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ESAU GOMEZ</t>
  </si>
  <si>
    <t>SELENE MORA</t>
  </si>
  <si>
    <t>TIJUANA</t>
  </si>
  <si>
    <t>BUENOS AIRES TIJUANA</t>
  </si>
  <si>
    <t>ROSARITO</t>
  </si>
  <si>
    <t>664 518 0006</t>
  </si>
  <si>
    <t>FL LONGBEACH SAND</t>
  </si>
  <si>
    <t>ENTRADA A</t>
  </si>
  <si>
    <t>ENTRADA B</t>
  </si>
  <si>
    <t>ENTRADA C</t>
  </si>
  <si>
    <t>COCINA A</t>
  </si>
  <si>
    <t>COCINA B</t>
  </si>
  <si>
    <t>COCINA C</t>
  </si>
  <si>
    <t>GYM</t>
  </si>
  <si>
    <t>ESTUDIO</t>
  </si>
  <si>
    <t>BO LONGBEACH SILVER</t>
  </si>
  <si>
    <t>SC BASIC WHITE</t>
  </si>
  <si>
    <t>NIÑO A</t>
  </si>
  <si>
    <t>NIÑO B</t>
  </si>
  <si>
    <t>NIÑO C</t>
  </si>
  <si>
    <t>NIÑO D</t>
  </si>
  <si>
    <t>NIÑA A</t>
  </si>
  <si>
    <t>NIÑA B</t>
  </si>
  <si>
    <t>REC PRINCIPAL A</t>
  </si>
  <si>
    <t>REC PRINCIPAL B</t>
  </si>
  <si>
    <t>REC PRINCIPAL C</t>
  </si>
  <si>
    <t>REC PRINCIPAL D</t>
  </si>
  <si>
    <t>TC</t>
  </si>
  <si>
    <t>TOTAL MNX =</t>
  </si>
  <si>
    <t>SELENE MORA MONEDA NACIONAL</t>
  </si>
  <si>
    <t>BS 111825EG-3REV1</t>
  </si>
  <si>
    <t>BO LONBEACH SAMBA</t>
  </si>
  <si>
    <t>BO LONGBEACH SAMBA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</si>
</sst>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91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left"/>
    </xf>
    <xf numFmtId="44" fontId="64" fillId="3" borderId="0" xfId="0" applyNumberFormat="1" applyFont="1" applyFill="1"/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topLeftCell="A25" zoomScale="85" zoomScaleNormal="85" workbookViewId="0">
      <selection activeCell="P72" sqref="P72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 ca="1">'CALCULATOR SHEET'!T9</f>
        <v>45986</v>
      </c>
      <c r="J5" s="288"/>
      <c r="K5" s="288"/>
      <c r="L5" s="288"/>
      <c r="M5" s="289" t="str">
        <f>IF('CALCULATOR SHEET'!W2=1,"DOCUMENT #","DOCUMENTO #")</f>
        <v>DOCUMENT #</v>
      </c>
      <c r="N5" s="366" t="str">
        <f>IF('CALCULATOR SHEET'!T5&lt;&gt;"",'CALCULATOR SHEET'!T5,"")</f>
        <v>BS 111825EG-3REV1</v>
      </c>
      <c r="O5" s="366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>SELENE MORA MONEDA NACIONAL</v>
      </c>
      <c r="J7" s="367" t="str">
        <f>IF('CALCULATOR SHEET'!H8&lt;&gt;"","Calle: "&amp;'CALCULATOR SHEET'!H10&amp;", Numero: "&amp;'CALCULATOR SHEET'!H11,"")</f>
        <v>Calle: ROSARITO, Numero: 20533</v>
      </c>
      <c r="K7" s="367"/>
      <c r="L7" s="367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7" t="str">
        <f>IF('CALCULATOR SHEET'!H9&lt;&gt;"","Frac: "&amp;'CALCULATOR SHEET'!H9&amp;" - "&amp;'CALCULATOR SHEET'!H8,"")</f>
        <v>Frac: BUENOS AIRES TIJUANA - TIJUANA</v>
      </c>
      <c r="K8" s="367"/>
      <c r="L8" s="367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SELENE MORA</v>
      </c>
      <c r="J10" s="367" t="str">
        <f>IF('CALCULATOR SHEET'!K11&lt;&gt;"",'CALCULATOR SHEET'!$K$11&amp;" Cell: "&amp;'CALCULATOR SHEET'!K10,"")</f>
        <v/>
      </c>
      <c r="K10" s="367"/>
      <c r="L10" s="367"/>
      <c r="N10" s="367" t="str">
        <f>IF('CALCULATOR SHEET'!S70&lt;&gt;"",'CALCULATOR SHEET'!S70,"")</f>
        <v>ESAU GOMEZ</v>
      </c>
      <c r="O10" s="367"/>
      <c r="P10" s="367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ROLLER</v>
      </c>
      <c r="F14" s="170" t="str">
        <f>IF('CALCULATOR SHEET'!E13&lt;&gt;"",'CALCULATOR SHEET'!E13,"")</f>
        <v>GROUP 1</v>
      </c>
      <c r="G14" s="170" t="str">
        <f>IF('CALCULATOR SHEET'!G13&lt;&gt;"",'CALCULATOR SHEET'!G13,"")</f>
        <v>FL LONGBEACH SAND</v>
      </c>
      <c r="H14" s="170" t="str">
        <f>IF('CALCULATOR SHEET'!H13&lt;&gt;"",'CALCULATOR SHEET'!H13,"")</f>
        <v>ENTRADA A</v>
      </c>
      <c r="I14" s="171">
        <f>IF(E14&lt;&gt;"",'CALCULATOR SHEET'!I13,"")</f>
        <v>47</v>
      </c>
      <c r="J14" s="171">
        <f>IF(I14&lt;&gt;"",'CALCULATOR SHEET'!J13,"")</f>
        <v>116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171</v>
      </c>
      <c r="O14" s="164"/>
      <c r="P14" s="167">
        <f>IF(D14&lt;&gt;"",N14*D14,"")</f>
        <v>171</v>
      </c>
      <c r="Q14" s="194"/>
      <c r="R14" s="64" t="s">
        <v>200</v>
      </c>
      <c r="T14" s="160">
        <f>IF('CALCULATOR SHEET'!$T$58="PESOS",'CALCULATOR SHEET'!S13*'CALCULATOR SHEET'!$W$6,'CALCULATOR SHEET'!S13)</f>
        <v>171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ROLLER</v>
      </c>
      <c r="F15" s="175" t="str">
        <f>IF('CALCULATOR SHEET'!E14&lt;&gt;"",'CALCULATOR SHEET'!E14,"")</f>
        <v>GROUP 1</v>
      </c>
      <c r="G15" s="175" t="str">
        <f>IF('CALCULATOR SHEET'!G14&lt;&gt;"",'CALCULATOR SHEET'!G14,"")</f>
        <v>FL LONGBEACH SAND</v>
      </c>
      <c r="H15" s="175" t="str">
        <f>IF('CALCULATOR SHEET'!H14&lt;&gt;"",'CALCULATOR SHEET'!H14,"")</f>
        <v>ENTRADA B</v>
      </c>
      <c r="I15" s="176">
        <f>IF(E15&lt;&gt;"",'CALCULATOR SHEET'!I14,"")</f>
        <v>40.5</v>
      </c>
      <c r="J15" s="176">
        <f>IF(I15&lt;&gt;"",'CALCULATOR SHEET'!J14,"")</f>
        <v>116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159</v>
      </c>
      <c r="O15" s="165"/>
      <c r="P15" s="166">
        <f>IF(D15&lt;&gt;"",N15*D15,"")</f>
        <v>159</v>
      </c>
      <c r="Q15" s="195"/>
      <c r="R15" s="64" t="s">
        <v>200</v>
      </c>
      <c r="T15" s="160">
        <f>IF('CALCULATOR SHEET'!$T$58="PESOS",'CALCULATOR SHEET'!S14*'CALCULATOR SHEET'!$W$6,'CALCULATOR SHEET'!S14)</f>
        <v>159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ROLLER</v>
      </c>
      <c r="F16" s="175" t="str">
        <f>IF('CALCULATOR SHEET'!E15&lt;&gt;"",'CALCULATOR SHEET'!E15,"")</f>
        <v>GROUP 1</v>
      </c>
      <c r="G16" s="175" t="str">
        <f>IF('CALCULATOR SHEET'!G15&lt;&gt;"",'CALCULATOR SHEET'!G15,"")</f>
        <v>FL LONGBEACH SAND</v>
      </c>
      <c r="H16" s="175" t="str">
        <f>IF('CALCULATOR SHEET'!H15&lt;&gt;"",'CALCULATOR SHEET'!H15,"")</f>
        <v>ENTRADA C</v>
      </c>
      <c r="I16" s="176">
        <f>IF(E16&lt;&gt;"",'CALCULATOR SHEET'!I15,"")</f>
        <v>47</v>
      </c>
      <c r="J16" s="176">
        <f>IF(I16&lt;&gt;"",'CALCULATOR SHEET'!J15,"")</f>
        <v>116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171</v>
      </c>
      <c r="O16" s="165"/>
      <c r="P16" s="166">
        <f t="shared" ref="P16:P53" si="1">IF(D16&lt;&gt;"",N16*D16,"")</f>
        <v>171</v>
      </c>
      <c r="Q16" s="195"/>
      <c r="R16" s="64" t="s">
        <v>200</v>
      </c>
      <c r="T16" s="160">
        <f>IF('CALCULATOR SHEET'!$T$58="PESOS",'CALCULATOR SHEET'!S15*'CALCULATOR SHEET'!$W$6,'CALCULATOR SHEET'!S15)</f>
        <v>171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ROLLER</v>
      </c>
      <c r="F17" s="175" t="str">
        <f>IF('CALCULATOR SHEET'!E16&lt;&gt;"",'CALCULATOR SHEET'!E16,"")</f>
        <v>GROUP 1</v>
      </c>
      <c r="G17" s="175" t="str">
        <f>IF('CALCULATOR SHEET'!G16&lt;&gt;"",'CALCULATOR SHEET'!G16,"")</f>
        <v>FL LONGBEACH SAND</v>
      </c>
      <c r="H17" s="175" t="str">
        <f>IF('CALCULATOR SHEET'!H16&lt;&gt;"",'CALCULATOR SHEET'!H16,"")</f>
        <v>COCINA A</v>
      </c>
      <c r="I17" s="176">
        <f>IF(E17&lt;&gt;"",'CALCULATOR SHEET'!I16,"")</f>
        <v>36</v>
      </c>
      <c r="J17" s="176">
        <f>IF(I17&lt;&gt;"",'CALCULATOR SHEET'!J16,"")</f>
        <v>117.5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R</v>
      </c>
      <c r="M17" s="174" t="str">
        <f>IF(E17&lt;&gt;"",IF(OR('CALCULATOR SHEET'!P16&lt;&gt;"NO",'CALCULATOR SHEET'!Q16&lt;&gt;"NO"),"YES",""),"")</f>
        <v/>
      </c>
      <c r="N17" s="177">
        <f t="shared" si="0"/>
        <v>147</v>
      </c>
      <c r="O17" s="165"/>
      <c r="P17" s="166">
        <f t="shared" si="1"/>
        <v>147</v>
      </c>
      <c r="Q17" s="195"/>
      <c r="R17" s="64" t="s">
        <v>200</v>
      </c>
      <c r="T17" s="160">
        <f>IF('CALCULATOR SHEET'!$T$58="PESOS",'CALCULATOR SHEET'!S16*'CALCULATOR SHEET'!$W$6,'CALCULATOR SHEET'!S16)</f>
        <v>147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ROLLER</v>
      </c>
      <c r="F18" s="175" t="str">
        <f>IF('CALCULATOR SHEET'!E17&lt;&gt;"",'CALCULATOR SHEET'!E17,"")</f>
        <v>GROUP 1</v>
      </c>
      <c r="G18" s="175" t="str">
        <f>IF('CALCULATOR SHEET'!G17&lt;&gt;"",'CALCULATOR SHEET'!G17,"")</f>
        <v>FL LONGBEACH SAND</v>
      </c>
      <c r="H18" s="175" t="str">
        <f>IF('CALCULATOR SHEET'!H17&lt;&gt;"",'CALCULATOR SHEET'!H17,"")</f>
        <v>COCINA B</v>
      </c>
      <c r="I18" s="176">
        <f>IF(E18&lt;&gt;"",'CALCULATOR SHEET'!I17,"")</f>
        <v>32.5</v>
      </c>
      <c r="J18" s="176">
        <f>IF(I18&lt;&gt;"",'CALCULATOR SHEET'!J17,"")</f>
        <v>117.5</v>
      </c>
      <c r="K18" s="169" t="str">
        <f>IF('CALCULATOR SHEET'!K17&lt;&gt;"",IF('CALCULATOR SHEET'!$W$2=1,'CALCULATOR SHEET'!K17,VLOOKUP('CALCULATOR SHEET'!K17,GENERAL!$H$6:$I$11,2,0)),"")</f>
        <v>METAL CHAIN</v>
      </c>
      <c r="L18" s="174" t="str">
        <f>IF('CALCULATOR SHEET'!M17&lt;&gt;"",'CALCULATOR SHEET'!M17,"")</f>
        <v>L</v>
      </c>
      <c r="M18" s="174" t="str">
        <f>IF(E18&lt;&gt;"",IF(OR('CALCULATOR SHEET'!P17&lt;&gt;"NO",'CALCULATOR SHEET'!Q17&lt;&gt;"NO"),"YES",""),"")</f>
        <v/>
      </c>
      <c r="N18" s="177">
        <f t="shared" si="0"/>
        <v>147</v>
      </c>
      <c r="O18" s="165"/>
      <c r="P18" s="166">
        <f t="shared" si="1"/>
        <v>147</v>
      </c>
      <c r="Q18" s="195"/>
      <c r="R18" s="64" t="s">
        <v>200</v>
      </c>
      <c r="T18" s="160">
        <f>IF('CALCULATOR SHEET'!$T$58="PESOS",'CALCULATOR SHEET'!S17*'CALCULATOR SHEET'!$W$6,'CALCULATOR SHEET'!S17)</f>
        <v>147</v>
      </c>
    </row>
    <row r="19" spans="3:22" s="64" customFormat="1" ht="45" customHeight="1">
      <c r="C19" s="173">
        <f t="shared" si="2"/>
        <v>6</v>
      </c>
      <c r="D19" s="174">
        <f>IF('CALCULATOR SHEET'!C18&lt;&gt;"",'CALCULATOR SHEET'!C18,"")</f>
        <v>1</v>
      </c>
      <c r="E19" s="170" t="str">
        <f>IF('CALCULATOR SHEET'!D18&lt;&gt;"",IF('CALCULATOR SHEET'!$W$2=1,'CALCULATOR SHEET'!D18,VLOOKUP('CALCULATOR SHEET'!D18,GENERAL!$J$6:$K$13,2,0)),"")</f>
        <v>ROLLER</v>
      </c>
      <c r="F19" s="175" t="str">
        <f>IF('CALCULATOR SHEET'!E18&lt;&gt;"",'CALCULATOR SHEET'!E18,"")</f>
        <v>GROUP 1</v>
      </c>
      <c r="G19" s="175" t="str">
        <f>IF('CALCULATOR SHEET'!G18&lt;&gt;"",'CALCULATOR SHEET'!G18,"")</f>
        <v>FL LONGBEACH SAND</v>
      </c>
      <c r="H19" s="175" t="str">
        <f>IF('CALCULATOR SHEET'!H18&lt;&gt;"",'CALCULATOR SHEET'!H18,"")</f>
        <v>COCINA C</v>
      </c>
      <c r="I19" s="176">
        <f>IF(E19&lt;&gt;"",'CALCULATOR SHEET'!I18,"")</f>
        <v>39.5</v>
      </c>
      <c r="J19" s="176">
        <f>IF(I19&lt;&gt;"",'CALCULATOR SHEET'!J18,"")</f>
        <v>117.5</v>
      </c>
      <c r="K19" s="169" t="str">
        <f>IF('CALCULATOR SHEET'!K18&lt;&gt;"",IF('CALCULATOR SHEET'!$W$2=1,'CALCULATOR SHEET'!K18,VLOOKUP('CALCULATOR SHEET'!K18,GENERAL!$H$6:$I$11,2,0)),"")</f>
        <v>METAL CHAIN</v>
      </c>
      <c r="L19" s="174" t="str">
        <f>IF('CALCULATOR SHEET'!M18&lt;&gt;"",'CALCULATOR SHEET'!M18,"")</f>
        <v>R</v>
      </c>
      <c r="M19" s="174" t="str">
        <f>IF(E19&lt;&gt;"",IF(OR('CALCULATOR SHEET'!P18&lt;&gt;"NO",'CALCULATOR SHEET'!Q18&lt;&gt;"NO"),"YES",""),"")</f>
        <v/>
      </c>
      <c r="N19" s="177">
        <f t="shared" si="0"/>
        <v>159</v>
      </c>
      <c r="O19" s="165"/>
      <c r="P19" s="166">
        <f t="shared" si="1"/>
        <v>159</v>
      </c>
      <c r="Q19" s="195"/>
      <c r="R19" s="64" t="str">
        <f t="shared" ref="R19:R60" si="3">IF(E19&lt;&gt;"","VERDADERO","FALSO")</f>
        <v>VERDADERO</v>
      </c>
      <c r="T19" s="160">
        <f>IF('CALCULATOR SHEET'!$T$58="PESOS",'CALCULATOR SHEET'!S18*'CALCULATOR SHEET'!$W$6,'CALCULATOR SHEET'!S18)</f>
        <v>159</v>
      </c>
    </row>
    <row r="20" spans="3:22" s="64" customFormat="1" ht="45" customHeight="1">
      <c r="C20" s="173">
        <f t="shared" si="2"/>
        <v>7</v>
      </c>
      <c r="D20" s="174">
        <f>IF('CALCULATOR SHEET'!C19&lt;&gt;"",'CALCULATOR SHEET'!C19,"")</f>
        <v>1</v>
      </c>
      <c r="E20" s="170" t="str">
        <f>IF('CALCULATOR SHEET'!D19&lt;&gt;"",IF('CALCULATOR SHEET'!$W$2=1,'CALCULATOR SHEET'!D19,VLOOKUP('CALCULATOR SHEET'!D19,GENERAL!$J$6:$K$13,2,0)),"")</f>
        <v>ROLLER</v>
      </c>
      <c r="F20" s="175" t="str">
        <f>IF('CALCULATOR SHEET'!E19&lt;&gt;"",'CALCULATOR SHEET'!E19,"")</f>
        <v>GROUP 1</v>
      </c>
      <c r="G20" s="175" t="str">
        <f>IF('CALCULATOR SHEET'!G19&lt;&gt;"",'CALCULATOR SHEET'!G19,"")</f>
        <v>FL LONGBEACH SAND</v>
      </c>
      <c r="H20" s="175" t="str">
        <f>IF('CALCULATOR SHEET'!H19&lt;&gt;"",'CALCULATOR SHEET'!H19,"")</f>
        <v>GYM</v>
      </c>
      <c r="I20" s="176">
        <f>IF(E20&lt;&gt;"",'CALCULATOR SHEET'!I19,"")</f>
        <v>28.5</v>
      </c>
      <c r="J20" s="176">
        <f>IF(I20&lt;&gt;"",'CALCULATOR SHEET'!J19,"")</f>
        <v>112.5</v>
      </c>
      <c r="K20" s="169" t="str">
        <f>IF('CALCULATOR SHEET'!K19&lt;&gt;"",IF('CALCULATOR SHEET'!$W$2=1,'CALCULATOR SHEET'!K19,VLOOKUP('CALCULATOR SHEET'!K19,GENERAL!$H$6:$I$11,2,0)),"")</f>
        <v>METAL CHAIN</v>
      </c>
      <c r="L20" s="174" t="str">
        <f>IF('CALCULATOR SHEET'!M19&lt;&gt;"",'CALCULATOR SHEET'!M19,"")</f>
        <v>R</v>
      </c>
      <c r="M20" s="174" t="str">
        <f>IF(E20&lt;&gt;"",IF(OR('CALCULATOR SHEET'!P19&lt;&gt;"NO",'CALCULATOR SHEET'!Q19&lt;&gt;"NO"),"YES",""),"")</f>
        <v/>
      </c>
      <c r="N20" s="177">
        <f t="shared" si="0"/>
        <v>130</v>
      </c>
      <c r="O20" s="165"/>
      <c r="P20" s="166">
        <f t="shared" si="1"/>
        <v>130</v>
      </c>
      <c r="Q20" s="195"/>
      <c r="R20" s="64" t="str">
        <f t="shared" si="3"/>
        <v>VERDADERO</v>
      </c>
      <c r="T20" s="160">
        <f>IF('CALCULATOR SHEET'!$T$58="PESOS",'CALCULATOR SHEET'!S19*'CALCULATOR SHEET'!$W$6,'CALCULATOR SHEET'!S19)</f>
        <v>130</v>
      </c>
      <c r="V20" s="162"/>
    </row>
    <row r="21" spans="3:22" s="64" customFormat="1" ht="45" customHeight="1">
      <c r="C21" s="173">
        <f t="shared" si="2"/>
        <v>8</v>
      </c>
      <c r="D21" s="174">
        <f>IF('CALCULATOR SHEET'!C20&lt;&gt;"",'CALCULATOR SHEET'!C20,"")</f>
        <v>1</v>
      </c>
      <c r="E21" s="170" t="str">
        <f>IF('CALCULATOR SHEET'!D20&lt;&gt;"",IF('CALCULATOR SHEET'!$W$2=1,'CALCULATOR SHEET'!D20,VLOOKUP('CALCULATOR SHEET'!D20,GENERAL!$J$6:$K$13,2,0)),"")</f>
        <v>ROLLER</v>
      </c>
      <c r="F21" s="175" t="str">
        <f>IF('CALCULATOR SHEET'!E20&lt;&gt;"",'CALCULATOR SHEET'!E20,"")</f>
        <v>GROUP 1</v>
      </c>
      <c r="G21" s="175" t="str">
        <f>IF('CALCULATOR SHEET'!G20&lt;&gt;"",'CALCULATOR SHEET'!G20,"")</f>
        <v>FL LONGBEACH SAND</v>
      </c>
      <c r="H21" s="175" t="str">
        <f>IF('CALCULATOR SHEET'!H20&lt;&gt;"",'CALCULATOR SHEET'!H20,"")</f>
        <v>ESTUDIO</v>
      </c>
      <c r="I21" s="176">
        <f>IF(E21&lt;&gt;"",'CALCULATOR SHEET'!I20,"")</f>
        <v>58</v>
      </c>
      <c r="J21" s="176">
        <f>IF(I21&lt;&gt;"",'CALCULATOR SHEET'!J20,"")</f>
        <v>112.5</v>
      </c>
      <c r="K21" s="169" t="str">
        <f>IF('CALCULATOR SHEET'!K20&lt;&gt;"",IF('CALCULATOR SHEET'!$W$2=1,'CALCULATOR SHEET'!K20,VLOOKUP('CALCULATOR SHEET'!K20,GENERAL!$H$6:$I$11,2,0)),"")</f>
        <v>METAL CHAIN</v>
      </c>
      <c r="L21" s="174" t="str">
        <f>IF('CALCULATOR SHEET'!M20&lt;&gt;"",'CALCULATOR SHEET'!M20,"")</f>
        <v>L</v>
      </c>
      <c r="M21" s="174" t="str">
        <f>IF(E21&lt;&gt;"",IF(OR('CALCULATOR SHEET'!P20&lt;&gt;"NO",'CALCULATOR SHEET'!Q20&lt;&gt;"NO"),"YES",""),"")</f>
        <v/>
      </c>
      <c r="N21" s="177">
        <f t="shared" si="0"/>
        <v>190</v>
      </c>
      <c r="O21" s="165"/>
      <c r="P21" s="166">
        <f t="shared" si="1"/>
        <v>190</v>
      </c>
      <c r="Q21" s="195"/>
      <c r="R21" s="64" t="str">
        <f t="shared" si="3"/>
        <v>VERDADERO</v>
      </c>
      <c r="T21" s="160">
        <f>IF('CALCULATOR SHEET'!$T$58="PESOS",'CALCULATOR SHEET'!S20*'CALCULATOR SHEET'!$W$6,'CALCULATOR SHEET'!S20)</f>
        <v>190</v>
      </c>
      <c r="V21" s="162"/>
    </row>
    <row r="22" spans="3:22" s="64" customFormat="1" ht="45" customHeight="1">
      <c r="C22" s="173">
        <f t="shared" si="2"/>
        <v>9</v>
      </c>
      <c r="D22" s="174">
        <f>IF('CALCULATOR SHEET'!C21&lt;&gt;"",'CALCULATOR SHEET'!C21,"")</f>
        <v>1</v>
      </c>
      <c r="E22" s="170" t="str">
        <f>IF('CALCULATOR SHEET'!D21&lt;&gt;"",IF('CALCULATOR SHEET'!$W$2=1,'CALCULATOR SHEET'!D21,VLOOKUP('CALCULATOR SHEET'!D21,GENERAL!$J$6:$K$13,2,0)),"")</f>
        <v>ROLLER</v>
      </c>
      <c r="F22" s="175" t="str">
        <f>IF('CALCULATOR SHEET'!E21&lt;&gt;"",'CALCULATOR SHEET'!E21,"")</f>
        <v>GROUP 2</v>
      </c>
      <c r="G22" s="175" t="str">
        <f>IF('CALCULATOR SHEET'!G21&lt;&gt;"",'CALCULATOR SHEET'!G21,"")</f>
        <v>BO LONGBEACH SILVER</v>
      </c>
      <c r="H22" s="175" t="str">
        <f>IF('CALCULATOR SHEET'!H21&lt;&gt;"",'CALCULATOR SHEET'!H21,"")</f>
        <v>NIÑO A</v>
      </c>
      <c r="I22" s="176">
        <f>IF(E22&lt;&gt;"",'CALCULATOR SHEET'!I21,"")</f>
        <v>35.5</v>
      </c>
      <c r="J22" s="176">
        <f>IF(I22&lt;&gt;"",'CALCULATOR SHEET'!J21,"")</f>
        <v>112</v>
      </c>
      <c r="K22" s="169" t="str">
        <f>IF('CALCULATOR SHEET'!K21&lt;&gt;"",IF('CALCULATOR SHEET'!$W$2=1,'CALCULATOR SHEET'!K21,VLOOKUP('CALCULATOR SHEET'!K21,GENERAL!$H$6:$I$11,2,0)),"")</f>
        <v>METAL CHAIN</v>
      </c>
      <c r="L22" s="174" t="str">
        <f>IF('CALCULATOR SHEET'!M21&lt;&gt;"",'CALCULATOR SHEET'!M21,"")</f>
        <v>L</v>
      </c>
      <c r="M22" s="174" t="str">
        <f>IF(E22&lt;&gt;"",IF(OR('CALCULATOR SHEET'!P21&lt;&gt;"NO",'CALCULATOR SHEET'!Q21&lt;&gt;"NO"),"YES",""),"")</f>
        <v>YES</v>
      </c>
      <c r="N22" s="177">
        <f t="shared" si="0"/>
        <v>197</v>
      </c>
      <c r="O22" s="165"/>
      <c r="P22" s="166">
        <f t="shared" si="1"/>
        <v>197</v>
      </c>
      <c r="Q22" s="195"/>
      <c r="R22" s="64" t="str">
        <f t="shared" si="3"/>
        <v>VERDADERO</v>
      </c>
      <c r="T22" s="160">
        <f>IF('CALCULATOR SHEET'!$T$58="PESOS",'CALCULATOR SHEET'!S21*'CALCULATOR SHEET'!$W$6,'CALCULATOR SHEET'!S21)</f>
        <v>197</v>
      </c>
      <c r="V22" s="162"/>
    </row>
    <row r="23" spans="3:22" s="64" customFormat="1" ht="45" customHeight="1">
      <c r="C23" s="173">
        <f t="shared" si="2"/>
        <v>10</v>
      </c>
      <c r="D23" s="174">
        <f>IF('CALCULATOR SHEET'!C22&lt;&gt;"",'CALCULATOR SHEET'!C22,"")</f>
        <v>1</v>
      </c>
      <c r="E23" s="170" t="str">
        <f>IF('CALCULATOR SHEET'!D22&lt;&gt;"",IF('CALCULATOR SHEET'!$W$2=1,'CALCULATOR SHEET'!D22,VLOOKUP('CALCULATOR SHEET'!D22,GENERAL!$J$6:$K$13,2,0)),"")</f>
        <v>ROLLER</v>
      </c>
      <c r="F23" s="175" t="str">
        <f>IF('CALCULATOR SHEET'!E22&lt;&gt;"",'CALCULATOR SHEET'!E22,"")</f>
        <v>GROUP 1</v>
      </c>
      <c r="G23" s="175" t="str">
        <f>IF('CALCULATOR SHEET'!G22&lt;&gt;"",'CALCULATOR SHEET'!G22,"")</f>
        <v>SC BASIC WHITE</v>
      </c>
      <c r="H23" s="175" t="str">
        <f>IF('CALCULATOR SHEET'!H22&lt;&gt;"",'CALCULATOR SHEET'!H22,"")</f>
        <v>NIÑO A</v>
      </c>
      <c r="I23" s="176">
        <f>IF(E23&lt;&gt;"",'CALCULATOR SHEET'!I22,"")</f>
        <v>35.5</v>
      </c>
      <c r="J23" s="176">
        <f>IF(I23&lt;&gt;"",'CALCULATOR SHEET'!J22,"")</f>
        <v>112</v>
      </c>
      <c r="K23" s="169" t="str">
        <f>IF('CALCULATOR SHEET'!K22&lt;&gt;"",IF('CALCULATOR SHEET'!$W$2=1,'CALCULATOR SHEET'!K22,VLOOKUP('CALCULATOR SHEET'!K22,GENERAL!$H$6:$I$11,2,0)),"")</f>
        <v>METAL CHAIN</v>
      </c>
      <c r="L23" s="174" t="str">
        <f>IF('CALCULATOR SHEET'!M22&lt;&gt;"",'CALCULATOR SHEET'!M22,"")</f>
        <v>L</v>
      </c>
      <c r="M23" s="174" t="str">
        <f>IF(E23&lt;&gt;"",IF(OR('CALCULATOR SHEET'!P22&lt;&gt;"NO",'CALCULATOR SHEET'!Q22&lt;&gt;"NO"),"YES",""),"")</f>
        <v/>
      </c>
      <c r="N23" s="177">
        <f t="shared" si="0"/>
        <v>144</v>
      </c>
      <c r="O23" s="165"/>
      <c r="P23" s="166">
        <f t="shared" si="1"/>
        <v>144</v>
      </c>
      <c r="Q23" s="195"/>
      <c r="R23" s="64" t="str">
        <f t="shared" si="3"/>
        <v>VERDADERO</v>
      </c>
      <c r="T23" s="160">
        <f>IF('CALCULATOR SHEET'!$T$58="PESOS",'CALCULATOR SHEET'!S22*'CALCULATOR SHEET'!$W$6,'CALCULATOR SHEET'!S22)</f>
        <v>144</v>
      </c>
      <c r="V23" s="162"/>
    </row>
    <row r="24" spans="3:22" s="64" customFormat="1" ht="45" customHeight="1">
      <c r="C24" s="173">
        <f t="shared" si="2"/>
        <v>11</v>
      </c>
      <c r="D24" s="174">
        <f>IF('CALCULATOR SHEET'!C23&lt;&gt;"",'CALCULATOR SHEET'!C23,"")</f>
        <v>1</v>
      </c>
      <c r="E24" s="170" t="str">
        <f>IF('CALCULATOR SHEET'!D23&lt;&gt;"",IF('CALCULATOR SHEET'!$W$2=1,'CALCULATOR SHEET'!D23,VLOOKUP('CALCULATOR SHEET'!D23,GENERAL!$J$6:$K$13,2,0)),"")</f>
        <v>ROLLER</v>
      </c>
      <c r="F24" s="175" t="str">
        <f>IF('CALCULATOR SHEET'!E23&lt;&gt;"",'CALCULATOR SHEET'!E23,"")</f>
        <v>GROUP 2</v>
      </c>
      <c r="G24" s="175" t="str">
        <f>IF('CALCULATOR SHEET'!G23&lt;&gt;"",'CALCULATOR SHEET'!G23,"")</f>
        <v>BO LONGBEACH SILVER</v>
      </c>
      <c r="H24" s="175" t="str">
        <f>IF('CALCULATOR SHEET'!H23&lt;&gt;"",'CALCULATOR SHEET'!H23,"")</f>
        <v>NIÑO B</v>
      </c>
      <c r="I24" s="176">
        <f>IF(E24&lt;&gt;"",'CALCULATOR SHEET'!I23,"")</f>
        <v>35.5</v>
      </c>
      <c r="J24" s="176">
        <f>IF(I24&lt;&gt;"",'CALCULATOR SHEET'!J23,"")</f>
        <v>112</v>
      </c>
      <c r="K24" s="169" t="str">
        <f>IF('CALCULATOR SHEET'!K23&lt;&gt;"",IF('CALCULATOR SHEET'!$W$2=1,'CALCULATOR SHEET'!K23,VLOOKUP('CALCULATOR SHEET'!K23,GENERAL!$H$6:$I$11,2,0)),"")</f>
        <v>METAL CHAIN</v>
      </c>
      <c r="L24" s="174" t="str">
        <f>IF('CALCULATOR SHEET'!M23&lt;&gt;"",'CALCULATOR SHEET'!M23,"")</f>
        <v>R</v>
      </c>
      <c r="M24" s="174" t="str">
        <f>IF(E24&lt;&gt;"",IF(OR('CALCULATOR SHEET'!P23&lt;&gt;"NO",'CALCULATOR SHEET'!Q23&lt;&gt;"NO"),"YES",""),"")</f>
        <v>YES</v>
      </c>
      <c r="N24" s="177">
        <f t="shared" si="0"/>
        <v>197</v>
      </c>
      <c r="O24" s="165"/>
      <c r="P24" s="166">
        <f t="shared" si="1"/>
        <v>197</v>
      </c>
      <c r="Q24" s="195"/>
      <c r="R24" s="64" t="str">
        <f t="shared" si="3"/>
        <v>VERDADERO</v>
      </c>
      <c r="T24" s="160">
        <f>IF('CALCULATOR SHEET'!$T$58="PESOS",'CALCULATOR SHEET'!S23*'CALCULATOR SHEET'!$W$6,'CALCULATOR SHEET'!S23)</f>
        <v>197</v>
      </c>
      <c r="V24" s="162"/>
    </row>
    <row r="25" spans="3:22" s="64" customFormat="1" ht="45" customHeight="1">
      <c r="C25" s="173">
        <f t="shared" si="2"/>
        <v>12</v>
      </c>
      <c r="D25" s="174">
        <f>IF('CALCULATOR SHEET'!C24&lt;&gt;"",'CALCULATOR SHEET'!C24,"")</f>
        <v>1</v>
      </c>
      <c r="E25" s="170" t="str">
        <f>IF('CALCULATOR SHEET'!D24&lt;&gt;"",IF('CALCULATOR SHEET'!$W$2=1,'CALCULATOR SHEET'!D24,VLOOKUP('CALCULATOR SHEET'!D24,GENERAL!$J$6:$K$13,2,0)),"")</f>
        <v>ROLLER</v>
      </c>
      <c r="F25" s="175" t="str">
        <f>IF('CALCULATOR SHEET'!E24&lt;&gt;"",'CALCULATOR SHEET'!E24,"")</f>
        <v>GROUP 1</v>
      </c>
      <c r="G25" s="175" t="str">
        <f>IF('CALCULATOR SHEET'!G24&lt;&gt;"",'CALCULATOR SHEET'!G24,"")</f>
        <v>SC BASIC WHITE</v>
      </c>
      <c r="H25" s="175" t="str">
        <f>IF('CALCULATOR SHEET'!H24&lt;&gt;"",'CALCULATOR SHEET'!H24,"")</f>
        <v>NIÑO B</v>
      </c>
      <c r="I25" s="176">
        <f>IF(E25&lt;&gt;"",'CALCULATOR SHEET'!I24,"")</f>
        <v>35.5</v>
      </c>
      <c r="J25" s="176">
        <f>IF(I25&lt;&gt;"",'CALCULATOR SHEET'!J24,"")</f>
        <v>112</v>
      </c>
      <c r="K25" s="169" t="str">
        <f>IF('CALCULATOR SHEET'!K24&lt;&gt;"",IF('CALCULATOR SHEET'!$W$2=1,'CALCULATOR SHEET'!K24,VLOOKUP('CALCULATOR SHEET'!K24,GENERAL!$H$6:$I$11,2,0)),"")</f>
        <v>METAL CHAIN</v>
      </c>
      <c r="L25" s="174" t="str">
        <f>IF('CALCULATOR SHEET'!M24&lt;&gt;"",'CALCULATOR SHEET'!M24,"")</f>
        <v>R</v>
      </c>
      <c r="M25" s="174" t="str">
        <f>IF(E25&lt;&gt;"",IF(OR('CALCULATOR SHEET'!P24&lt;&gt;"NO",'CALCULATOR SHEET'!Q24&lt;&gt;"NO"),"YES",""),"")</f>
        <v/>
      </c>
      <c r="N25" s="177">
        <f t="shared" si="0"/>
        <v>144</v>
      </c>
      <c r="O25" s="165"/>
      <c r="P25" s="166">
        <f t="shared" si="1"/>
        <v>144</v>
      </c>
      <c r="Q25" s="195"/>
      <c r="R25" s="64" t="str">
        <f t="shared" si="3"/>
        <v>VERDADERO</v>
      </c>
      <c r="T25" s="160">
        <f>IF('CALCULATOR SHEET'!$T$58="PESOS",'CALCULATOR SHEET'!S24*'CALCULATOR SHEET'!$W$6,'CALCULATOR SHEET'!S24)</f>
        <v>144</v>
      </c>
      <c r="V25" s="162"/>
    </row>
    <row r="26" spans="3:22" s="64" customFormat="1" ht="45" customHeight="1">
      <c r="C26" s="173">
        <f t="shared" si="2"/>
        <v>13</v>
      </c>
      <c r="D26" s="174">
        <f>IF('CALCULATOR SHEET'!C25&lt;&gt;"",'CALCULATOR SHEET'!C25,"")</f>
        <v>1</v>
      </c>
      <c r="E26" s="170" t="str">
        <f>IF('CALCULATOR SHEET'!D25&lt;&gt;"",IF('CALCULATOR SHEET'!$W$2=1,'CALCULATOR SHEET'!D25,VLOOKUP('CALCULATOR SHEET'!D25,GENERAL!$J$6:$K$13,2,0)),"")</f>
        <v>ROLLER</v>
      </c>
      <c r="F26" s="175" t="str">
        <f>IF('CALCULATOR SHEET'!E25&lt;&gt;"",'CALCULATOR SHEET'!E25,"")</f>
        <v>GROUP 2</v>
      </c>
      <c r="G26" s="175" t="str">
        <f>IF('CALCULATOR SHEET'!G25&lt;&gt;"",'CALCULATOR SHEET'!G25,"")</f>
        <v>BO LONGBEACH SILVER</v>
      </c>
      <c r="H26" s="175" t="str">
        <f>IF('CALCULATOR SHEET'!H25&lt;&gt;"",'CALCULATOR SHEET'!H25,"")</f>
        <v>NIÑO C</v>
      </c>
      <c r="I26" s="176">
        <f>IF(E26&lt;&gt;"",'CALCULATOR SHEET'!I25,"")</f>
        <v>25.5</v>
      </c>
      <c r="J26" s="176">
        <f>IF(I26&lt;&gt;"",'CALCULATOR SHEET'!J25,"")</f>
        <v>112</v>
      </c>
      <c r="K26" s="169" t="str">
        <f>IF('CALCULATOR SHEET'!K25&lt;&gt;"",IF('CALCULATOR SHEET'!$W$2=1,'CALCULATOR SHEET'!K25,VLOOKUP('CALCULATOR SHEET'!K25,GENERAL!$H$6:$I$11,2,0)),"")</f>
        <v>METAL CHAIN</v>
      </c>
      <c r="L26" s="174" t="str">
        <f>IF('CALCULATOR SHEET'!M25&lt;&gt;"",'CALCULATOR SHEET'!M25,"")</f>
        <v>L</v>
      </c>
      <c r="M26" s="174" t="str">
        <f>IF(E26&lt;&gt;"",IF(OR('CALCULATOR SHEET'!P25&lt;&gt;"NO",'CALCULATOR SHEET'!Q25&lt;&gt;"NO"),"YES",""),"")</f>
        <v>YES</v>
      </c>
      <c r="N26" s="177">
        <f t="shared" si="0"/>
        <v>177</v>
      </c>
      <c r="O26" s="165"/>
      <c r="P26" s="166">
        <f t="shared" si="1"/>
        <v>177</v>
      </c>
      <c r="Q26" s="195"/>
      <c r="R26" s="64" t="str">
        <f t="shared" si="3"/>
        <v>VERDADERO</v>
      </c>
      <c r="T26" s="160">
        <f>IF('CALCULATOR SHEET'!$T$58="PESOS",'CALCULATOR SHEET'!S25*'CALCULATOR SHEET'!$W$6,'CALCULATOR SHEET'!S25)</f>
        <v>177</v>
      </c>
      <c r="V26" s="162"/>
    </row>
    <row r="27" spans="3:22" s="64" customFormat="1" ht="45" customHeight="1">
      <c r="C27" s="173">
        <f t="shared" si="2"/>
        <v>14</v>
      </c>
      <c r="D27" s="174">
        <f>IF('CALCULATOR SHEET'!C26&lt;&gt;"",'CALCULATOR SHEET'!C26,"")</f>
        <v>1</v>
      </c>
      <c r="E27" s="170" t="str">
        <f>IF('CALCULATOR SHEET'!D26&lt;&gt;"",IF('CALCULATOR SHEET'!$W$2=1,'CALCULATOR SHEET'!D26,VLOOKUP('CALCULATOR SHEET'!D26,GENERAL!$J$6:$K$13,2,0)),"")</f>
        <v>ROLLER</v>
      </c>
      <c r="F27" s="175" t="str">
        <f>IF('CALCULATOR SHEET'!E26&lt;&gt;"",'CALCULATOR SHEET'!E26,"")</f>
        <v>GROUP 1</v>
      </c>
      <c r="G27" s="175" t="str">
        <f>IF('CALCULATOR SHEET'!G26&lt;&gt;"",'CALCULATOR SHEET'!G26,"")</f>
        <v>SC BASIC WHITE</v>
      </c>
      <c r="H27" s="175" t="str">
        <f>IF('CALCULATOR SHEET'!H26&lt;&gt;"",'CALCULATOR SHEET'!H26,"")</f>
        <v>NIÑO C</v>
      </c>
      <c r="I27" s="176">
        <f>IF(E27&lt;&gt;"",'CALCULATOR SHEET'!I26,"")</f>
        <v>25.5</v>
      </c>
      <c r="J27" s="176">
        <f>IF(I27&lt;&gt;"",'CALCULATOR SHEET'!J26,"")</f>
        <v>112</v>
      </c>
      <c r="K27" s="169" t="str">
        <f>IF('CALCULATOR SHEET'!K26&lt;&gt;"",IF('CALCULATOR SHEET'!$W$2=1,'CALCULATOR SHEET'!K26,VLOOKUP('CALCULATOR SHEET'!K26,GENERAL!$H$6:$I$11,2,0)),"")</f>
        <v>METAL CHAIN</v>
      </c>
      <c r="L27" s="174" t="str">
        <f>IF('CALCULATOR SHEET'!M26&lt;&gt;"",'CALCULATOR SHEET'!M26,"")</f>
        <v>L</v>
      </c>
      <c r="M27" s="174" t="str">
        <f>IF(E27&lt;&gt;"",IF(OR('CALCULATOR SHEET'!P26&lt;&gt;"NO",'CALCULATOR SHEET'!Q26&lt;&gt;"NO"),"YES",""),"")</f>
        <v/>
      </c>
      <c r="N27" s="177">
        <f t="shared" si="0"/>
        <v>130</v>
      </c>
      <c r="O27" s="165"/>
      <c r="P27" s="166">
        <f t="shared" si="1"/>
        <v>130</v>
      </c>
      <c r="Q27" s="195"/>
      <c r="R27" s="64" t="str">
        <f t="shared" si="3"/>
        <v>VERDADERO</v>
      </c>
      <c r="T27" s="160">
        <f>IF('CALCULATOR SHEET'!$T$58="PESOS",'CALCULATOR SHEET'!S26*'CALCULATOR SHEET'!$W$6,'CALCULATOR SHEET'!S26)</f>
        <v>130</v>
      </c>
      <c r="V27" s="162"/>
    </row>
    <row r="28" spans="3:22" s="64" customFormat="1" ht="45" customHeight="1">
      <c r="C28" s="173">
        <f t="shared" si="2"/>
        <v>15</v>
      </c>
      <c r="D28" s="174">
        <f>IF('CALCULATOR SHEET'!C27&lt;&gt;"",'CALCULATOR SHEET'!C27,"")</f>
        <v>1</v>
      </c>
      <c r="E28" s="170" t="str">
        <f>IF('CALCULATOR SHEET'!D27&lt;&gt;"",IF('CALCULATOR SHEET'!$W$2=1,'CALCULATOR SHEET'!D27,VLOOKUP('CALCULATOR SHEET'!D27,GENERAL!$J$6:$K$13,2,0)),"")</f>
        <v>ROLLER</v>
      </c>
      <c r="F28" s="175" t="str">
        <f>IF('CALCULATOR SHEET'!E27&lt;&gt;"",'CALCULATOR SHEET'!E27,"")</f>
        <v>GROUP 2</v>
      </c>
      <c r="G28" s="175" t="str">
        <f>IF('CALCULATOR SHEET'!G27&lt;&gt;"",'CALCULATOR SHEET'!G27,"")</f>
        <v>BO LONGBEACH SILVER</v>
      </c>
      <c r="H28" s="175" t="str">
        <f>IF('CALCULATOR SHEET'!H27&lt;&gt;"",'CALCULATOR SHEET'!H27,"")</f>
        <v>NIÑO D</v>
      </c>
      <c r="I28" s="176">
        <f>IF(E28&lt;&gt;"",'CALCULATOR SHEET'!I27,"")</f>
        <v>27.5</v>
      </c>
      <c r="J28" s="176">
        <f>IF(I28&lt;&gt;"",'CALCULATOR SHEET'!J27,"")</f>
        <v>112</v>
      </c>
      <c r="K28" s="169" t="str">
        <f>IF('CALCULATOR SHEET'!K27&lt;&gt;"",IF('CALCULATOR SHEET'!$W$2=1,'CALCULATOR SHEET'!K27,VLOOKUP('CALCULATOR SHEET'!K27,GENERAL!$H$6:$I$11,2,0)),"")</f>
        <v>METAL CHAIN</v>
      </c>
      <c r="L28" s="174" t="str">
        <f>IF('CALCULATOR SHEET'!M27&lt;&gt;"",'CALCULATOR SHEET'!M27,"")</f>
        <v>R</v>
      </c>
      <c r="M28" s="174" t="str">
        <f>IF(E28&lt;&gt;"",IF(OR('CALCULATOR SHEET'!P27&lt;&gt;"NO",'CALCULATOR SHEET'!Q27&lt;&gt;"NO"),"YES",""),"")</f>
        <v>YES</v>
      </c>
      <c r="N28" s="177">
        <f t="shared" si="0"/>
        <v>177</v>
      </c>
      <c r="O28" s="165"/>
      <c r="P28" s="166">
        <f t="shared" si="1"/>
        <v>177</v>
      </c>
      <c r="Q28" s="195"/>
      <c r="R28" s="64" t="str">
        <f t="shared" si="3"/>
        <v>VERDADERO</v>
      </c>
      <c r="T28" s="160">
        <f>IF('CALCULATOR SHEET'!$T$58="PESOS",'CALCULATOR SHEET'!S27*'CALCULATOR SHEET'!$W$6,'CALCULATOR SHEET'!S27)</f>
        <v>177</v>
      </c>
      <c r="V28" s="162"/>
    </row>
    <row r="29" spans="3:22" s="64" customFormat="1" ht="45" customHeight="1">
      <c r="C29" s="173">
        <f t="shared" si="2"/>
        <v>16</v>
      </c>
      <c r="D29" s="174">
        <f>IF('CALCULATOR SHEET'!C28&lt;&gt;"",'CALCULATOR SHEET'!C28,"")</f>
        <v>1</v>
      </c>
      <c r="E29" s="170" t="str">
        <f>IF('CALCULATOR SHEET'!D28&lt;&gt;"",IF('CALCULATOR SHEET'!$W$2=1,'CALCULATOR SHEET'!D28,VLOOKUP('CALCULATOR SHEET'!D28,GENERAL!$J$6:$K$13,2,0)),"")</f>
        <v>ROLLER</v>
      </c>
      <c r="F29" s="175" t="str">
        <f>IF('CALCULATOR SHEET'!E28&lt;&gt;"",'CALCULATOR SHEET'!E28,"")</f>
        <v>GROUP 1</v>
      </c>
      <c r="G29" s="175" t="str">
        <f>IF('CALCULATOR SHEET'!G28&lt;&gt;"",'CALCULATOR SHEET'!G28,"")</f>
        <v>SC BASIC WHITE</v>
      </c>
      <c r="H29" s="175" t="str">
        <f>IF('CALCULATOR SHEET'!H28&lt;&gt;"",'CALCULATOR SHEET'!H28,"")</f>
        <v>NIÑO D</v>
      </c>
      <c r="I29" s="176">
        <f>IF(E29&lt;&gt;"",'CALCULATOR SHEET'!I28,"")</f>
        <v>27.5</v>
      </c>
      <c r="J29" s="176">
        <f>IF(I29&lt;&gt;"",'CALCULATOR SHEET'!J28,"")</f>
        <v>112</v>
      </c>
      <c r="K29" s="169" t="str">
        <f>IF('CALCULATOR SHEET'!K28&lt;&gt;"",IF('CALCULATOR SHEET'!$W$2=1,'CALCULATOR SHEET'!K28,VLOOKUP('CALCULATOR SHEET'!K28,GENERAL!$H$6:$I$11,2,0)),"")</f>
        <v>METAL CHAIN</v>
      </c>
      <c r="L29" s="174" t="str">
        <f>IF('CALCULATOR SHEET'!M28&lt;&gt;"",'CALCULATOR SHEET'!M28,"")</f>
        <v>R</v>
      </c>
      <c r="M29" s="174" t="str">
        <f>IF(E29&lt;&gt;"",IF(OR('CALCULATOR SHEET'!P28&lt;&gt;"NO",'CALCULATOR SHEET'!Q28&lt;&gt;"NO"),"YES",""),"")</f>
        <v/>
      </c>
      <c r="N29" s="177">
        <f t="shared" si="0"/>
        <v>130</v>
      </c>
      <c r="O29" s="165"/>
      <c r="P29" s="166">
        <f t="shared" si="1"/>
        <v>130</v>
      </c>
      <c r="Q29" s="195"/>
      <c r="R29" s="64" t="str">
        <f t="shared" si="3"/>
        <v>VERDADERO</v>
      </c>
      <c r="T29" s="160">
        <f>IF('CALCULATOR SHEET'!$T$58="PESOS",'CALCULATOR SHEET'!S28*'CALCULATOR SHEET'!$W$6,'CALCULATOR SHEET'!S28)</f>
        <v>130</v>
      </c>
      <c r="V29" s="162"/>
    </row>
    <row r="30" spans="3:22" s="64" customFormat="1" ht="45" customHeight="1">
      <c r="C30" s="173">
        <f t="shared" si="2"/>
        <v>17</v>
      </c>
      <c r="D30" s="174">
        <f>IF('CALCULATOR SHEET'!C29&lt;&gt;"",'CALCULATOR SHEET'!C29,"")</f>
        <v>1</v>
      </c>
      <c r="E30" s="170" t="str">
        <f>IF('CALCULATOR SHEET'!D29&lt;&gt;"",IF('CALCULATOR SHEET'!$W$2=1,'CALCULATOR SHEET'!D29,VLOOKUP('CALCULATOR SHEET'!D29,GENERAL!$J$6:$K$13,2,0)),"")</f>
        <v>ROLLER</v>
      </c>
      <c r="F30" s="175" t="str">
        <f>IF('CALCULATOR SHEET'!E29&lt;&gt;"",'CALCULATOR SHEET'!E29,"")</f>
        <v>GROUP 2</v>
      </c>
      <c r="G30" s="175" t="str">
        <f>IF('CALCULATOR SHEET'!G29&lt;&gt;"",'CALCULATOR SHEET'!G29,"")</f>
        <v>BO LONBEACH SAMBA</v>
      </c>
      <c r="H30" s="175" t="str">
        <f>IF('CALCULATOR SHEET'!H29&lt;&gt;"",'CALCULATOR SHEET'!H29,"")</f>
        <v>NIÑA A</v>
      </c>
      <c r="I30" s="176">
        <f>IF(E30&lt;&gt;"",'CALCULATOR SHEET'!I29,"")</f>
        <v>28</v>
      </c>
      <c r="J30" s="176">
        <f>IF(I30&lt;&gt;"",'CALCULATOR SHEET'!J29,"")</f>
        <v>112</v>
      </c>
      <c r="K30" s="169" t="str">
        <f>IF('CALCULATOR SHEET'!K29&lt;&gt;"",IF('CALCULATOR SHEET'!$W$2=1,'CALCULATOR SHEET'!K29,VLOOKUP('CALCULATOR SHEET'!K29,GENERAL!$H$6:$I$11,2,0)),"")</f>
        <v>METAL CHAIN</v>
      </c>
      <c r="L30" s="174" t="str">
        <f>IF('CALCULATOR SHEET'!M29&lt;&gt;"",'CALCULATOR SHEET'!M29,"")</f>
        <v>L</v>
      </c>
      <c r="M30" s="174" t="str">
        <f>IF(E30&lt;&gt;"",IF(OR('CALCULATOR SHEET'!P29&lt;&gt;"NO",'CALCULATOR SHEET'!Q29&lt;&gt;"NO"),"YES",""),"")</f>
        <v>YES</v>
      </c>
      <c r="N30" s="177">
        <f t="shared" si="0"/>
        <v>177</v>
      </c>
      <c r="O30" s="165"/>
      <c r="P30" s="166">
        <f t="shared" si="1"/>
        <v>177</v>
      </c>
      <c r="Q30" s="195"/>
      <c r="R30" s="64" t="str">
        <f t="shared" si="3"/>
        <v>VERDADERO</v>
      </c>
      <c r="T30" s="160">
        <f>IF('CALCULATOR SHEET'!$T$58="PESOS",'CALCULATOR SHEET'!S29*'CALCULATOR SHEET'!$W$6,'CALCULATOR SHEET'!S29)</f>
        <v>177</v>
      </c>
      <c r="V30" s="162"/>
    </row>
    <row r="31" spans="3:22" s="64" customFormat="1" ht="45" customHeight="1">
      <c r="C31" s="173">
        <f t="shared" si="2"/>
        <v>18</v>
      </c>
      <c r="D31" s="174">
        <f>IF('CALCULATOR SHEET'!C30&lt;&gt;"",'CALCULATOR SHEET'!C30,"")</f>
        <v>1</v>
      </c>
      <c r="E31" s="170" t="str">
        <f>IF('CALCULATOR SHEET'!D30&lt;&gt;"",IF('CALCULATOR SHEET'!$W$2=1,'CALCULATOR SHEET'!D30,VLOOKUP('CALCULATOR SHEET'!D30,GENERAL!$J$6:$K$13,2,0)),"")</f>
        <v>ROLLER</v>
      </c>
      <c r="F31" s="175" t="str">
        <f>IF('CALCULATOR SHEET'!E30&lt;&gt;"",'CALCULATOR SHEET'!E30,"")</f>
        <v>GROUP 1</v>
      </c>
      <c r="G31" s="175" t="str">
        <f>IF('CALCULATOR SHEET'!G30&lt;&gt;"",'CALCULATOR SHEET'!G30,"")</f>
        <v>SC BASIC WHITE</v>
      </c>
      <c r="H31" s="175" t="str">
        <f>IF('CALCULATOR SHEET'!H30&lt;&gt;"",'CALCULATOR SHEET'!H30,"")</f>
        <v>NIÑA A</v>
      </c>
      <c r="I31" s="176">
        <f>IF(E31&lt;&gt;"",'CALCULATOR SHEET'!I30,"")</f>
        <v>28</v>
      </c>
      <c r="J31" s="176">
        <f>IF(I31&lt;&gt;"",'CALCULATOR SHEET'!J30,"")</f>
        <v>112</v>
      </c>
      <c r="K31" s="169" t="str">
        <f>IF('CALCULATOR SHEET'!K30&lt;&gt;"",IF('CALCULATOR SHEET'!$W$2=1,'CALCULATOR SHEET'!K30,VLOOKUP('CALCULATOR SHEET'!K30,GENERAL!$H$6:$I$11,2,0)),"")</f>
        <v>METAL CHAIN</v>
      </c>
      <c r="L31" s="174" t="str">
        <f>IF('CALCULATOR SHEET'!M30&lt;&gt;"",'CALCULATOR SHEET'!M30,"")</f>
        <v>L</v>
      </c>
      <c r="M31" s="174" t="str">
        <f>IF(E31&lt;&gt;"",IF(OR('CALCULATOR SHEET'!P30&lt;&gt;"NO",'CALCULATOR SHEET'!Q30&lt;&gt;"NO"),"YES",""),"")</f>
        <v/>
      </c>
      <c r="N31" s="177">
        <f t="shared" si="0"/>
        <v>130</v>
      </c>
      <c r="O31" s="165"/>
      <c r="P31" s="166">
        <f t="shared" si="1"/>
        <v>130</v>
      </c>
      <c r="Q31" s="195"/>
      <c r="R31" s="64" t="str">
        <f t="shared" si="3"/>
        <v>VERDADERO</v>
      </c>
      <c r="T31" s="160">
        <f>IF('CALCULATOR SHEET'!$T$58="PESOS",'CALCULATOR SHEET'!S30*'CALCULATOR SHEET'!$W$6,'CALCULATOR SHEET'!S30)</f>
        <v>130</v>
      </c>
      <c r="V31" s="162"/>
    </row>
    <row r="32" spans="3:22" s="64" customFormat="1" ht="45" customHeight="1">
      <c r="C32" s="173">
        <f t="shared" si="2"/>
        <v>19</v>
      </c>
      <c r="D32" s="174">
        <f>IF('CALCULATOR SHEET'!C31&lt;&gt;"",'CALCULATOR SHEET'!C31,"")</f>
        <v>1</v>
      </c>
      <c r="E32" s="170" t="str">
        <f>IF('CALCULATOR SHEET'!D31&lt;&gt;"",IF('CALCULATOR SHEET'!$W$2=1,'CALCULATOR SHEET'!D31,VLOOKUP('CALCULATOR SHEET'!D31,GENERAL!$J$6:$K$13,2,0)),"")</f>
        <v>ROLLER</v>
      </c>
      <c r="F32" s="175" t="str">
        <f>IF('CALCULATOR SHEET'!E31&lt;&gt;"",'CALCULATOR SHEET'!E31,"")</f>
        <v>GROUP 2</v>
      </c>
      <c r="G32" s="175" t="str">
        <f>IF('CALCULATOR SHEET'!G31&lt;&gt;"",'CALCULATOR SHEET'!G31,"")</f>
        <v>BO LONBEACH SAMBA</v>
      </c>
      <c r="H32" s="175" t="str">
        <f>IF('CALCULATOR SHEET'!H31&lt;&gt;"",'CALCULATOR SHEET'!H31,"")</f>
        <v>NIÑA B</v>
      </c>
      <c r="I32" s="176">
        <f>IF(E32&lt;&gt;"",'CALCULATOR SHEET'!I31,"")</f>
        <v>26</v>
      </c>
      <c r="J32" s="176">
        <f>IF(I32&lt;&gt;"",'CALCULATOR SHEET'!J31,"")</f>
        <v>112</v>
      </c>
      <c r="K32" s="169" t="str">
        <f>IF('CALCULATOR SHEET'!K31&lt;&gt;"",IF('CALCULATOR SHEET'!$W$2=1,'CALCULATOR SHEET'!K31,VLOOKUP('CALCULATOR SHEET'!K31,GENERAL!$H$6:$I$11,2,0)),"")</f>
        <v>METAL CHAIN</v>
      </c>
      <c r="L32" s="174" t="str">
        <f>IF('CALCULATOR SHEET'!M31&lt;&gt;"",'CALCULATOR SHEET'!M31,"")</f>
        <v>R</v>
      </c>
      <c r="M32" s="174" t="str">
        <f>IF(E32&lt;&gt;"",IF(OR('CALCULATOR SHEET'!P31&lt;&gt;"NO",'CALCULATOR SHEET'!Q31&lt;&gt;"NO"),"YES",""),"")</f>
        <v>YES</v>
      </c>
      <c r="N32" s="177">
        <f t="shared" si="0"/>
        <v>177</v>
      </c>
      <c r="O32" s="165"/>
      <c r="P32" s="166">
        <f t="shared" si="1"/>
        <v>177</v>
      </c>
      <c r="Q32" s="195"/>
      <c r="R32" s="64" t="str">
        <f t="shared" si="3"/>
        <v>VERDADERO</v>
      </c>
      <c r="T32" s="160">
        <f>IF('CALCULATOR SHEET'!$T$58="PESOS",'CALCULATOR SHEET'!S31*'CALCULATOR SHEET'!$W$6,'CALCULATOR SHEET'!S31)</f>
        <v>177</v>
      </c>
      <c r="V32" s="162"/>
    </row>
    <row r="33" spans="3:22" s="64" customFormat="1" ht="45" customHeight="1">
      <c r="C33" s="173">
        <f t="shared" si="2"/>
        <v>20</v>
      </c>
      <c r="D33" s="174">
        <f>IF('CALCULATOR SHEET'!C32&lt;&gt;"",'CALCULATOR SHEET'!C32,"")</f>
        <v>1</v>
      </c>
      <c r="E33" s="170" t="str">
        <f>IF('CALCULATOR SHEET'!D32&lt;&gt;"",IF('CALCULATOR SHEET'!$W$2=1,'CALCULATOR SHEET'!D32,VLOOKUP('CALCULATOR SHEET'!D32,GENERAL!$J$6:$K$13,2,0)),"")</f>
        <v>ROLLER</v>
      </c>
      <c r="F33" s="175" t="str">
        <f>IF('CALCULATOR SHEET'!E32&lt;&gt;"",'CALCULATOR SHEET'!E32,"")</f>
        <v>GROUP 1</v>
      </c>
      <c r="G33" s="175" t="str">
        <f>IF('CALCULATOR SHEET'!G32&lt;&gt;"",'CALCULATOR SHEET'!G32,"")</f>
        <v>SC BASIC WHITE</v>
      </c>
      <c r="H33" s="175" t="str">
        <f>IF('CALCULATOR SHEET'!H32&lt;&gt;"",'CALCULATOR SHEET'!H32,"")</f>
        <v>NIÑA B</v>
      </c>
      <c r="I33" s="176">
        <f>IF(E33&lt;&gt;"",'CALCULATOR SHEET'!I32,"")</f>
        <v>26</v>
      </c>
      <c r="J33" s="176">
        <f>IF(I33&lt;&gt;"",'CALCULATOR SHEET'!J32,"")</f>
        <v>112</v>
      </c>
      <c r="K33" s="169" t="str">
        <f>IF('CALCULATOR SHEET'!K32&lt;&gt;"",IF('CALCULATOR SHEET'!$W$2=1,'CALCULATOR SHEET'!K32,VLOOKUP('CALCULATOR SHEET'!K32,GENERAL!$H$6:$I$11,2,0)),"")</f>
        <v>METAL CHAIN</v>
      </c>
      <c r="L33" s="174" t="str">
        <f>IF('CALCULATOR SHEET'!M32&lt;&gt;"",'CALCULATOR SHEET'!M32,"")</f>
        <v>R</v>
      </c>
      <c r="M33" s="174" t="str">
        <f>IF(E33&lt;&gt;"",IF(OR('CALCULATOR SHEET'!P32&lt;&gt;"NO",'CALCULATOR SHEET'!Q32&lt;&gt;"NO"),"YES",""),"")</f>
        <v/>
      </c>
      <c r="N33" s="177">
        <f t="shared" si="0"/>
        <v>130</v>
      </c>
      <c r="O33" s="165"/>
      <c r="P33" s="166">
        <f t="shared" si="1"/>
        <v>130</v>
      </c>
      <c r="Q33" s="195"/>
      <c r="R33" s="64" t="str">
        <f t="shared" si="3"/>
        <v>VERDADERO</v>
      </c>
      <c r="T33" s="160">
        <f>IF('CALCULATOR SHEET'!$T$58="PESOS",'CALCULATOR SHEET'!S32*'CALCULATOR SHEET'!$W$6,'CALCULATOR SHEET'!S32)</f>
        <v>130</v>
      </c>
      <c r="V33" s="162"/>
    </row>
    <row r="34" spans="3:22" s="64" customFormat="1" ht="45" customHeight="1">
      <c r="C34" s="173">
        <f t="shared" si="2"/>
        <v>21</v>
      </c>
      <c r="D34" s="174">
        <f>IF('CALCULATOR SHEET'!C33&lt;&gt;"",'CALCULATOR SHEET'!C33,"")</f>
        <v>1</v>
      </c>
      <c r="E34" s="170" t="str">
        <f>IF('CALCULATOR SHEET'!D33&lt;&gt;"",IF('CALCULATOR SHEET'!$W$2=1,'CALCULATOR SHEET'!D33,VLOOKUP('CALCULATOR SHEET'!D33,GENERAL!$J$6:$K$13,2,0)),"")</f>
        <v>ROLLER</v>
      </c>
      <c r="F34" s="175" t="str">
        <f>IF('CALCULATOR SHEET'!E33&lt;&gt;"",'CALCULATOR SHEET'!E33,"")</f>
        <v>GROUP 1</v>
      </c>
      <c r="G34" s="175" t="str">
        <f>IF('CALCULATOR SHEET'!G33&lt;&gt;"",'CALCULATOR SHEET'!G33,"")</f>
        <v>SC BASIC WHITE</v>
      </c>
      <c r="H34" s="175" t="str">
        <f>IF('CALCULATOR SHEET'!H33&lt;&gt;"",'CALCULATOR SHEET'!H33,"")</f>
        <v>REC PRINCIPAL A</v>
      </c>
      <c r="I34" s="176">
        <f>IF(E34&lt;&gt;"",'CALCULATOR SHEET'!I33,"")</f>
        <v>52</v>
      </c>
      <c r="J34" s="176">
        <f>IF(I34&lt;&gt;"",'CALCULATOR SHEET'!J33,"")</f>
        <v>112.5</v>
      </c>
      <c r="K34" s="169" t="str">
        <f>IF('CALCULATOR SHEET'!K33&lt;&gt;"",IF('CALCULATOR SHEET'!$W$2=1,'CALCULATOR SHEET'!K33,VLOOKUP('CALCULATOR SHEET'!K33,GENERAL!$H$6:$I$11,2,0)),"")</f>
        <v>METAL CHAIN</v>
      </c>
      <c r="L34" s="174" t="str">
        <f>IF('CALCULATOR SHEET'!M33&lt;&gt;"",'CALCULATOR SHEET'!M33,"")</f>
        <v>L</v>
      </c>
      <c r="M34" s="174" t="str">
        <f>IF(E34&lt;&gt;"",IF(OR('CALCULATOR SHEET'!P33&lt;&gt;"NO",'CALCULATOR SHEET'!Q33&lt;&gt;"NO"),"YES",""),"")</f>
        <v/>
      </c>
      <c r="N34" s="177">
        <f t="shared" si="0"/>
        <v>179</v>
      </c>
      <c r="O34" s="165"/>
      <c r="P34" s="166">
        <f t="shared" si="1"/>
        <v>179</v>
      </c>
      <c r="Q34" s="195"/>
      <c r="R34" s="64" t="str">
        <f t="shared" si="3"/>
        <v>VERDADERO</v>
      </c>
      <c r="T34" s="160">
        <f>IF('CALCULATOR SHEET'!$T$58="PESOS",'CALCULATOR SHEET'!S33*'CALCULATOR SHEET'!$W$6,'CALCULATOR SHEET'!S33)</f>
        <v>179</v>
      </c>
      <c r="V34" s="162"/>
    </row>
    <row r="35" spans="3:22" s="64" customFormat="1" ht="45" customHeight="1">
      <c r="C35" s="173">
        <f t="shared" si="2"/>
        <v>22</v>
      </c>
      <c r="D35" s="174">
        <f>IF('CALCULATOR SHEET'!C34&lt;&gt;"",'CALCULATOR SHEET'!C34,"")</f>
        <v>1</v>
      </c>
      <c r="E35" s="170" t="str">
        <f>IF('CALCULATOR SHEET'!D34&lt;&gt;"",IF('CALCULATOR SHEET'!$W$2=1,'CALCULATOR SHEET'!D34,VLOOKUP('CALCULATOR SHEET'!D34,GENERAL!$J$6:$K$13,2,0)),"")</f>
        <v>ROLLER</v>
      </c>
      <c r="F35" s="175" t="str">
        <f>IF('CALCULATOR SHEET'!E34&lt;&gt;"",'CALCULATOR SHEET'!E34,"")</f>
        <v>GROUP 1</v>
      </c>
      <c r="G35" s="175" t="str">
        <f>IF('CALCULATOR SHEET'!G34&lt;&gt;"",'CALCULATOR SHEET'!G34,"")</f>
        <v>SC BASIC WHITE</v>
      </c>
      <c r="H35" s="175" t="str">
        <f>IF('CALCULATOR SHEET'!H34&lt;&gt;"",'CALCULATOR SHEET'!H34,"")</f>
        <v>REC PRINCIPAL B</v>
      </c>
      <c r="I35" s="176">
        <f>IF(E35&lt;&gt;"",'CALCULATOR SHEET'!I34,"")</f>
        <v>52.25</v>
      </c>
      <c r="J35" s="176">
        <f>IF(I35&lt;&gt;"",'CALCULATOR SHEET'!J34,"")</f>
        <v>112.5</v>
      </c>
      <c r="K35" s="169" t="str">
        <f>IF('CALCULATOR SHEET'!K34&lt;&gt;"",IF('CALCULATOR SHEET'!$W$2=1,'CALCULATOR SHEET'!K34,VLOOKUP('CALCULATOR SHEET'!K34,GENERAL!$H$6:$I$11,2,0)),"")</f>
        <v>METAL CHAIN</v>
      </c>
      <c r="L35" s="174" t="str">
        <f>IF('CALCULATOR SHEET'!M34&lt;&gt;"",'CALCULATOR SHEET'!M34,"")</f>
        <v>R</v>
      </c>
      <c r="M35" s="174" t="str">
        <f>IF(E35&lt;&gt;"",IF(OR('CALCULATOR SHEET'!P34&lt;&gt;"NO",'CALCULATOR SHEET'!Q34&lt;&gt;"NO"),"YES",""),"")</f>
        <v/>
      </c>
      <c r="N35" s="177">
        <f t="shared" si="0"/>
        <v>179</v>
      </c>
      <c r="O35" s="165"/>
      <c r="P35" s="166">
        <f t="shared" si="1"/>
        <v>179</v>
      </c>
      <c r="Q35" s="195"/>
      <c r="R35" s="64" t="str">
        <f t="shared" si="3"/>
        <v>VERDADERO</v>
      </c>
      <c r="T35" s="160">
        <f>IF('CALCULATOR SHEET'!$T$58="PESOS",'CALCULATOR SHEET'!S34*'CALCULATOR SHEET'!$W$6,'CALCULATOR SHEET'!S34)</f>
        <v>179</v>
      </c>
      <c r="V35" s="162"/>
    </row>
    <row r="36" spans="3:22" s="64" customFormat="1" ht="45" customHeight="1">
      <c r="C36" s="173">
        <f t="shared" si="2"/>
        <v>23</v>
      </c>
      <c r="D36" s="174">
        <f>IF('CALCULATOR SHEET'!C35&lt;&gt;"",'CALCULATOR SHEET'!C35,"")</f>
        <v>1</v>
      </c>
      <c r="E36" s="170" t="str">
        <f>IF('CALCULATOR SHEET'!D35&lt;&gt;"",IF('CALCULATOR SHEET'!$W$2=1,'CALCULATOR SHEET'!D35,VLOOKUP('CALCULATOR SHEET'!D35,GENERAL!$J$6:$K$13,2,0)),"")</f>
        <v>ROLLER</v>
      </c>
      <c r="F36" s="175" t="str">
        <f>IF('CALCULATOR SHEET'!E35&lt;&gt;"",'CALCULATOR SHEET'!E35,"")</f>
        <v>GROUP 1</v>
      </c>
      <c r="G36" s="175" t="str">
        <f>IF('CALCULATOR SHEET'!G35&lt;&gt;"",'CALCULATOR SHEET'!G35,"")</f>
        <v>SC BASIC WHITE</v>
      </c>
      <c r="H36" s="175" t="str">
        <f>IF('CALCULATOR SHEET'!H35&lt;&gt;"",'CALCULATOR SHEET'!H35,"")</f>
        <v>REC PRINCIPAL C</v>
      </c>
      <c r="I36" s="176">
        <f>IF(E36&lt;&gt;"",'CALCULATOR SHEET'!I35,"")</f>
        <v>56</v>
      </c>
      <c r="J36" s="176">
        <f>IF(I36&lt;&gt;"",'CALCULATOR SHEET'!J35,"")</f>
        <v>112.5</v>
      </c>
      <c r="K36" s="169" t="str">
        <f>IF('CALCULATOR SHEET'!K35&lt;&gt;"",IF('CALCULATOR SHEET'!$W$2=1,'CALCULATOR SHEET'!K35,VLOOKUP('CALCULATOR SHEET'!K35,GENERAL!$H$6:$I$11,2,0)),"")</f>
        <v>METAL CHAIN</v>
      </c>
      <c r="L36" s="174" t="str">
        <f>IF('CALCULATOR SHEET'!M35&lt;&gt;"",'CALCULATOR SHEET'!M35,"")</f>
        <v>L</v>
      </c>
      <c r="M36" s="174" t="str">
        <f>IF(E36&lt;&gt;"",IF(OR('CALCULATOR SHEET'!P35&lt;&gt;"NO",'CALCULATOR SHEET'!Q35&lt;&gt;"NO"),"YES",""),"")</f>
        <v/>
      </c>
      <c r="N36" s="177">
        <f t="shared" si="0"/>
        <v>190</v>
      </c>
      <c r="O36" s="165"/>
      <c r="P36" s="166">
        <f t="shared" si="1"/>
        <v>190</v>
      </c>
      <c r="Q36" s="195"/>
      <c r="R36" s="64" t="str">
        <f t="shared" si="3"/>
        <v>VERDADERO</v>
      </c>
      <c r="T36" s="160">
        <f>IF('CALCULATOR SHEET'!$T$58="PESOS",'CALCULATOR SHEET'!S35*'CALCULATOR SHEET'!$W$6,'CALCULATOR SHEET'!S35)</f>
        <v>190</v>
      </c>
      <c r="V36" s="162"/>
    </row>
    <row r="37" spans="3:22" s="64" customFormat="1" ht="45" customHeight="1">
      <c r="C37" s="173">
        <f t="shared" si="2"/>
        <v>24</v>
      </c>
      <c r="D37" s="174">
        <f>IF('CALCULATOR SHEET'!C36&lt;&gt;"",'CALCULATOR SHEET'!C36,"")</f>
        <v>1</v>
      </c>
      <c r="E37" s="170" t="str">
        <f>IF('CALCULATOR SHEET'!D36&lt;&gt;"",IF('CALCULATOR SHEET'!$W$2=1,'CALCULATOR SHEET'!D36,VLOOKUP('CALCULATOR SHEET'!D36,GENERAL!$J$6:$K$13,2,0)),"")</f>
        <v>ROLLER</v>
      </c>
      <c r="F37" s="175" t="str">
        <f>IF('CALCULATOR SHEET'!E36&lt;&gt;"",'CALCULATOR SHEET'!E36,"")</f>
        <v>GROUP 1</v>
      </c>
      <c r="G37" s="175" t="str">
        <f>IF('CALCULATOR SHEET'!G36&lt;&gt;"",'CALCULATOR SHEET'!G36,"")</f>
        <v>SC BASIC WHITE</v>
      </c>
      <c r="H37" s="175" t="str">
        <f>IF('CALCULATOR SHEET'!H36&lt;&gt;"",'CALCULATOR SHEET'!H36,"")</f>
        <v>REC PRINCIPAL D</v>
      </c>
      <c r="I37" s="176">
        <f>IF(E37&lt;&gt;"",'CALCULATOR SHEET'!I36,"")</f>
        <v>51.25</v>
      </c>
      <c r="J37" s="176">
        <f>IF(I37&lt;&gt;"",'CALCULATOR SHEET'!J36,"")</f>
        <v>112.5</v>
      </c>
      <c r="K37" s="169" t="str">
        <f>IF('CALCULATOR SHEET'!K36&lt;&gt;"",IF('CALCULATOR SHEET'!$W$2=1,'CALCULATOR SHEET'!K36,VLOOKUP('CALCULATOR SHEET'!K36,GENERAL!$H$6:$I$11,2,0)),"")</f>
        <v>METAL CHAIN</v>
      </c>
      <c r="L37" s="174" t="str">
        <f>IF('CALCULATOR SHEET'!M36&lt;&gt;"",'CALCULATOR SHEET'!M36,"")</f>
        <v>R</v>
      </c>
      <c r="M37" s="174" t="str">
        <f>IF(E37&lt;&gt;"",IF(OR('CALCULATOR SHEET'!P36&lt;&gt;"NO",'CALCULATOR SHEET'!Q36&lt;&gt;"NO"),"YES",""),"")</f>
        <v/>
      </c>
      <c r="N37" s="177">
        <f t="shared" si="0"/>
        <v>179</v>
      </c>
      <c r="O37" s="165"/>
      <c r="P37" s="166">
        <f t="shared" si="1"/>
        <v>179</v>
      </c>
      <c r="Q37" s="195"/>
      <c r="R37" s="64" t="str">
        <f t="shared" si="3"/>
        <v>VERDADERO</v>
      </c>
      <c r="T37" s="160">
        <f>IF('CALCULATOR SHEET'!$T$58="PESOS",'CALCULATOR SHEET'!S36*'CALCULATOR SHEET'!$W$6,'CALCULATOR SHEET'!S36)</f>
        <v>179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3911</v>
      </c>
      <c r="Q62" s="188"/>
      <c r="X62" s="163" t="str">
        <f>IF('CALCULATOR SHEET'!$W$2=1,GENERAL!Q35,GENERAL!S35)</f>
        <v>SUB TOTAL</v>
      </c>
      <c r="Y62" s="222">
        <f>P62</f>
        <v>3911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1564.4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2346.6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2346.6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2346.6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2346.6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2346.6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  <c r="M72" s="7" t="s">
        <v>489</v>
      </c>
      <c r="N72" s="364">
        <v>18.350000000000001</v>
      </c>
      <c r="O72" s="24" t="s">
        <v>490</v>
      </c>
      <c r="P72" s="365">
        <f>P70*N72</f>
        <v>43060.11</v>
      </c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46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</v>
      </c>
      <c r="AK7" s="53">
        <f>'CALCULATOR SHEET'!J13</f>
        <v>116</v>
      </c>
      <c r="AL7" s="53">
        <f>IF(AJ7=0,"",MATCH(CEILING(AJ7,6),$D$4:$Z$4,0))</f>
        <v>5</v>
      </c>
      <c r="AM7" s="53">
        <f>IF(AK7=0,"",MATCH(CEILING(AK7,6),$C$7:$C$28,0))</f>
        <v>17</v>
      </c>
      <c r="AN7" s="54">
        <f>IF(AL7="","",INDEX($D$7:$Z$28,AM7,AL7))</f>
        <v>206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40.5</v>
      </c>
      <c r="AK8" s="53">
        <f>'CALCULATOR SHEET'!J14</f>
        <v>116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188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47</v>
      </c>
      <c r="AK9" s="53">
        <f>'CALCULATOR SHEET'!J15</f>
        <v>116</v>
      </c>
      <c r="AL9" s="53">
        <f t="shared" si="0"/>
        <v>5</v>
      </c>
      <c r="AM9" s="53">
        <f t="shared" si="1"/>
        <v>17</v>
      </c>
      <c r="AN9" s="54">
        <f t="shared" si="2"/>
        <v>206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36</v>
      </c>
      <c r="AK10" s="53">
        <f>'CALCULATOR SHEET'!J16</f>
        <v>117.5</v>
      </c>
      <c r="AL10" s="53">
        <f t="shared" si="0"/>
        <v>3</v>
      </c>
      <c r="AM10" s="53">
        <f t="shared" si="1"/>
        <v>17</v>
      </c>
      <c r="AN10" s="54">
        <f t="shared" si="2"/>
        <v>170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32.5</v>
      </c>
      <c r="AK11" s="53">
        <f>'CALCULATOR SHEET'!J17</f>
        <v>117.5</v>
      </c>
      <c r="AL11" s="53">
        <f t="shared" si="0"/>
        <v>3</v>
      </c>
      <c r="AM11" s="53">
        <f t="shared" si="1"/>
        <v>17</v>
      </c>
      <c r="AN11" s="54">
        <f t="shared" si="2"/>
        <v>170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39.5</v>
      </c>
      <c r="AK12" s="53">
        <f>'CALCULATOR SHEET'!J18</f>
        <v>117.5</v>
      </c>
      <c r="AL12" s="53">
        <f t="shared" si="0"/>
        <v>4</v>
      </c>
      <c r="AM12" s="53">
        <f t="shared" si="1"/>
        <v>17</v>
      </c>
      <c r="AN12" s="54">
        <f t="shared" si="2"/>
        <v>188</v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28.5</v>
      </c>
      <c r="AK13" s="53">
        <f>'CALCULATOR SHEET'!J19</f>
        <v>112.5</v>
      </c>
      <c r="AL13" s="53">
        <f t="shared" si="0"/>
        <v>2</v>
      </c>
      <c r="AM13" s="53">
        <f t="shared" si="1"/>
        <v>16</v>
      </c>
      <c r="AN13" s="54">
        <f t="shared" si="2"/>
        <v>146</v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58</v>
      </c>
      <c r="AK14" s="53">
        <f>'CALCULATOR SHEET'!J20</f>
        <v>112.5</v>
      </c>
      <c r="AL14" s="53">
        <f t="shared" si="0"/>
        <v>7</v>
      </c>
      <c r="AM14" s="53">
        <f t="shared" si="1"/>
        <v>16</v>
      </c>
      <c r="AN14" s="54">
        <f t="shared" si="2"/>
        <v>234</v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35.5</v>
      </c>
      <c r="AK15" s="53">
        <f>'CALCULATOR SHEET'!J21</f>
        <v>112</v>
      </c>
      <c r="AL15" s="53">
        <f t="shared" si="0"/>
        <v>3</v>
      </c>
      <c r="AM15" s="53">
        <f t="shared" si="1"/>
        <v>16</v>
      </c>
      <c r="AN15" s="54">
        <f t="shared" si="2"/>
        <v>165</v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35.5</v>
      </c>
      <c r="AK16" s="53">
        <f>'CALCULATOR SHEET'!J22</f>
        <v>112</v>
      </c>
      <c r="AL16" s="53">
        <f t="shared" si="0"/>
        <v>3</v>
      </c>
      <c r="AM16" s="53">
        <f t="shared" si="1"/>
        <v>16</v>
      </c>
      <c r="AN16" s="54">
        <f t="shared" si="2"/>
        <v>165</v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35.5</v>
      </c>
      <c r="AK17" s="53">
        <f>'CALCULATOR SHEET'!J23</f>
        <v>112</v>
      </c>
      <c r="AL17" s="53">
        <f t="shared" si="0"/>
        <v>3</v>
      </c>
      <c r="AM17" s="53">
        <f t="shared" si="1"/>
        <v>16</v>
      </c>
      <c r="AN17" s="54">
        <f t="shared" si="2"/>
        <v>165</v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35.5</v>
      </c>
      <c r="AK18" s="53">
        <f>'CALCULATOR SHEET'!J24</f>
        <v>112</v>
      </c>
      <c r="AL18" s="53">
        <f t="shared" si="0"/>
        <v>3</v>
      </c>
      <c r="AM18" s="53">
        <f t="shared" si="1"/>
        <v>16</v>
      </c>
      <c r="AN18" s="54">
        <f t="shared" si="2"/>
        <v>165</v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25.5</v>
      </c>
      <c r="AK19" s="53">
        <f>'CALCULATOR SHEET'!J25</f>
        <v>112</v>
      </c>
      <c r="AL19" s="53">
        <f t="shared" si="0"/>
        <v>2</v>
      </c>
      <c r="AM19" s="53">
        <f t="shared" si="1"/>
        <v>16</v>
      </c>
      <c r="AN19" s="54">
        <f t="shared" si="2"/>
        <v>146</v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25.5</v>
      </c>
      <c r="AK20" s="53">
        <f>'CALCULATOR SHEET'!J26</f>
        <v>112</v>
      </c>
      <c r="AL20" s="53">
        <f t="shared" si="0"/>
        <v>2</v>
      </c>
      <c r="AM20" s="53">
        <f t="shared" si="1"/>
        <v>16</v>
      </c>
      <c r="AN20" s="54">
        <f t="shared" si="2"/>
        <v>146</v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27.5</v>
      </c>
      <c r="AK21" s="53">
        <f>'CALCULATOR SHEET'!J27</f>
        <v>112</v>
      </c>
      <c r="AL21" s="53">
        <f t="shared" si="0"/>
        <v>2</v>
      </c>
      <c r="AM21" s="53">
        <f t="shared" si="1"/>
        <v>16</v>
      </c>
      <c r="AN21" s="54">
        <f t="shared" si="2"/>
        <v>146</v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27.5</v>
      </c>
      <c r="AK22" s="53">
        <f>'CALCULATOR SHEET'!J28</f>
        <v>112</v>
      </c>
      <c r="AL22" s="53">
        <f t="shared" si="0"/>
        <v>2</v>
      </c>
      <c r="AM22" s="53">
        <f t="shared" si="1"/>
        <v>16</v>
      </c>
      <c r="AN22" s="54">
        <f t="shared" si="2"/>
        <v>146</v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28</v>
      </c>
      <c r="AK23" s="53">
        <f>'CALCULATOR SHEET'!J29</f>
        <v>112</v>
      </c>
      <c r="AL23" s="53">
        <f t="shared" si="0"/>
        <v>2</v>
      </c>
      <c r="AM23" s="53">
        <f t="shared" si="1"/>
        <v>16</v>
      </c>
      <c r="AN23" s="54">
        <f t="shared" si="2"/>
        <v>146</v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28</v>
      </c>
      <c r="AK24" s="53">
        <f>'CALCULATOR SHEET'!J30</f>
        <v>112</v>
      </c>
      <c r="AL24" s="53">
        <f t="shared" si="0"/>
        <v>2</v>
      </c>
      <c r="AM24" s="53">
        <f t="shared" si="1"/>
        <v>16</v>
      </c>
      <c r="AN24" s="54">
        <f t="shared" si="2"/>
        <v>146</v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26</v>
      </c>
      <c r="AK25" s="53">
        <f>'CALCULATOR SHEET'!J31</f>
        <v>112</v>
      </c>
      <c r="AL25" s="53">
        <f t="shared" si="0"/>
        <v>2</v>
      </c>
      <c r="AM25" s="53">
        <f t="shared" si="1"/>
        <v>16</v>
      </c>
      <c r="AN25" s="54">
        <f t="shared" si="2"/>
        <v>146</v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26</v>
      </c>
      <c r="AK26" s="53">
        <f>'CALCULATOR SHEET'!J32</f>
        <v>112</v>
      </c>
      <c r="AL26" s="53">
        <f t="shared" si="0"/>
        <v>2</v>
      </c>
      <c r="AM26" s="53">
        <f t="shared" si="1"/>
        <v>16</v>
      </c>
      <c r="AN26" s="54">
        <f t="shared" si="2"/>
        <v>146</v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112.5</v>
      </c>
      <c r="AL27" s="53">
        <f t="shared" si="0"/>
        <v>6</v>
      </c>
      <c r="AM27" s="53">
        <f t="shared" si="1"/>
        <v>16</v>
      </c>
      <c r="AN27" s="54">
        <f t="shared" si="2"/>
        <v>217</v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52.25</v>
      </c>
      <c r="AK28" s="53">
        <f>'CALCULATOR SHEET'!J34</f>
        <v>112.5</v>
      </c>
      <c r="AL28" s="53">
        <f t="shared" si="0"/>
        <v>6</v>
      </c>
      <c r="AM28" s="53">
        <f t="shared" si="1"/>
        <v>16</v>
      </c>
      <c r="AN28" s="54">
        <f t="shared" si="2"/>
        <v>217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56</v>
      </c>
      <c r="AK29" s="53">
        <f>'CALCULATOR SHEET'!J35</f>
        <v>112.5</v>
      </c>
      <c r="AL29" s="53">
        <f t="shared" si="0"/>
        <v>7</v>
      </c>
      <c r="AM29" s="53">
        <f t="shared" si="1"/>
        <v>16</v>
      </c>
      <c r="AN29" s="54">
        <f t="shared" si="2"/>
        <v>234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51.25</v>
      </c>
      <c r="AK30" s="53">
        <f>'CALCULATOR SHEET'!J36</f>
        <v>112.5</v>
      </c>
      <c r="AL30" s="53">
        <f t="shared" si="0"/>
        <v>6</v>
      </c>
      <c r="AM30" s="53">
        <f t="shared" si="1"/>
        <v>16</v>
      </c>
      <c r="AN30" s="54">
        <f t="shared" si="2"/>
        <v>217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</v>
      </c>
      <c r="AK7" s="53">
        <f>'CALCULATOR SHEET'!J13</f>
        <v>116</v>
      </c>
      <c r="AL7" s="53">
        <f t="shared" ref="AL7:AL70" si="0">IF(AJ7=0,"",MATCH(CEILING(AJ7,6),$D$4:$Z$4,0))</f>
        <v>5</v>
      </c>
      <c r="AM7" s="53">
        <f>IF(AK7=0,"",MATCH(CEILING(AK7,6),$C$7:$C$28,0))</f>
        <v>17</v>
      </c>
      <c r="AN7" s="54">
        <f t="shared" ref="AN7:AN70" si="1">IF(AL7="","",INDEX($D$7:$Z$28,AM7,AL7))</f>
        <v>244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40.5</v>
      </c>
      <c r="AK8" s="53">
        <f>'CALCULATOR SHEET'!J14</f>
        <v>116</v>
      </c>
      <c r="AL8" s="53">
        <f t="shared" si="0"/>
        <v>4</v>
      </c>
      <c r="AM8" s="53">
        <f t="shared" ref="AM8:AM71" si="2">IF(AK8=0,"",MATCH(CEILING(AK8,6),$C$7:$C$28,0))</f>
        <v>17</v>
      </c>
      <c r="AN8" s="54">
        <f t="shared" si="1"/>
        <v>222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47</v>
      </c>
      <c r="AK9" s="53">
        <f>'CALCULATOR SHEET'!J15</f>
        <v>116</v>
      </c>
      <c r="AL9" s="53">
        <f t="shared" si="0"/>
        <v>5</v>
      </c>
      <c r="AM9" s="53">
        <f t="shared" si="2"/>
        <v>17</v>
      </c>
      <c r="AN9" s="54">
        <f t="shared" si="1"/>
        <v>244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36</v>
      </c>
      <c r="AK10" s="53">
        <f>'CALCULATOR SHEET'!J16</f>
        <v>117.5</v>
      </c>
      <c r="AL10" s="53">
        <f t="shared" si="0"/>
        <v>3</v>
      </c>
      <c r="AM10" s="53">
        <f t="shared" si="2"/>
        <v>17</v>
      </c>
      <c r="AN10" s="54">
        <f t="shared" si="1"/>
        <v>199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32.5</v>
      </c>
      <c r="AK11" s="53">
        <f>'CALCULATOR SHEET'!J17</f>
        <v>117.5</v>
      </c>
      <c r="AL11" s="53">
        <f t="shared" si="0"/>
        <v>3</v>
      </c>
      <c r="AM11" s="53">
        <f t="shared" si="2"/>
        <v>17</v>
      </c>
      <c r="AN11" s="54">
        <f t="shared" si="1"/>
        <v>199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39.5</v>
      </c>
      <c r="AK12" s="53">
        <f>'CALCULATOR SHEET'!J18</f>
        <v>117.5</v>
      </c>
      <c r="AL12" s="53">
        <f t="shared" si="0"/>
        <v>4</v>
      </c>
      <c r="AM12" s="53">
        <f t="shared" si="2"/>
        <v>17</v>
      </c>
      <c r="AN12" s="54">
        <f t="shared" si="1"/>
        <v>222</v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28.5</v>
      </c>
      <c r="AK13" s="53">
        <f>'CALCULATOR SHEET'!J19</f>
        <v>112.5</v>
      </c>
      <c r="AL13" s="53">
        <f t="shared" si="0"/>
        <v>2</v>
      </c>
      <c r="AM13" s="53">
        <f t="shared" si="2"/>
        <v>16</v>
      </c>
      <c r="AN13" s="54">
        <f t="shared" si="1"/>
        <v>169</v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58</v>
      </c>
      <c r="AK14" s="53">
        <f>'CALCULATOR SHEET'!J20</f>
        <v>112.5</v>
      </c>
      <c r="AL14" s="53">
        <f t="shared" si="0"/>
        <v>7</v>
      </c>
      <c r="AM14" s="53">
        <f t="shared" si="2"/>
        <v>16</v>
      </c>
      <c r="AN14" s="54">
        <f t="shared" si="1"/>
        <v>280</v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35.5</v>
      </c>
      <c r="AK15" s="53">
        <f>'CALCULATOR SHEET'!J21</f>
        <v>112</v>
      </c>
      <c r="AL15" s="53">
        <f t="shared" si="0"/>
        <v>3</v>
      </c>
      <c r="AM15" s="53">
        <f t="shared" si="2"/>
        <v>16</v>
      </c>
      <c r="AN15" s="54">
        <f t="shared" si="1"/>
        <v>193</v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35.5</v>
      </c>
      <c r="AK16" s="53">
        <f>'CALCULATOR SHEET'!J22</f>
        <v>112</v>
      </c>
      <c r="AL16" s="53">
        <f t="shared" si="0"/>
        <v>3</v>
      </c>
      <c r="AM16" s="53">
        <f t="shared" si="2"/>
        <v>16</v>
      </c>
      <c r="AN16" s="54">
        <f t="shared" si="1"/>
        <v>193</v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35.5</v>
      </c>
      <c r="AK17" s="53">
        <f>'CALCULATOR SHEET'!J23</f>
        <v>112</v>
      </c>
      <c r="AL17" s="53">
        <f t="shared" si="0"/>
        <v>3</v>
      </c>
      <c r="AM17" s="53">
        <f t="shared" si="2"/>
        <v>16</v>
      </c>
      <c r="AN17" s="54">
        <f t="shared" si="1"/>
        <v>193</v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35.5</v>
      </c>
      <c r="AK18" s="53">
        <f>'CALCULATOR SHEET'!J24</f>
        <v>112</v>
      </c>
      <c r="AL18" s="53">
        <f t="shared" si="0"/>
        <v>3</v>
      </c>
      <c r="AM18" s="53">
        <f t="shared" si="2"/>
        <v>16</v>
      </c>
      <c r="AN18" s="54">
        <f t="shared" si="1"/>
        <v>193</v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25.5</v>
      </c>
      <c r="AK19" s="53">
        <f>'CALCULATOR SHEET'!J25</f>
        <v>112</v>
      </c>
      <c r="AL19" s="53">
        <f t="shared" si="0"/>
        <v>2</v>
      </c>
      <c r="AM19" s="53">
        <f t="shared" si="2"/>
        <v>16</v>
      </c>
      <c r="AN19" s="54">
        <f t="shared" si="1"/>
        <v>169</v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25.5</v>
      </c>
      <c r="AK20" s="53">
        <f>'CALCULATOR SHEET'!J26</f>
        <v>112</v>
      </c>
      <c r="AL20" s="53">
        <f t="shared" si="0"/>
        <v>2</v>
      </c>
      <c r="AM20" s="53">
        <f t="shared" si="2"/>
        <v>16</v>
      </c>
      <c r="AN20" s="54">
        <f t="shared" si="1"/>
        <v>169</v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27.5</v>
      </c>
      <c r="AK21" s="53">
        <f>'CALCULATOR SHEET'!J27</f>
        <v>112</v>
      </c>
      <c r="AL21" s="53">
        <f t="shared" si="0"/>
        <v>2</v>
      </c>
      <c r="AM21" s="53">
        <f t="shared" si="2"/>
        <v>16</v>
      </c>
      <c r="AN21" s="54">
        <f t="shared" si="1"/>
        <v>169</v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27.5</v>
      </c>
      <c r="AK22" s="53">
        <f>'CALCULATOR SHEET'!J28</f>
        <v>112</v>
      </c>
      <c r="AL22" s="53">
        <f t="shared" si="0"/>
        <v>2</v>
      </c>
      <c r="AM22" s="53">
        <f t="shared" si="2"/>
        <v>16</v>
      </c>
      <c r="AN22" s="54">
        <f t="shared" si="1"/>
        <v>169</v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28</v>
      </c>
      <c r="AK23" s="53">
        <f>'CALCULATOR SHEET'!J29</f>
        <v>112</v>
      </c>
      <c r="AL23" s="53">
        <f t="shared" si="0"/>
        <v>2</v>
      </c>
      <c r="AM23" s="53">
        <f t="shared" si="2"/>
        <v>16</v>
      </c>
      <c r="AN23" s="54">
        <f t="shared" si="1"/>
        <v>169</v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28</v>
      </c>
      <c r="AK24" s="53">
        <f>'CALCULATOR SHEET'!J30</f>
        <v>112</v>
      </c>
      <c r="AL24" s="53">
        <f t="shared" si="0"/>
        <v>2</v>
      </c>
      <c r="AM24" s="53">
        <f t="shared" si="2"/>
        <v>16</v>
      </c>
      <c r="AN24" s="54">
        <f t="shared" si="1"/>
        <v>169</v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26</v>
      </c>
      <c r="AK25" s="53">
        <f>'CALCULATOR SHEET'!J31</f>
        <v>112</v>
      </c>
      <c r="AL25" s="53">
        <f t="shared" si="0"/>
        <v>2</v>
      </c>
      <c r="AM25" s="53">
        <f t="shared" si="2"/>
        <v>16</v>
      </c>
      <c r="AN25" s="54">
        <f t="shared" si="1"/>
        <v>169</v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26</v>
      </c>
      <c r="AK26" s="53">
        <f>'CALCULATOR SHEET'!J32</f>
        <v>112</v>
      </c>
      <c r="AL26" s="53">
        <f t="shared" si="0"/>
        <v>2</v>
      </c>
      <c r="AM26" s="53">
        <f t="shared" si="2"/>
        <v>16</v>
      </c>
      <c r="AN26" s="54">
        <f t="shared" si="1"/>
        <v>169</v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112.5</v>
      </c>
      <c r="AL27" s="53">
        <f t="shared" si="0"/>
        <v>6</v>
      </c>
      <c r="AM27" s="53">
        <f t="shared" si="2"/>
        <v>16</v>
      </c>
      <c r="AN27" s="54">
        <f t="shared" si="1"/>
        <v>258</v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52.25</v>
      </c>
      <c r="AK28" s="53">
        <f>'CALCULATOR SHEET'!J34</f>
        <v>112.5</v>
      </c>
      <c r="AL28" s="53">
        <f t="shared" si="0"/>
        <v>6</v>
      </c>
      <c r="AM28" s="53">
        <f t="shared" si="2"/>
        <v>16</v>
      </c>
      <c r="AN28" s="54">
        <f t="shared" si="1"/>
        <v>258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56</v>
      </c>
      <c r="AK29" s="53">
        <f>'CALCULATOR SHEET'!J35</f>
        <v>112.5</v>
      </c>
      <c r="AL29" s="53">
        <f t="shared" si="0"/>
        <v>7</v>
      </c>
      <c r="AM29" s="53">
        <f t="shared" si="2"/>
        <v>16</v>
      </c>
      <c r="AN29" s="54">
        <f t="shared" si="1"/>
        <v>280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51.25</v>
      </c>
      <c r="AK30" s="53">
        <f>'CALCULATOR SHEET'!J36</f>
        <v>112.5</v>
      </c>
      <c r="AL30" s="53">
        <f t="shared" si="0"/>
        <v>6</v>
      </c>
      <c r="AM30" s="53">
        <f t="shared" si="2"/>
        <v>16</v>
      </c>
      <c r="AN30" s="54">
        <f t="shared" si="1"/>
        <v>258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</v>
      </c>
      <c r="AK7" s="53">
        <f>'CALCULATOR SHEET'!J13</f>
        <v>116</v>
      </c>
      <c r="AL7" s="53">
        <f>IF(AJ7=0,"",MATCH(CEILING(AJ7,6),$D$4:$Z$4,0))</f>
        <v>5</v>
      </c>
      <c r="AM7" s="53">
        <f>IF(AK7=0,"",MATCH(CEILING(AK7,6),$C$7:$C$28,0))</f>
        <v>17</v>
      </c>
      <c r="AN7" s="54">
        <f>IF(AL7="","",INDEX($D$7:$Z$28,AM7,AL7))</f>
        <v>251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40.5</v>
      </c>
      <c r="AK8" s="53">
        <f>'CALCULATOR SHEET'!J14</f>
        <v>116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227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47</v>
      </c>
      <c r="AK9" s="53">
        <f>'CALCULATOR SHEET'!J15</f>
        <v>116</v>
      </c>
      <c r="AL9" s="53">
        <f t="shared" si="0"/>
        <v>5</v>
      </c>
      <c r="AM9" s="53">
        <f t="shared" si="1"/>
        <v>17</v>
      </c>
      <c r="AN9" s="54">
        <f t="shared" si="2"/>
        <v>251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36</v>
      </c>
      <c r="AK10" s="53">
        <f>'CALCULATOR SHEET'!J16</f>
        <v>117.5</v>
      </c>
      <c r="AL10" s="53">
        <f t="shared" si="0"/>
        <v>3</v>
      </c>
      <c r="AM10" s="53">
        <f t="shared" si="1"/>
        <v>17</v>
      </c>
      <c r="AN10" s="54">
        <f t="shared" si="2"/>
        <v>204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32.5</v>
      </c>
      <c r="AK11" s="53">
        <f>'CALCULATOR SHEET'!J17</f>
        <v>117.5</v>
      </c>
      <c r="AL11" s="53">
        <f t="shared" si="0"/>
        <v>3</v>
      </c>
      <c r="AM11" s="53">
        <f t="shared" si="1"/>
        <v>17</v>
      </c>
      <c r="AN11" s="54">
        <f t="shared" si="2"/>
        <v>204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39.5</v>
      </c>
      <c r="AK12" s="53">
        <f>'CALCULATOR SHEET'!J18</f>
        <v>117.5</v>
      </c>
      <c r="AL12" s="53">
        <f t="shared" si="0"/>
        <v>4</v>
      </c>
      <c r="AM12" s="53">
        <f t="shared" si="1"/>
        <v>17</v>
      </c>
      <c r="AN12" s="54">
        <f t="shared" si="2"/>
        <v>227</v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28.5</v>
      </c>
      <c r="AK13" s="53">
        <f>'CALCULATOR SHEET'!J19</f>
        <v>112.5</v>
      </c>
      <c r="AL13" s="53">
        <f t="shared" si="0"/>
        <v>2</v>
      </c>
      <c r="AM13" s="53">
        <f t="shared" si="1"/>
        <v>16</v>
      </c>
      <c r="AN13" s="54">
        <f t="shared" si="2"/>
        <v>173</v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58</v>
      </c>
      <c r="AK14" s="53">
        <f>'CALCULATOR SHEET'!J20</f>
        <v>112.5</v>
      </c>
      <c r="AL14" s="53">
        <f t="shared" si="0"/>
        <v>7</v>
      </c>
      <c r="AM14" s="53">
        <f t="shared" si="1"/>
        <v>16</v>
      </c>
      <c r="AN14" s="54">
        <f t="shared" si="2"/>
        <v>288</v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35.5</v>
      </c>
      <c r="AK15" s="53">
        <f>'CALCULATOR SHEET'!J21</f>
        <v>112</v>
      </c>
      <c r="AL15" s="53">
        <f t="shared" si="0"/>
        <v>3</v>
      </c>
      <c r="AM15" s="53">
        <f t="shared" si="1"/>
        <v>16</v>
      </c>
      <c r="AN15" s="54">
        <f t="shared" si="2"/>
        <v>198</v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35.5</v>
      </c>
      <c r="AK16" s="53">
        <f>'CALCULATOR SHEET'!J22</f>
        <v>112</v>
      </c>
      <c r="AL16" s="53">
        <f t="shared" si="0"/>
        <v>3</v>
      </c>
      <c r="AM16" s="53">
        <f t="shared" si="1"/>
        <v>16</v>
      </c>
      <c r="AN16" s="54">
        <f t="shared" si="2"/>
        <v>198</v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35.5</v>
      </c>
      <c r="AK17" s="53">
        <f>'CALCULATOR SHEET'!J23</f>
        <v>112</v>
      </c>
      <c r="AL17" s="53">
        <f t="shared" si="0"/>
        <v>3</v>
      </c>
      <c r="AM17" s="53">
        <f t="shared" si="1"/>
        <v>16</v>
      </c>
      <c r="AN17" s="54">
        <f t="shared" si="2"/>
        <v>198</v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35.5</v>
      </c>
      <c r="AK18" s="53">
        <f>'CALCULATOR SHEET'!J24</f>
        <v>112</v>
      </c>
      <c r="AL18" s="53">
        <f t="shared" si="0"/>
        <v>3</v>
      </c>
      <c r="AM18" s="53">
        <f t="shared" si="1"/>
        <v>16</v>
      </c>
      <c r="AN18" s="54">
        <f t="shared" si="2"/>
        <v>198</v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25.5</v>
      </c>
      <c r="AK19" s="53">
        <f>'CALCULATOR SHEET'!J25</f>
        <v>112</v>
      </c>
      <c r="AL19" s="53">
        <f t="shared" si="0"/>
        <v>2</v>
      </c>
      <c r="AM19" s="53">
        <f t="shared" si="1"/>
        <v>16</v>
      </c>
      <c r="AN19" s="54">
        <f t="shared" si="2"/>
        <v>173</v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25.5</v>
      </c>
      <c r="AK20" s="53">
        <f>'CALCULATOR SHEET'!J26</f>
        <v>112</v>
      </c>
      <c r="AL20" s="53">
        <f t="shared" si="0"/>
        <v>2</v>
      </c>
      <c r="AM20" s="53">
        <f t="shared" si="1"/>
        <v>16</v>
      </c>
      <c r="AN20" s="54">
        <f t="shared" si="2"/>
        <v>173</v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27.5</v>
      </c>
      <c r="AK21" s="53">
        <f>'CALCULATOR SHEET'!J27</f>
        <v>112</v>
      </c>
      <c r="AL21" s="53">
        <f t="shared" si="0"/>
        <v>2</v>
      </c>
      <c r="AM21" s="53">
        <f t="shared" si="1"/>
        <v>16</v>
      </c>
      <c r="AN21" s="54">
        <f t="shared" si="2"/>
        <v>173</v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27.5</v>
      </c>
      <c r="AK22" s="53">
        <f>'CALCULATOR SHEET'!J28</f>
        <v>112</v>
      </c>
      <c r="AL22" s="53">
        <f t="shared" si="0"/>
        <v>2</v>
      </c>
      <c r="AM22" s="53">
        <f t="shared" si="1"/>
        <v>16</v>
      </c>
      <c r="AN22" s="54">
        <f t="shared" si="2"/>
        <v>173</v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28</v>
      </c>
      <c r="AK23" s="53">
        <f>'CALCULATOR SHEET'!J29</f>
        <v>112</v>
      </c>
      <c r="AL23" s="53">
        <f t="shared" si="0"/>
        <v>2</v>
      </c>
      <c r="AM23" s="53">
        <f t="shared" si="1"/>
        <v>16</v>
      </c>
      <c r="AN23" s="54">
        <f t="shared" si="2"/>
        <v>173</v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28</v>
      </c>
      <c r="AK24" s="53">
        <f>'CALCULATOR SHEET'!J30</f>
        <v>112</v>
      </c>
      <c r="AL24" s="53">
        <f t="shared" si="0"/>
        <v>2</v>
      </c>
      <c r="AM24" s="53">
        <f t="shared" si="1"/>
        <v>16</v>
      </c>
      <c r="AN24" s="54">
        <f t="shared" si="2"/>
        <v>173</v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26</v>
      </c>
      <c r="AK25" s="53">
        <f>'CALCULATOR SHEET'!J31</f>
        <v>112</v>
      </c>
      <c r="AL25" s="53">
        <f t="shared" si="0"/>
        <v>2</v>
      </c>
      <c r="AM25" s="53">
        <f t="shared" si="1"/>
        <v>16</v>
      </c>
      <c r="AN25" s="54">
        <f t="shared" si="2"/>
        <v>173</v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26</v>
      </c>
      <c r="AK26" s="53">
        <f>'CALCULATOR SHEET'!J32</f>
        <v>112</v>
      </c>
      <c r="AL26" s="53">
        <f t="shared" si="0"/>
        <v>2</v>
      </c>
      <c r="AM26" s="53">
        <f t="shared" si="1"/>
        <v>16</v>
      </c>
      <c r="AN26" s="54">
        <f t="shared" si="2"/>
        <v>173</v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112.5</v>
      </c>
      <c r="AL27" s="53">
        <f t="shared" si="0"/>
        <v>6</v>
      </c>
      <c r="AM27" s="53">
        <f t="shared" si="1"/>
        <v>16</v>
      </c>
      <c r="AN27" s="54">
        <f t="shared" si="2"/>
        <v>265</v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52.25</v>
      </c>
      <c r="AK28" s="53">
        <f>'CALCULATOR SHEET'!J34</f>
        <v>112.5</v>
      </c>
      <c r="AL28" s="53">
        <f t="shared" si="0"/>
        <v>6</v>
      </c>
      <c r="AM28" s="53">
        <f t="shared" si="1"/>
        <v>16</v>
      </c>
      <c r="AN28" s="54">
        <f t="shared" si="2"/>
        <v>265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56</v>
      </c>
      <c r="AK29" s="53">
        <f>'CALCULATOR SHEET'!J35</f>
        <v>112.5</v>
      </c>
      <c r="AL29" s="53">
        <f t="shared" si="0"/>
        <v>7</v>
      </c>
      <c r="AM29" s="53">
        <f t="shared" si="1"/>
        <v>16</v>
      </c>
      <c r="AN29" s="54">
        <f t="shared" si="2"/>
        <v>288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51.25</v>
      </c>
      <c r="AK30" s="53">
        <f>'CALCULATOR SHEET'!J36</f>
        <v>112.5</v>
      </c>
      <c r="AL30" s="53">
        <f t="shared" si="0"/>
        <v>6</v>
      </c>
      <c r="AM30" s="53">
        <f t="shared" si="1"/>
        <v>16</v>
      </c>
      <c r="AN30" s="54">
        <f t="shared" si="2"/>
        <v>265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</v>
      </c>
      <c r="AK7" s="53">
        <f>'CALCULATOR SHEET'!J13</f>
        <v>116</v>
      </c>
      <c r="AL7" s="53">
        <f>IF(AJ7=0,"",MATCH(CEILING(AJ7,6),$D$4:$Z$4,0))</f>
        <v>5</v>
      </c>
      <c r="AM7" s="53">
        <f>IF(AK7=0,"",MATCH(CEILING(AK7,6),$C$7:$C$28,0))</f>
        <v>17</v>
      </c>
      <c r="AN7" s="54">
        <f>IF(AL7="","",INDEX($D$7:$Z$28,AM7,AL7))</f>
        <v>297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40.5</v>
      </c>
      <c r="AK8" s="53">
        <f>'CALCULATOR SHEET'!J14</f>
        <v>116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268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47</v>
      </c>
      <c r="AK9" s="53">
        <f>'CALCULATOR SHEET'!J15</f>
        <v>116</v>
      </c>
      <c r="AL9" s="53">
        <f t="shared" si="0"/>
        <v>5</v>
      </c>
      <c r="AM9" s="53">
        <f t="shared" si="1"/>
        <v>17</v>
      </c>
      <c r="AN9" s="54">
        <f t="shared" si="2"/>
        <v>297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36</v>
      </c>
      <c r="AK10" s="53">
        <f>'CALCULATOR SHEET'!J16</f>
        <v>117.5</v>
      </c>
      <c r="AL10" s="53">
        <f t="shared" si="0"/>
        <v>3</v>
      </c>
      <c r="AM10" s="53">
        <f t="shared" si="1"/>
        <v>17</v>
      </c>
      <c r="AN10" s="54">
        <f t="shared" si="2"/>
        <v>239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32.5</v>
      </c>
      <c r="AK11" s="53">
        <f>'CALCULATOR SHEET'!J17</f>
        <v>117.5</v>
      </c>
      <c r="AL11" s="53">
        <f t="shared" si="0"/>
        <v>3</v>
      </c>
      <c r="AM11" s="53">
        <f t="shared" si="1"/>
        <v>17</v>
      </c>
      <c r="AN11" s="54">
        <f t="shared" si="2"/>
        <v>239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39.5</v>
      </c>
      <c r="AK12" s="53">
        <f>'CALCULATOR SHEET'!J18</f>
        <v>117.5</v>
      </c>
      <c r="AL12" s="53">
        <f t="shared" si="0"/>
        <v>4</v>
      </c>
      <c r="AM12" s="53">
        <f t="shared" si="1"/>
        <v>17</v>
      </c>
      <c r="AN12" s="54">
        <f t="shared" si="2"/>
        <v>268</v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28.5</v>
      </c>
      <c r="AK13" s="53">
        <f>'CALCULATOR SHEET'!J19</f>
        <v>112.5</v>
      </c>
      <c r="AL13" s="53">
        <f t="shared" si="0"/>
        <v>2</v>
      </c>
      <c r="AM13" s="53">
        <f t="shared" si="1"/>
        <v>16</v>
      </c>
      <c r="AN13" s="54">
        <f t="shared" si="2"/>
        <v>200</v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58</v>
      </c>
      <c r="AK14" s="53">
        <f>'CALCULATOR SHEET'!J20</f>
        <v>112.5</v>
      </c>
      <c r="AL14" s="53">
        <f t="shared" si="0"/>
        <v>7</v>
      </c>
      <c r="AM14" s="53">
        <f t="shared" si="1"/>
        <v>16</v>
      </c>
      <c r="AN14" s="54">
        <f t="shared" si="2"/>
        <v>343</v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35.5</v>
      </c>
      <c r="AK15" s="53">
        <f>'CALCULATOR SHEET'!J21</f>
        <v>112</v>
      </c>
      <c r="AL15" s="53">
        <f t="shared" si="0"/>
        <v>3</v>
      </c>
      <c r="AM15" s="53">
        <f t="shared" si="1"/>
        <v>16</v>
      </c>
      <c r="AN15" s="54">
        <f t="shared" si="2"/>
        <v>231</v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35.5</v>
      </c>
      <c r="AK16" s="53">
        <f>'CALCULATOR SHEET'!J22</f>
        <v>112</v>
      </c>
      <c r="AL16" s="53">
        <f t="shared" si="0"/>
        <v>3</v>
      </c>
      <c r="AM16" s="53">
        <f t="shared" si="1"/>
        <v>16</v>
      </c>
      <c r="AN16" s="54">
        <f t="shared" si="2"/>
        <v>231</v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35.5</v>
      </c>
      <c r="AK17" s="53">
        <f>'CALCULATOR SHEET'!J23</f>
        <v>112</v>
      </c>
      <c r="AL17" s="53">
        <f t="shared" si="0"/>
        <v>3</v>
      </c>
      <c r="AM17" s="53">
        <f t="shared" si="1"/>
        <v>16</v>
      </c>
      <c r="AN17" s="54">
        <f t="shared" si="2"/>
        <v>231</v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35.5</v>
      </c>
      <c r="AK18" s="53">
        <f>'CALCULATOR SHEET'!J24</f>
        <v>112</v>
      </c>
      <c r="AL18" s="53">
        <f t="shared" si="0"/>
        <v>3</v>
      </c>
      <c r="AM18" s="53">
        <f t="shared" si="1"/>
        <v>16</v>
      </c>
      <c r="AN18" s="54">
        <f t="shared" si="2"/>
        <v>231</v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25.5</v>
      </c>
      <c r="AK19" s="53">
        <f>'CALCULATOR SHEET'!J25</f>
        <v>112</v>
      </c>
      <c r="AL19" s="53">
        <f t="shared" si="0"/>
        <v>2</v>
      </c>
      <c r="AM19" s="53">
        <f t="shared" si="1"/>
        <v>16</v>
      </c>
      <c r="AN19" s="54">
        <f t="shared" si="2"/>
        <v>200</v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25.5</v>
      </c>
      <c r="AK20" s="53">
        <f>'CALCULATOR SHEET'!J26</f>
        <v>112</v>
      </c>
      <c r="AL20" s="53">
        <f t="shared" si="0"/>
        <v>2</v>
      </c>
      <c r="AM20" s="53">
        <f t="shared" si="1"/>
        <v>16</v>
      </c>
      <c r="AN20" s="54">
        <f t="shared" si="2"/>
        <v>200</v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27.5</v>
      </c>
      <c r="AK21" s="53">
        <f>'CALCULATOR SHEET'!J27</f>
        <v>112</v>
      </c>
      <c r="AL21" s="53">
        <f t="shared" si="0"/>
        <v>2</v>
      </c>
      <c r="AM21" s="53">
        <f t="shared" si="1"/>
        <v>16</v>
      </c>
      <c r="AN21" s="54">
        <f t="shared" si="2"/>
        <v>200</v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27.5</v>
      </c>
      <c r="AK22" s="53">
        <f>'CALCULATOR SHEET'!J28</f>
        <v>112</v>
      </c>
      <c r="AL22" s="53">
        <f t="shared" si="0"/>
        <v>2</v>
      </c>
      <c r="AM22" s="53">
        <f t="shared" si="1"/>
        <v>16</v>
      </c>
      <c r="AN22" s="54">
        <f t="shared" si="2"/>
        <v>200</v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28</v>
      </c>
      <c r="AK23" s="53">
        <f>'CALCULATOR SHEET'!J29</f>
        <v>112</v>
      </c>
      <c r="AL23" s="53">
        <f t="shared" si="0"/>
        <v>2</v>
      </c>
      <c r="AM23" s="53">
        <f t="shared" si="1"/>
        <v>16</v>
      </c>
      <c r="AN23" s="54">
        <f t="shared" si="2"/>
        <v>200</v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28</v>
      </c>
      <c r="AK24" s="53">
        <f>'CALCULATOR SHEET'!J30</f>
        <v>112</v>
      </c>
      <c r="AL24" s="53">
        <f t="shared" si="0"/>
        <v>2</v>
      </c>
      <c r="AM24" s="53">
        <f t="shared" si="1"/>
        <v>16</v>
      </c>
      <c r="AN24" s="54">
        <f t="shared" si="2"/>
        <v>200</v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26</v>
      </c>
      <c r="AK25" s="53">
        <f>'CALCULATOR SHEET'!J31</f>
        <v>112</v>
      </c>
      <c r="AL25" s="53">
        <f t="shared" si="0"/>
        <v>2</v>
      </c>
      <c r="AM25" s="53">
        <f t="shared" si="1"/>
        <v>16</v>
      </c>
      <c r="AN25" s="54">
        <f t="shared" si="2"/>
        <v>200</v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26</v>
      </c>
      <c r="AK26" s="53">
        <f>'CALCULATOR SHEET'!J32</f>
        <v>112</v>
      </c>
      <c r="AL26" s="53">
        <f t="shared" si="0"/>
        <v>2</v>
      </c>
      <c r="AM26" s="53">
        <f t="shared" si="1"/>
        <v>16</v>
      </c>
      <c r="AN26" s="54">
        <f t="shared" si="2"/>
        <v>200</v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112.5</v>
      </c>
      <c r="AL27" s="53">
        <f t="shared" si="0"/>
        <v>6</v>
      </c>
      <c r="AM27" s="53">
        <f t="shared" si="1"/>
        <v>16</v>
      </c>
      <c r="AN27" s="54">
        <f t="shared" si="2"/>
        <v>315</v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52.25</v>
      </c>
      <c r="AK28" s="53">
        <f>'CALCULATOR SHEET'!J34</f>
        <v>112.5</v>
      </c>
      <c r="AL28" s="53">
        <f t="shared" si="0"/>
        <v>6</v>
      </c>
      <c r="AM28" s="53">
        <f t="shared" si="1"/>
        <v>16</v>
      </c>
      <c r="AN28" s="54">
        <f t="shared" si="2"/>
        <v>315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56</v>
      </c>
      <c r="AK29" s="53">
        <f>'CALCULATOR SHEET'!J35</f>
        <v>112.5</v>
      </c>
      <c r="AL29" s="53">
        <f t="shared" si="0"/>
        <v>7</v>
      </c>
      <c r="AM29" s="53">
        <f t="shared" si="1"/>
        <v>16</v>
      </c>
      <c r="AN29" s="54">
        <f t="shared" si="2"/>
        <v>343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51.25</v>
      </c>
      <c r="AK30" s="53">
        <f>'CALCULATOR SHEET'!J36</f>
        <v>112.5</v>
      </c>
      <c r="AL30" s="53">
        <f t="shared" si="0"/>
        <v>6</v>
      </c>
      <c r="AM30" s="53">
        <f t="shared" si="1"/>
        <v>16</v>
      </c>
      <c r="AN30" s="54">
        <f t="shared" si="2"/>
        <v>315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47</v>
      </c>
      <c r="AK7" s="53">
        <f>'CALCULATOR SHEET'!J13</f>
        <v>116</v>
      </c>
      <c r="AL7" s="53">
        <f>IF(AJ7=0,"",MATCH(CEILING(AJ7,6),$D$4:$Z$4,0))</f>
        <v>5</v>
      </c>
      <c r="AM7" s="53">
        <f>IF(AK7=0,"",MATCH(CEILING(AK7,6),$C$7:$C$28,0))</f>
        <v>17</v>
      </c>
      <c r="AN7" s="54">
        <f>IF(AL7="","",INDEX($D$7:$Z$28,AM7,AL7))</f>
        <v>339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40.5</v>
      </c>
      <c r="AK8" s="53">
        <f>'CALCULATOR SHEET'!J14</f>
        <v>116</v>
      </c>
      <c r="AL8" s="53">
        <f t="shared" ref="AL8:AL71" si="1">IF(AJ8=0,"",MATCH(CEILING(AJ8,6),$D$4:$Z$4,0))</f>
        <v>4</v>
      </c>
      <c r="AM8" s="53">
        <f t="shared" ref="AM8:AM71" si="2">IF(AK8=0,"",MATCH(CEILING(AK8,6),$C$7:$C$28,0))</f>
        <v>17</v>
      </c>
      <c r="AN8" s="54">
        <f t="shared" ref="AN8:AN71" si="3">IF(AL8="","",INDEX($D$7:$Z$28,AM8,AL8))</f>
        <v>304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47</v>
      </c>
      <c r="AK9" s="53">
        <f>'CALCULATOR SHEET'!J15</f>
        <v>116</v>
      </c>
      <c r="AL9" s="53">
        <f>IF(AJ9=0,"",MATCH(CEILING(AJ9,6),$D$4:$Z$4,0))</f>
        <v>5</v>
      </c>
      <c r="AM9" s="53">
        <f t="shared" si="2"/>
        <v>17</v>
      </c>
      <c r="AN9" s="54">
        <f t="shared" si="3"/>
        <v>339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36</v>
      </c>
      <c r="AK10" s="53">
        <f>'CALCULATOR SHEET'!J16</f>
        <v>117.5</v>
      </c>
      <c r="AL10" s="53">
        <f t="shared" si="1"/>
        <v>3</v>
      </c>
      <c r="AM10" s="53">
        <f t="shared" si="2"/>
        <v>17</v>
      </c>
      <c r="AN10" s="54">
        <f t="shared" si="3"/>
        <v>270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32.5</v>
      </c>
      <c r="AK11" s="53">
        <f>'CALCULATOR SHEET'!J17</f>
        <v>117.5</v>
      </c>
      <c r="AL11" s="53">
        <f t="shared" si="1"/>
        <v>3</v>
      </c>
      <c r="AM11" s="53">
        <f t="shared" si="2"/>
        <v>17</v>
      </c>
      <c r="AN11" s="54">
        <f t="shared" si="3"/>
        <v>270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39.5</v>
      </c>
      <c r="AK12" s="53">
        <f>'CALCULATOR SHEET'!J18</f>
        <v>117.5</v>
      </c>
      <c r="AL12" s="53">
        <f t="shared" si="1"/>
        <v>4</v>
      </c>
      <c r="AM12" s="53">
        <f t="shared" si="2"/>
        <v>17</v>
      </c>
      <c r="AN12" s="54">
        <f t="shared" si="3"/>
        <v>304</v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28.5</v>
      </c>
      <c r="AK13" s="53">
        <f>'CALCULATOR SHEET'!J19</f>
        <v>112.5</v>
      </c>
      <c r="AL13" s="53">
        <f t="shared" si="1"/>
        <v>2</v>
      </c>
      <c r="AM13" s="53">
        <f t="shared" si="2"/>
        <v>16</v>
      </c>
      <c r="AN13" s="54">
        <f t="shared" si="3"/>
        <v>225</v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58</v>
      </c>
      <c r="AK14" s="53">
        <f>'CALCULATOR SHEET'!J20</f>
        <v>112.5</v>
      </c>
      <c r="AL14" s="53">
        <f t="shared" si="1"/>
        <v>7</v>
      </c>
      <c r="AM14" s="53">
        <f t="shared" si="2"/>
        <v>16</v>
      </c>
      <c r="AN14" s="54">
        <f t="shared" si="3"/>
        <v>393</v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35.5</v>
      </c>
      <c r="AK15" s="53">
        <f>'CALCULATOR SHEET'!J21</f>
        <v>112</v>
      </c>
      <c r="AL15" s="53">
        <f t="shared" si="1"/>
        <v>3</v>
      </c>
      <c r="AM15" s="53">
        <f t="shared" si="2"/>
        <v>16</v>
      </c>
      <c r="AN15" s="54">
        <f t="shared" si="3"/>
        <v>261</v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35.5</v>
      </c>
      <c r="AK16" s="53">
        <f>'CALCULATOR SHEET'!J22</f>
        <v>112</v>
      </c>
      <c r="AL16" s="53">
        <f t="shared" si="1"/>
        <v>3</v>
      </c>
      <c r="AM16" s="53">
        <f t="shared" si="2"/>
        <v>16</v>
      </c>
      <c r="AN16" s="54">
        <f t="shared" si="3"/>
        <v>261</v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35.5</v>
      </c>
      <c r="AK17" s="53">
        <f>'CALCULATOR SHEET'!J23</f>
        <v>112</v>
      </c>
      <c r="AL17" s="53">
        <f t="shared" si="1"/>
        <v>3</v>
      </c>
      <c r="AM17" s="53">
        <f t="shared" si="2"/>
        <v>16</v>
      </c>
      <c r="AN17" s="54">
        <f t="shared" si="3"/>
        <v>261</v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35.5</v>
      </c>
      <c r="AK18" s="53">
        <f>'CALCULATOR SHEET'!J24</f>
        <v>112</v>
      </c>
      <c r="AL18" s="53">
        <f t="shared" si="1"/>
        <v>3</v>
      </c>
      <c r="AM18" s="53">
        <f t="shared" si="2"/>
        <v>16</v>
      </c>
      <c r="AN18" s="54">
        <f t="shared" si="3"/>
        <v>261</v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25.5</v>
      </c>
      <c r="AK19" s="53">
        <f>'CALCULATOR SHEET'!J25</f>
        <v>112</v>
      </c>
      <c r="AL19" s="53">
        <f t="shared" si="1"/>
        <v>2</v>
      </c>
      <c r="AM19" s="53">
        <f t="shared" si="2"/>
        <v>16</v>
      </c>
      <c r="AN19" s="54">
        <f t="shared" si="3"/>
        <v>225</v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25.5</v>
      </c>
      <c r="AK20" s="53">
        <f>'CALCULATOR SHEET'!J26</f>
        <v>112</v>
      </c>
      <c r="AL20" s="53">
        <f t="shared" si="1"/>
        <v>2</v>
      </c>
      <c r="AM20" s="53">
        <f t="shared" si="2"/>
        <v>16</v>
      </c>
      <c r="AN20" s="54">
        <f t="shared" si="3"/>
        <v>225</v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27.5</v>
      </c>
      <c r="AK21" s="53">
        <f>'CALCULATOR SHEET'!J27</f>
        <v>112</v>
      </c>
      <c r="AL21" s="53">
        <f t="shared" si="1"/>
        <v>2</v>
      </c>
      <c r="AM21" s="53">
        <f t="shared" si="2"/>
        <v>16</v>
      </c>
      <c r="AN21" s="54">
        <f t="shared" si="3"/>
        <v>225</v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27.5</v>
      </c>
      <c r="AK22" s="53">
        <f>'CALCULATOR SHEET'!J28</f>
        <v>112</v>
      </c>
      <c r="AL22" s="53">
        <f t="shared" si="1"/>
        <v>2</v>
      </c>
      <c r="AM22" s="53">
        <f t="shared" si="2"/>
        <v>16</v>
      </c>
      <c r="AN22" s="54">
        <f t="shared" si="3"/>
        <v>225</v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28</v>
      </c>
      <c r="AK23" s="53">
        <f>'CALCULATOR SHEET'!J29</f>
        <v>112</v>
      </c>
      <c r="AL23" s="53">
        <f t="shared" si="1"/>
        <v>2</v>
      </c>
      <c r="AM23" s="53">
        <f t="shared" si="2"/>
        <v>16</v>
      </c>
      <c r="AN23" s="54">
        <f t="shared" si="3"/>
        <v>225</v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28</v>
      </c>
      <c r="AK24" s="53">
        <f>'CALCULATOR SHEET'!J30</f>
        <v>112</v>
      </c>
      <c r="AL24" s="53">
        <f t="shared" si="1"/>
        <v>2</v>
      </c>
      <c r="AM24" s="53">
        <f t="shared" si="2"/>
        <v>16</v>
      </c>
      <c r="AN24" s="54">
        <f t="shared" si="3"/>
        <v>225</v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26</v>
      </c>
      <c r="AK25" s="53">
        <f>'CALCULATOR SHEET'!J31</f>
        <v>112</v>
      </c>
      <c r="AL25" s="53">
        <f t="shared" si="1"/>
        <v>2</v>
      </c>
      <c r="AM25" s="53">
        <f t="shared" si="2"/>
        <v>16</v>
      </c>
      <c r="AN25" s="54">
        <f t="shared" si="3"/>
        <v>225</v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26</v>
      </c>
      <c r="AK26" s="53">
        <f>'CALCULATOR SHEET'!J32</f>
        <v>112</v>
      </c>
      <c r="AL26" s="53">
        <f t="shared" si="1"/>
        <v>2</v>
      </c>
      <c r="AM26" s="53">
        <f t="shared" si="2"/>
        <v>16</v>
      </c>
      <c r="AN26" s="54">
        <f t="shared" si="3"/>
        <v>225</v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52</v>
      </c>
      <c r="AK27" s="53">
        <f>'CALCULATOR SHEET'!J33</f>
        <v>112.5</v>
      </c>
      <c r="AL27" s="53">
        <f t="shared" si="1"/>
        <v>6</v>
      </c>
      <c r="AM27" s="53">
        <f t="shared" si="2"/>
        <v>16</v>
      </c>
      <c r="AN27" s="54">
        <f t="shared" si="3"/>
        <v>360</v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52.25</v>
      </c>
      <c r="AK28" s="53">
        <f>'CALCULATOR SHEET'!J34</f>
        <v>112.5</v>
      </c>
      <c r="AL28" s="53">
        <f t="shared" si="1"/>
        <v>6</v>
      </c>
      <c r="AM28" s="53">
        <f t="shared" si="2"/>
        <v>16</v>
      </c>
      <c r="AN28" s="54">
        <f t="shared" si="3"/>
        <v>360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56</v>
      </c>
      <c r="AK29" s="53">
        <f>'CALCULATOR SHEET'!J35</f>
        <v>112.5</v>
      </c>
      <c r="AL29" s="53">
        <f t="shared" si="1"/>
        <v>7</v>
      </c>
      <c r="AM29" s="53">
        <f t="shared" si="2"/>
        <v>16</v>
      </c>
      <c r="AN29" s="54">
        <f t="shared" si="3"/>
        <v>393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51.25</v>
      </c>
      <c r="AK30" s="53">
        <f>'CALCULATOR SHEET'!J36</f>
        <v>112.5</v>
      </c>
      <c r="AL30" s="53">
        <f t="shared" si="1"/>
        <v>6</v>
      </c>
      <c r="AM30" s="53">
        <f t="shared" si="2"/>
        <v>16</v>
      </c>
      <c r="AN30" s="54">
        <f t="shared" si="3"/>
        <v>360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5" t="s">
        <v>298</v>
      </c>
      <c r="N1" s="385"/>
      <c r="O1" s="385"/>
      <c r="P1" s="385"/>
      <c r="Q1" s="385"/>
      <c r="R1" s="385"/>
      <c r="S1" s="385"/>
      <c r="T1" s="385"/>
      <c r="W1" s="24" t="s">
        <v>4</v>
      </c>
      <c r="X1" s="383">
        <v>44656</v>
      </c>
      <c r="Y1" s="383"/>
      <c r="AF1" s="8"/>
      <c r="AG1" s="8"/>
    </row>
    <row r="2" spans="1:93" s="1" customFormat="1" ht="18" customHeight="1">
      <c r="E2" s="20"/>
      <c r="M2" s="385"/>
      <c r="N2" s="385"/>
      <c r="O2" s="385"/>
      <c r="P2" s="385"/>
      <c r="Q2" s="385"/>
      <c r="R2" s="385"/>
      <c r="S2" s="385"/>
      <c r="T2" s="385"/>
      <c r="W2" s="25"/>
      <c r="AF2" s="8"/>
      <c r="AG2" s="8"/>
    </row>
    <row r="3" spans="1:93" s="1" customFormat="1" ht="18" customHeight="1" thickBot="1">
      <c r="E3" s="15"/>
      <c r="M3" s="386"/>
      <c r="N3" s="386"/>
      <c r="O3" s="386"/>
      <c r="P3" s="386"/>
      <c r="Q3" s="386"/>
      <c r="R3" s="386"/>
      <c r="S3" s="386"/>
      <c r="T3" s="386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47</v>
      </c>
      <c r="AK7" s="53">
        <f>'CALCULATOR SHEET'!J13</f>
        <v>116</v>
      </c>
      <c r="AL7" s="53">
        <f>IF(AJ7=0,"",MATCH(CEILING(AJ7,6),$D$4:$Z$4,0))</f>
        <v>5</v>
      </c>
      <c r="AM7" s="53">
        <f>IF(AK7=0,"",MATCH(CEILING(AK7,6),$C$7:$C$28,0))</f>
        <v>17</v>
      </c>
      <c r="AN7" s="54">
        <f>IF(AL7="","",INDEX($D$7:$Z$28,AM7,AL7))</f>
        <v>446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40.5</v>
      </c>
      <c r="AK8" s="53">
        <f>'CALCULATOR SHEET'!J14</f>
        <v>116</v>
      </c>
      <c r="AL8" s="53">
        <f t="shared" ref="AL8:AL71" si="17">IF(AJ8=0,"",MATCH(CEILING(AJ8,6),$D$4:$Z$4,0))</f>
        <v>4</v>
      </c>
      <c r="AM8" s="53">
        <f t="shared" ref="AM8:AM71" si="18">IF(AK8=0,"",MATCH(CEILING(AK8,6),$C$7:$C$28,0))</f>
        <v>17</v>
      </c>
      <c r="AN8" s="54">
        <f t="shared" ref="AN8:AN71" si="19">IF(AL8="","",INDEX($D$7:$Z$28,AM8,AL8))</f>
        <v>403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47</v>
      </c>
      <c r="AK9" s="53">
        <f>'CALCULATOR SHEET'!J15</f>
        <v>116</v>
      </c>
      <c r="AL9" s="53">
        <f t="shared" si="17"/>
        <v>5</v>
      </c>
      <c r="AM9" s="53">
        <f t="shared" si="18"/>
        <v>17</v>
      </c>
      <c r="AN9" s="54">
        <f t="shared" si="19"/>
        <v>446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36</v>
      </c>
      <c r="AK10" s="53">
        <f>'CALCULATOR SHEET'!J16</f>
        <v>117.5</v>
      </c>
      <c r="AL10" s="53">
        <f t="shared" si="17"/>
        <v>3</v>
      </c>
      <c r="AM10" s="53">
        <f t="shared" si="18"/>
        <v>17</v>
      </c>
      <c r="AN10" s="54">
        <f t="shared" si="19"/>
        <v>358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32.5</v>
      </c>
      <c r="AK11" s="53">
        <f>'CALCULATOR SHEET'!J17</f>
        <v>117.5</v>
      </c>
      <c r="AL11" s="53">
        <f t="shared" si="17"/>
        <v>3</v>
      </c>
      <c r="AM11" s="53">
        <f t="shared" si="18"/>
        <v>17</v>
      </c>
      <c r="AN11" s="54">
        <f t="shared" si="19"/>
        <v>358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39.5</v>
      </c>
      <c r="AK12" s="53">
        <f>'CALCULATOR SHEET'!J18</f>
        <v>117.5</v>
      </c>
      <c r="AL12" s="53">
        <f t="shared" si="17"/>
        <v>4</v>
      </c>
      <c r="AM12" s="53">
        <f t="shared" si="18"/>
        <v>17</v>
      </c>
      <c r="AN12" s="54">
        <f t="shared" si="19"/>
        <v>403</v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28.5</v>
      </c>
      <c r="AK13" s="53">
        <f>'CALCULATOR SHEET'!J19</f>
        <v>112.5</v>
      </c>
      <c r="AL13" s="53">
        <f t="shared" si="17"/>
        <v>2</v>
      </c>
      <c r="AM13" s="53">
        <f t="shared" si="18"/>
        <v>16</v>
      </c>
      <c r="AN13" s="54">
        <f t="shared" si="19"/>
        <v>303</v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58</v>
      </c>
      <c r="AK14" s="53">
        <f>'CALCULATOR SHEET'!J20</f>
        <v>112.5</v>
      </c>
      <c r="AL14" s="53">
        <f t="shared" si="17"/>
        <v>7</v>
      </c>
      <c r="AM14" s="53">
        <f t="shared" si="18"/>
        <v>16</v>
      </c>
      <c r="AN14" s="54">
        <f t="shared" si="19"/>
        <v>516</v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35.5</v>
      </c>
      <c r="AK15" s="53">
        <f>'CALCULATOR SHEET'!J21</f>
        <v>112</v>
      </c>
      <c r="AL15" s="53">
        <f t="shared" si="17"/>
        <v>3</v>
      </c>
      <c r="AM15" s="53">
        <f t="shared" si="18"/>
        <v>16</v>
      </c>
      <c r="AN15" s="54">
        <f t="shared" si="19"/>
        <v>346</v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35.5</v>
      </c>
      <c r="AK16" s="53">
        <f>'CALCULATOR SHEET'!J22</f>
        <v>112</v>
      </c>
      <c r="AL16" s="53">
        <f t="shared" si="17"/>
        <v>3</v>
      </c>
      <c r="AM16" s="53">
        <f t="shared" si="18"/>
        <v>16</v>
      </c>
      <c r="AN16" s="54">
        <f t="shared" si="19"/>
        <v>346</v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35.5</v>
      </c>
      <c r="AK17" s="53">
        <f>'CALCULATOR SHEET'!J23</f>
        <v>112</v>
      </c>
      <c r="AL17" s="53">
        <f t="shared" si="17"/>
        <v>3</v>
      </c>
      <c r="AM17" s="53">
        <f t="shared" si="18"/>
        <v>16</v>
      </c>
      <c r="AN17" s="54">
        <f t="shared" si="19"/>
        <v>346</v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35.5</v>
      </c>
      <c r="AK18" s="53">
        <f>'CALCULATOR SHEET'!J24</f>
        <v>112</v>
      </c>
      <c r="AL18" s="53">
        <f t="shared" si="17"/>
        <v>3</v>
      </c>
      <c r="AM18" s="53">
        <f t="shared" si="18"/>
        <v>16</v>
      </c>
      <c r="AN18" s="54">
        <f t="shared" si="19"/>
        <v>346</v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25.5</v>
      </c>
      <c r="AK19" s="53">
        <f>'CALCULATOR SHEET'!J25</f>
        <v>112</v>
      </c>
      <c r="AL19" s="53">
        <f t="shared" si="17"/>
        <v>2</v>
      </c>
      <c r="AM19" s="53">
        <f t="shared" si="18"/>
        <v>16</v>
      </c>
      <c r="AN19" s="54">
        <f t="shared" si="19"/>
        <v>303</v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25.5</v>
      </c>
      <c r="AK20" s="53">
        <f>'CALCULATOR SHEET'!J26</f>
        <v>112</v>
      </c>
      <c r="AL20" s="53">
        <f t="shared" si="17"/>
        <v>2</v>
      </c>
      <c r="AM20" s="53">
        <f t="shared" si="18"/>
        <v>16</v>
      </c>
      <c r="AN20" s="54">
        <f t="shared" si="19"/>
        <v>303</v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27.5</v>
      </c>
      <c r="AK21" s="53">
        <f>'CALCULATOR SHEET'!J27</f>
        <v>112</v>
      </c>
      <c r="AL21" s="53">
        <f t="shared" si="17"/>
        <v>2</v>
      </c>
      <c r="AM21" s="53">
        <f t="shared" si="18"/>
        <v>16</v>
      </c>
      <c r="AN21" s="54">
        <f t="shared" si="19"/>
        <v>303</v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27.5</v>
      </c>
      <c r="AK22" s="53">
        <f>'CALCULATOR SHEET'!J28</f>
        <v>112</v>
      </c>
      <c r="AL22" s="53">
        <f t="shared" si="17"/>
        <v>2</v>
      </c>
      <c r="AM22" s="53">
        <f t="shared" si="18"/>
        <v>16</v>
      </c>
      <c r="AN22" s="54">
        <f t="shared" si="19"/>
        <v>303</v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28</v>
      </c>
      <c r="AK23" s="53">
        <f>'CALCULATOR SHEET'!J29</f>
        <v>112</v>
      </c>
      <c r="AL23" s="53">
        <f t="shared" si="17"/>
        <v>2</v>
      </c>
      <c r="AM23" s="53">
        <f t="shared" si="18"/>
        <v>16</v>
      </c>
      <c r="AN23" s="54">
        <f t="shared" si="19"/>
        <v>303</v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28</v>
      </c>
      <c r="AK24" s="53">
        <f>'CALCULATOR SHEET'!J30</f>
        <v>112</v>
      </c>
      <c r="AL24" s="53">
        <f t="shared" si="17"/>
        <v>2</v>
      </c>
      <c r="AM24" s="53">
        <f t="shared" si="18"/>
        <v>16</v>
      </c>
      <c r="AN24" s="54">
        <f t="shared" si="19"/>
        <v>303</v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26</v>
      </c>
      <c r="AK25" s="53">
        <f>'CALCULATOR SHEET'!J31</f>
        <v>112</v>
      </c>
      <c r="AL25" s="53">
        <f t="shared" si="17"/>
        <v>2</v>
      </c>
      <c r="AM25" s="53">
        <f t="shared" si="18"/>
        <v>16</v>
      </c>
      <c r="AN25" s="54">
        <f t="shared" si="19"/>
        <v>303</v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26</v>
      </c>
      <c r="AK26" s="53">
        <f>'CALCULATOR SHEET'!J32</f>
        <v>112</v>
      </c>
      <c r="AL26" s="53">
        <f t="shared" si="17"/>
        <v>2</v>
      </c>
      <c r="AM26" s="53">
        <f t="shared" si="18"/>
        <v>16</v>
      </c>
      <c r="AN26" s="54">
        <f t="shared" si="19"/>
        <v>303</v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52</v>
      </c>
      <c r="AK27" s="53">
        <f>'CALCULATOR SHEET'!J33</f>
        <v>112.5</v>
      </c>
      <c r="AL27" s="53">
        <f t="shared" si="17"/>
        <v>6</v>
      </c>
      <c r="AM27" s="53">
        <f t="shared" si="18"/>
        <v>16</v>
      </c>
      <c r="AN27" s="54">
        <f t="shared" si="19"/>
        <v>475</v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52.25</v>
      </c>
      <c r="AK28" s="53">
        <f>'CALCULATOR SHEET'!J34</f>
        <v>112.5</v>
      </c>
      <c r="AL28" s="53">
        <f t="shared" si="17"/>
        <v>6</v>
      </c>
      <c r="AM28" s="53">
        <f t="shared" si="18"/>
        <v>16</v>
      </c>
      <c r="AN28" s="54">
        <f t="shared" si="19"/>
        <v>475</v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56</v>
      </c>
      <c r="AK29" s="53">
        <f>'CALCULATOR SHEET'!J35</f>
        <v>112.5</v>
      </c>
      <c r="AL29" s="53">
        <f t="shared" si="17"/>
        <v>7</v>
      </c>
      <c r="AM29" s="53">
        <f t="shared" si="18"/>
        <v>16</v>
      </c>
      <c r="AN29" s="54">
        <f t="shared" si="19"/>
        <v>516</v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51.25</v>
      </c>
      <c r="AK30" s="53">
        <f>'CALCULATOR SHEET'!J36</f>
        <v>112.5</v>
      </c>
      <c r="AL30" s="53">
        <f t="shared" si="17"/>
        <v>6</v>
      </c>
      <c r="AM30" s="53">
        <f t="shared" si="18"/>
        <v>16</v>
      </c>
      <c r="AN30" s="54">
        <f t="shared" si="19"/>
        <v>475</v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7" t="s">
        <v>216</v>
      </c>
      <c r="V7" s="147"/>
      <c r="W7" s="147" t="str">
        <f>'CALCULATOR SHEET'!E13</f>
        <v>GROUP 1</v>
      </c>
      <c r="X7" s="1">
        <v>1</v>
      </c>
      <c r="Y7" s="7">
        <f>'CALCULATOR SHEET'!I13</f>
        <v>47</v>
      </c>
      <c r="Z7" s="7">
        <f>'CALCULATOR SHEET'!J13</f>
        <v>116</v>
      </c>
      <c r="AA7" s="7">
        <f>IF(Y7=0,"",MATCH(CEILING(Y7,6),$C$7:$R$7,0))</f>
        <v>4</v>
      </c>
      <c r="AB7" s="7">
        <f>IF(Z7=0,"",MATCH(CEILING(Z7,6),$B$10:$B$26,0))</f>
        <v>15</v>
      </c>
      <c r="AC7" s="146">
        <f>IF(AA7="","",IF(W7="GROUP 1",INDEX($C$10:$R$26,AB7,AA7),IF(W7="GROUP 2",INDEX($C$39:$R$55,AB7,AA7),IF(W7="GROUP 3",INDEX($C$64:$R$80,AB7,AA7),""))))</f>
        <v>778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218</v>
      </c>
      <c r="AF7" s="13">
        <f>IF(Y7&gt;0,HLOOKUP(AA7,$C$29:$R$30,2,FALSE),"")</f>
        <v>0</v>
      </c>
    </row>
    <row r="8" spans="2:32" ht="15.75">
      <c r="U8" s="387"/>
      <c r="V8" s="147"/>
      <c r="W8" s="147" t="str">
        <f>'CALCULATOR SHEET'!E14</f>
        <v>GROUP 1</v>
      </c>
      <c r="X8" s="1">
        <f>+X7+1</f>
        <v>2</v>
      </c>
      <c r="Y8" s="7">
        <f>'CALCULATOR SHEET'!I14</f>
        <v>40.5</v>
      </c>
      <c r="Z8" s="7">
        <f>'CALCULATOR SHEET'!J14</f>
        <v>116</v>
      </c>
      <c r="AA8" s="7">
        <f t="shared" ref="AA8:AA28" si="1">IF(Y8=0,"",MATCH(CEILING(Y8,6),$C$7:$R$7,0))</f>
        <v>3</v>
      </c>
      <c r="AB8" s="7">
        <f t="shared" ref="AB8:AB28" si="2">IF(Z8=0,"",MATCH(CEILING(Z8,6),$B$10:$B$26,0))</f>
        <v>15</v>
      </c>
      <c r="AC8" s="146">
        <f t="shared" ref="AC8:AC71" si="3">IF(AA8="","",IF(W8="GROUP 1",INDEX($C$10:$R$26,AB8,AA8),IF(W8="GROUP 2",INDEX($C$39:$R$55,AB8,AA8),IF(W8="GROUP 3",INDEX($C$64:$R$80,AB8,AA8),""))))</f>
        <v>756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218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1</v>
      </c>
      <c r="X9" s="1">
        <f t="shared" ref="X9:X28" si="6">+X8+1</f>
        <v>3</v>
      </c>
      <c r="Y9" s="7">
        <f>'CALCULATOR SHEET'!I15</f>
        <v>47</v>
      </c>
      <c r="Z9" s="7">
        <f>'CALCULATOR SHEET'!J15</f>
        <v>116</v>
      </c>
      <c r="AA9" s="7">
        <f t="shared" si="1"/>
        <v>4</v>
      </c>
      <c r="AB9" s="7">
        <f t="shared" si="2"/>
        <v>15</v>
      </c>
      <c r="AC9" s="146">
        <f t="shared" si="3"/>
        <v>778</v>
      </c>
      <c r="AD9" s="13" t="str">
        <f>IF(AND('CALCULATOR SHEET'!P15="YES",'CALCULATOR SHEET'!Q15="YES"),HLOOKUP(CEILING(Y9,6),$C$28:$Q$31,3,FALSE),"")</f>
        <v/>
      </c>
      <c r="AE9" s="13">
        <f t="shared" si="4"/>
        <v>218</v>
      </c>
      <c r="AF9" s="13">
        <f t="shared" si="5"/>
        <v>0</v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1</v>
      </c>
      <c r="X10" s="1">
        <f t="shared" si="6"/>
        <v>4</v>
      </c>
      <c r="Y10" s="7">
        <f>'CALCULATOR SHEET'!I16</f>
        <v>36</v>
      </c>
      <c r="Z10" s="7">
        <f>'CALCULATOR SHEET'!J16</f>
        <v>117.5</v>
      </c>
      <c r="AA10" s="7">
        <f t="shared" si="1"/>
        <v>2</v>
      </c>
      <c r="AB10" s="7">
        <f t="shared" si="2"/>
        <v>15</v>
      </c>
      <c r="AC10" s="146">
        <f t="shared" si="3"/>
        <v>733</v>
      </c>
      <c r="AD10" s="13" t="str">
        <f>IF(AND('CALCULATOR SHEET'!P16="YES",'CALCULATOR SHEET'!Q16="YES"),HLOOKUP(CEILING(Y10,6),$C$28:$Q$31,3,FALSE),"")</f>
        <v/>
      </c>
      <c r="AE10" s="13">
        <f t="shared" si="4"/>
        <v>218</v>
      </c>
      <c r="AF10" s="13">
        <f t="shared" si="5"/>
        <v>0</v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1</v>
      </c>
      <c r="X11" s="1">
        <f t="shared" si="6"/>
        <v>5</v>
      </c>
      <c r="Y11" s="7">
        <f>'CALCULATOR SHEET'!I17</f>
        <v>32.5</v>
      </c>
      <c r="Z11" s="7">
        <f>'CALCULATOR SHEET'!J17</f>
        <v>117.5</v>
      </c>
      <c r="AA11" s="7">
        <f t="shared" si="1"/>
        <v>2</v>
      </c>
      <c r="AB11" s="7">
        <f t="shared" si="2"/>
        <v>15</v>
      </c>
      <c r="AC11" s="146">
        <f t="shared" si="3"/>
        <v>733</v>
      </c>
      <c r="AD11" s="13" t="str">
        <f>IF(AND('CALCULATOR SHEET'!P17="YES",'CALCULATOR SHEET'!Q17="YES"),HLOOKUP(CEILING(Y11,6),$C$28:$Q$31,3,FALSE),"")</f>
        <v/>
      </c>
      <c r="AE11" s="13">
        <f t="shared" si="4"/>
        <v>218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 t="str">
        <f>'CALCULATOR SHEET'!E18</f>
        <v>GROUP 1</v>
      </c>
      <c r="X12" s="1">
        <f t="shared" si="6"/>
        <v>6</v>
      </c>
      <c r="Y12" s="7">
        <f>'CALCULATOR SHEET'!I18</f>
        <v>39.5</v>
      </c>
      <c r="Z12" s="7">
        <f>'CALCULATOR SHEET'!J18</f>
        <v>117.5</v>
      </c>
      <c r="AA12" s="7">
        <f t="shared" si="1"/>
        <v>3</v>
      </c>
      <c r="AB12" s="7">
        <f t="shared" si="2"/>
        <v>15</v>
      </c>
      <c r="AC12" s="146">
        <f t="shared" si="3"/>
        <v>756</v>
      </c>
      <c r="AD12" s="13" t="str">
        <f>IF(AND('CALCULATOR SHEET'!P18="YES",'CALCULATOR SHEET'!Q18="YES"),HLOOKUP(CEILING(Y12,6),$C$28:$Q$31,3,FALSE),"")</f>
        <v/>
      </c>
      <c r="AE12" s="13">
        <f t="shared" si="4"/>
        <v>218</v>
      </c>
      <c r="AF12" s="13">
        <f t="shared" si="5"/>
        <v>0</v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 t="str">
        <f>'CALCULATOR SHEET'!E19</f>
        <v>GROUP 1</v>
      </c>
      <c r="X13" s="1">
        <f t="shared" si="6"/>
        <v>7</v>
      </c>
      <c r="Y13" s="7">
        <f>'CALCULATOR SHEET'!I19</f>
        <v>28.5</v>
      </c>
      <c r="Z13" s="7">
        <f>'CALCULATOR SHEET'!J19</f>
        <v>112.5</v>
      </c>
      <c r="AA13" s="7">
        <f t="shared" si="1"/>
        <v>1</v>
      </c>
      <c r="AB13" s="7">
        <f t="shared" si="2"/>
        <v>14</v>
      </c>
      <c r="AC13" s="146">
        <f t="shared" si="3"/>
        <v>709</v>
      </c>
      <c r="AD13" s="13" t="str">
        <f>IF(AND('CALCULATOR SHEET'!P19="YES",'CALCULATOR SHEET'!Q19="YES"),HLOOKUP(CEILING(Y13,6),$C$28:$Q$31,3,FALSE),"")</f>
        <v/>
      </c>
      <c r="AE13" s="13">
        <f t="shared" si="4"/>
        <v>216</v>
      </c>
      <c r="AF13" s="13">
        <f t="shared" si="5"/>
        <v>0</v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 t="str">
        <f>'CALCULATOR SHEET'!E20</f>
        <v>GROUP 1</v>
      </c>
      <c r="X14" s="1">
        <f t="shared" si="6"/>
        <v>8</v>
      </c>
      <c r="Y14" s="7">
        <f>'CALCULATOR SHEET'!I20</f>
        <v>58</v>
      </c>
      <c r="Z14" s="7">
        <f>'CALCULATOR SHEET'!J20</f>
        <v>112.5</v>
      </c>
      <c r="AA14" s="7">
        <f t="shared" si="1"/>
        <v>6</v>
      </c>
      <c r="AB14" s="7">
        <f t="shared" si="2"/>
        <v>14</v>
      </c>
      <c r="AC14" s="146">
        <f t="shared" si="3"/>
        <v>818</v>
      </c>
      <c r="AD14" s="13" t="str">
        <f>IF(AND('CALCULATOR SHEET'!P20="YES",'CALCULATOR SHEET'!Q20="YES"),HLOOKUP(CEILING(Y14,6),$C$28:$Q$31,3,FALSE),"")</f>
        <v/>
      </c>
      <c r="AE14" s="13">
        <f t="shared" si="4"/>
        <v>216</v>
      </c>
      <c r="AF14" s="13">
        <f t="shared" si="5"/>
        <v>0</v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 t="str">
        <f>'CALCULATOR SHEET'!E21</f>
        <v>GROUP 2</v>
      </c>
      <c r="X15" s="1">
        <f t="shared" si="6"/>
        <v>9</v>
      </c>
      <c r="Y15" s="7">
        <f>'CALCULATOR SHEET'!I21</f>
        <v>35.5</v>
      </c>
      <c r="Z15" s="7">
        <f>'CALCULATOR SHEET'!J21</f>
        <v>112</v>
      </c>
      <c r="AA15" s="7">
        <f t="shared" si="1"/>
        <v>2</v>
      </c>
      <c r="AB15" s="7">
        <f t="shared" si="2"/>
        <v>14</v>
      </c>
      <c r="AC15" s="146">
        <f t="shared" si="3"/>
        <v>826</v>
      </c>
      <c r="AD15" s="13" t="str">
        <f>IF(AND('CALCULATOR SHEET'!P21="YES",'CALCULATOR SHEET'!Q21="YES"),HLOOKUP(CEILING(Y15,6),$C$28:$Q$31,3,FALSE),"")</f>
        <v/>
      </c>
      <c r="AE15" s="13">
        <f t="shared" si="4"/>
        <v>216</v>
      </c>
      <c r="AF15" s="13">
        <f t="shared" si="5"/>
        <v>0</v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 t="str">
        <f>'CALCULATOR SHEET'!E22</f>
        <v>GROUP 1</v>
      </c>
      <c r="X16" s="1">
        <f t="shared" si="6"/>
        <v>10</v>
      </c>
      <c r="Y16" s="7">
        <f>'CALCULATOR SHEET'!I22</f>
        <v>35.5</v>
      </c>
      <c r="Z16" s="7">
        <f>'CALCULATOR SHEET'!J22</f>
        <v>112</v>
      </c>
      <c r="AA16" s="7">
        <f t="shared" si="1"/>
        <v>2</v>
      </c>
      <c r="AB16" s="7">
        <f t="shared" si="2"/>
        <v>14</v>
      </c>
      <c r="AC16" s="146">
        <f t="shared" si="3"/>
        <v>730</v>
      </c>
      <c r="AD16" s="13" t="str">
        <f>IF(AND('CALCULATOR SHEET'!P22="YES",'CALCULATOR SHEET'!Q22="YES"),HLOOKUP(CEILING(Y16,6),$C$28:$Q$31,3,FALSE),"")</f>
        <v/>
      </c>
      <c r="AE16" s="13">
        <f t="shared" si="4"/>
        <v>216</v>
      </c>
      <c r="AF16" s="13">
        <f t="shared" si="5"/>
        <v>0</v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 t="str">
        <f>'CALCULATOR SHEET'!E23</f>
        <v>GROUP 2</v>
      </c>
      <c r="X17" s="1">
        <f t="shared" si="6"/>
        <v>11</v>
      </c>
      <c r="Y17" s="7">
        <f>'CALCULATOR SHEET'!I23</f>
        <v>35.5</v>
      </c>
      <c r="Z17" s="7">
        <f>'CALCULATOR SHEET'!J23</f>
        <v>112</v>
      </c>
      <c r="AA17" s="7">
        <f t="shared" si="1"/>
        <v>2</v>
      </c>
      <c r="AB17" s="7">
        <f t="shared" si="2"/>
        <v>14</v>
      </c>
      <c r="AC17" s="146">
        <f t="shared" si="3"/>
        <v>826</v>
      </c>
      <c r="AD17" s="13" t="str">
        <f>IF(AND('CALCULATOR SHEET'!P23="YES",'CALCULATOR SHEET'!Q23="YES"),HLOOKUP(CEILING(Y17,6),$C$28:$Q$31,3,FALSE),"")</f>
        <v/>
      </c>
      <c r="AE17" s="13">
        <f t="shared" si="4"/>
        <v>216</v>
      </c>
      <c r="AF17" s="13">
        <f t="shared" si="5"/>
        <v>0</v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 t="str">
        <f>'CALCULATOR SHEET'!E24</f>
        <v>GROUP 1</v>
      </c>
      <c r="X18" s="1">
        <f t="shared" si="6"/>
        <v>12</v>
      </c>
      <c r="Y18" s="7">
        <f>'CALCULATOR SHEET'!I24</f>
        <v>35.5</v>
      </c>
      <c r="Z18" s="7">
        <f>'CALCULATOR SHEET'!J24</f>
        <v>112</v>
      </c>
      <c r="AA18" s="7">
        <f t="shared" si="1"/>
        <v>2</v>
      </c>
      <c r="AB18" s="7">
        <f t="shared" si="2"/>
        <v>14</v>
      </c>
      <c r="AC18" s="146">
        <f t="shared" si="3"/>
        <v>730</v>
      </c>
      <c r="AD18" s="13" t="str">
        <f>IF(AND('CALCULATOR SHEET'!P24="YES",'CALCULATOR SHEET'!Q24="YES"),HLOOKUP(CEILING(Y18,6),$C$28:$Q$31,3,FALSE),"")</f>
        <v/>
      </c>
      <c r="AE18" s="13">
        <f t="shared" si="4"/>
        <v>216</v>
      </c>
      <c r="AF18" s="13">
        <f t="shared" si="5"/>
        <v>0</v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 t="str">
        <f>'CALCULATOR SHEET'!E25</f>
        <v>GROUP 2</v>
      </c>
      <c r="X19" s="1">
        <f t="shared" si="6"/>
        <v>13</v>
      </c>
      <c r="Y19" s="7">
        <f>'CALCULATOR SHEET'!I25</f>
        <v>25.5</v>
      </c>
      <c r="Z19" s="7">
        <f>'CALCULATOR SHEET'!J25</f>
        <v>112</v>
      </c>
      <c r="AA19" s="7">
        <f t="shared" si="1"/>
        <v>1</v>
      </c>
      <c r="AB19" s="7">
        <f t="shared" si="2"/>
        <v>14</v>
      </c>
      <c r="AC19" s="146">
        <f t="shared" si="3"/>
        <v>789</v>
      </c>
      <c r="AD19" s="13" t="str">
        <f>IF(AND('CALCULATOR SHEET'!P25="YES",'CALCULATOR SHEET'!Q25="YES"),HLOOKUP(CEILING(Y19,6),$C$28:$Q$31,3,FALSE),"")</f>
        <v/>
      </c>
      <c r="AE19" s="13">
        <f t="shared" si="4"/>
        <v>216</v>
      </c>
      <c r="AF19" s="13">
        <f t="shared" si="5"/>
        <v>0</v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 t="str">
        <f>'CALCULATOR SHEET'!E26</f>
        <v>GROUP 1</v>
      </c>
      <c r="X20" s="1">
        <f t="shared" si="6"/>
        <v>14</v>
      </c>
      <c r="Y20" s="7">
        <f>'CALCULATOR SHEET'!I26</f>
        <v>25.5</v>
      </c>
      <c r="Z20" s="7">
        <f>'CALCULATOR SHEET'!J26</f>
        <v>112</v>
      </c>
      <c r="AA20" s="7">
        <f t="shared" si="1"/>
        <v>1</v>
      </c>
      <c r="AB20" s="7">
        <f t="shared" si="2"/>
        <v>14</v>
      </c>
      <c r="AC20" s="146">
        <f t="shared" si="3"/>
        <v>709</v>
      </c>
      <c r="AD20" s="13" t="str">
        <f>IF(AND('CALCULATOR SHEET'!P26="YES",'CALCULATOR SHEET'!Q26="YES"),HLOOKUP(CEILING(Y20,6),$C$28:$Q$31,3,FALSE),"")</f>
        <v/>
      </c>
      <c r="AE20" s="13">
        <f t="shared" si="4"/>
        <v>216</v>
      </c>
      <c r="AF20" s="13">
        <f t="shared" si="5"/>
        <v>0</v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 t="str">
        <f>'CALCULATOR SHEET'!E27</f>
        <v>GROUP 2</v>
      </c>
      <c r="X21" s="1">
        <f t="shared" si="6"/>
        <v>15</v>
      </c>
      <c r="Y21" s="7">
        <f>'CALCULATOR SHEET'!I27</f>
        <v>27.5</v>
      </c>
      <c r="Z21" s="7">
        <f>'CALCULATOR SHEET'!J27</f>
        <v>112</v>
      </c>
      <c r="AA21" s="7">
        <f t="shared" si="1"/>
        <v>1</v>
      </c>
      <c r="AB21" s="7">
        <f t="shared" si="2"/>
        <v>14</v>
      </c>
      <c r="AC21" s="146">
        <f t="shared" si="3"/>
        <v>789</v>
      </c>
      <c r="AD21" s="13" t="str">
        <f>IF(AND('CALCULATOR SHEET'!P27="YES",'CALCULATOR SHEET'!Q27="YES"),HLOOKUP(CEILING(Y21,6),$C$28:$Q$31,3,FALSE),"")</f>
        <v/>
      </c>
      <c r="AE21" s="13">
        <f t="shared" si="4"/>
        <v>216</v>
      </c>
      <c r="AF21" s="13">
        <f t="shared" si="5"/>
        <v>0</v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 t="str">
        <f>'CALCULATOR SHEET'!E28</f>
        <v>GROUP 1</v>
      </c>
      <c r="X22" s="1">
        <f t="shared" si="6"/>
        <v>16</v>
      </c>
      <c r="Y22" s="7">
        <f>'CALCULATOR SHEET'!I28</f>
        <v>27.5</v>
      </c>
      <c r="Z22" s="7">
        <f>'CALCULATOR SHEET'!J28</f>
        <v>112</v>
      </c>
      <c r="AA22" s="7">
        <f t="shared" si="1"/>
        <v>1</v>
      </c>
      <c r="AB22" s="7">
        <f t="shared" si="2"/>
        <v>14</v>
      </c>
      <c r="AC22" s="146">
        <f t="shared" si="3"/>
        <v>709</v>
      </c>
      <c r="AD22" s="13" t="str">
        <f>IF(AND('CALCULATOR SHEET'!P28="YES",'CALCULATOR SHEET'!Q28="YES"),HLOOKUP(CEILING(Y22,6),$C$28:$Q$31,3,FALSE),"")</f>
        <v/>
      </c>
      <c r="AE22" s="13">
        <f t="shared" si="4"/>
        <v>216</v>
      </c>
      <c r="AF22" s="13">
        <f t="shared" si="5"/>
        <v>0</v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 t="str">
        <f>'CALCULATOR SHEET'!E29</f>
        <v>GROUP 2</v>
      </c>
      <c r="X23" s="1">
        <f t="shared" si="6"/>
        <v>17</v>
      </c>
      <c r="Y23" s="7">
        <f>'CALCULATOR SHEET'!I29</f>
        <v>28</v>
      </c>
      <c r="Z23" s="7">
        <f>'CALCULATOR SHEET'!J29</f>
        <v>112</v>
      </c>
      <c r="AA23" s="7">
        <f t="shared" si="1"/>
        <v>1</v>
      </c>
      <c r="AB23" s="7">
        <f t="shared" si="2"/>
        <v>14</v>
      </c>
      <c r="AC23" s="146">
        <f t="shared" si="3"/>
        <v>789</v>
      </c>
      <c r="AD23" s="13" t="str">
        <f>IF(AND('CALCULATOR SHEET'!P29="YES",'CALCULATOR SHEET'!Q29="YES"),HLOOKUP(CEILING(Y23,6),$C$28:$Q$31,3,FALSE),"")</f>
        <v/>
      </c>
      <c r="AE23" s="13">
        <f t="shared" si="4"/>
        <v>216</v>
      </c>
      <c r="AF23" s="13">
        <f t="shared" si="5"/>
        <v>0</v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 t="str">
        <f>'CALCULATOR SHEET'!E30</f>
        <v>GROUP 1</v>
      </c>
      <c r="X24" s="1">
        <f t="shared" si="6"/>
        <v>18</v>
      </c>
      <c r="Y24" s="7">
        <f>'CALCULATOR SHEET'!I30</f>
        <v>28</v>
      </c>
      <c r="Z24" s="7">
        <f>'CALCULATOR SHEET'!J30</f>
        <v>112</v>
      </c>
      <c r="AA24" s="7">
        <f t="shared" si="1"/>
        <v>1</v>
      </c>
      <c r="AB24" s="7">
        <f t="shared" si="2"/>
        <v>14</v>
      </c>
      <c r="AC24" s="146">
        <f t="shared" si="3"/>
        <v>709</v>
      </c>
      <c r="AD24" s="13" t="str">
        <f>IF(AND('CALCULATOR SHEET'!P30="YES",'CALCULATOR SHEET'!Q30="YES"),HLOOKUP(CEILING(Y24,6),$C$28:$Q$31,3,FALSE),"")</f>
        <v/>
      </c>
      <c r="AE24" s="13">
        <f t="shared" si="4"/>
        <v>216</v>
      </c>
      <c r="AF24" s="13">
        <f t="shared" si="5"/>
        <v>0</v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 t="str">
        <f>'CALCULATOR SHEET'!E31</f>
        <v>GROUP 2</v>
      </c>
      <c r="X25" s="1">
        <f t="shared" si="6"/>
        <v>19</v>
      </c>
      <c r="Y25" s="7">
        <f>'CALCULATOR SHEET'!I31</f>
        <v>26</v>
      </c>
      <c r="Z25" s="7">
        <f>'CALCULATOR SHEET'!J31</f>
        <v>112</v>
      </c>
      <c r="AA25" s="7">
        <f t="shared" si="1"/>
        <v>1</v>
      </c>
      <c r="AB25" s="7">
        <f t="shared" si="2"/>
        <v>14</v>
      </c>
      <c r="AC25" s="146">
        <f t="shared" si="3"/>
        <v>789</v>
      </c>
      <c r="AD25" s="13" t="str">
        <f>IF(AND('CALCULATOR SHEET'!P31="YES",'CALCULATOR SHEET'!Q31="YES"),HLOOKUP(CEILING(Y25,6),$C$28:$Q$31,3,FALSE),"")</f>
        <v/>
      </c>
      <c r="AE25" s="13">
        <f t="shared" si="4"/>
        <v>216</v>
      </c>
      <c r="AF25" s="13">
        <f t="shared" si="5"/>
        <v>0</v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 t="str">
        <f>'CALCULATOR SHEET'!E32</f>
        <v>GROUP 1</v>
      </c>
      <c r="X26" s="1">
        <f t="shared" si="6"/>
        <v>20</v>
      </c>
      <c r="Y26" s="7">
        <f>'CALCULATOR SHEET'!I32</f>
        <v>26</v>
      </c>
      <c r="Z26" s="7">
        <f>'CALCULATOR SHEET'!J32</f>
        <v>112</v>
      </c>
      <c r="AA26" s="7">
        <f t="shared" si="1"/>
        <v>1</v>
      </c>
      <c r="AB26" s="7">
        <f t="shared" si="2"/>
        <v>14</v>
      </c>
      <c r="AC26" s="146">
        <f t="shared" si="3"/>
        <v>709</v>
      </c>
      <c r="AD26" s="13" t="str">
        <f>IF(AND('CALCULATOR SHEET'!P32="YES",'CALCULATOR SHEET'!Q32="YES"),HLOOKUP(CEILING(Y26,6),$C$28:$Q$31,3,FALSE),"")</f>
        <v/>
      </c>
      <c r="AE26" s="13">
        <f t="shared" si="4"/>
        <v>216</v>
      </c>
      <c r="AF26" s="13">
        <f t="shared" si="5"/>
        <v>0</v>
      </c>
    </row>
    <row r="27" spans="2:32" ht="15.75">
      <c r="U27" s="7"/>
      <c r="V27" s="7"/>
      <c r="W27" s="147" t="str">
        <f>'CALCULATOR SHEET'!E33</f>
        <v>GROUP 1</v>
      </c>
      <c r="X27" s="1">
        <f t="shared" si="6"/>
        <v>21</v>
      </c>
      <c r="Y27" s="7">
        <f>'CALCULATOR SHEET'!I33</f>
        <v>52</v>
      </c>
      <c r="Z27" s="7">
        <f>'CALCULATOR SHEET'!J33</f>
        <v>112.5</v>
      </c>
      <c r="AA27" s="7">
        <f t="shared" si="1"/>
        <v>5</v>
      </c>
      <c r="AB27" s="7">
        <f t="shared" si="2"/>
        <v>14</v>
      </c>
      <c r="AC27" s="146">
        <f t="shared" si="3"/>
        <v>797</v>
      </c>
      <c r="AD27" s="13" t="str">
        <f>IF(AND('CALCULATOR SHEET'!P33="YES",'CALCULATOR SHEET'!Q33="YES"),HLOOKUP(CEILING(Y27,6),$C$28:$Q$31,3,FALSE),"")</f>
        <v/>
      </c>
      <c r="AE27" s="13">
        <f t="shared" si="4"/>
        <v>216</v>
      </c>
      <c r="AF27" s="13">
        <f t="shared" si="5"/>
        <v>0</v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 t="str">
        <f>'CALCULATOR SHEET'!E34</f>
        <v>GROUP 1</v>
      </c>
      <c r="X28" s="1">
        <f t="shared" si="6"/>
        <v>22</v>
      </c>
      <c r="Y28" s="7">
        <f>'CALCULATOR SHEET'!I34</f>
        <v>52.25</v>
      </c>
      <c r="Z28" s="7">
        <f>'CALCULATOR SHEET'!J34</f>
        <v>112.5</v>
      </c>
      <c r="AA28" s="7">
        <f t="shared" si="1"/>
        <v>5</v>
      </c>
      <c r="AB28" s="7">
        <f t="shared" si="2"/>
        <v>14</v>
      </c>
      <c r="AC28" s="146">
        <f t="shared" si="3"/>
        <v>797</v>
      </c>
      <c r="AD28" s="13" t="str">
        <f>IF(AND('CALCULATOR SHEET'!P34="YES",'CALCULATOR SHEET'!Q34="YES"),HLOOKUP(CEILING(Y28,6),$C$28:$Q$31,3,FALSE),"")</f>
        <v/>
      </c>
      <c r="AE28" s="13">
        <f t="shared" si="4"/>
        <v>216</v>
      </c>
      <c r="AF28" s="13">
        <f t="shared" si="5"/>
        <v>0</v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 t="str">
        <f>'CALCULATOR SHEET'!E35</f>
        <v>GROUP 1</v>
      </c>
      <c r="X29" s="1">
        <f t="shared" ref="X29:X72" si="12">+X28+1</f>
        <v>23</v>
      </c>
      <c r="Y29" s="7">
        <f>'CALCULATOR SHEET'!I35</f>
        <v>56</v>
      </c>
      <c r="Z29" s="7">
        <f>'CALCULATOR SHEET'!J35</f>
        <v>112.5</v>
      </c>
      <c r="AA29" s="7">
        <f t="shared" ref="AA29:AA71" si="13">IF(Y29=0,"",MATCH(CEILING(Y29,6),$C$7:$R$7,0))</f>
        <v>6</v>
      </c>
      <c r="AB29" s="7">
        <f t="shared" ref="AB29:AB71" si="14">IF(Z29=0,"",MATCH(CEILING(Z29,6),$B$10:$B$26,0))</f>
        <v>14</v>
      </c>
      <c r="AC29" s="146">
        <f t="shared" si="3"/>
        <v>818</v>
      </c>
      <c r="AD29" s="13" t="str">
        <f>IF(AND('CALCULATOR SHEET'!P35="YES",'CALCULATOR SHEET'!Q35="YES"),HLOOKUP(CEILING(Y29,6),$C$28:$Q$31,3,FALSE),"")</f>
        <v/>
      </c>
      <c r="AE29" s="13">
        <f t="shared" ref="AE29:AE71" si="15">IF(AB29&lt;&gt;"",VLOOKUP(AB29,$T$10:$U$26,2,FALSE),"")</f>
        <v>216</v>
      </c>
      <c r="AF29" s="13">
        <f t="shared" si="5"/>
        <v>0</v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 t="str">
        <f>'CALCULATOR SHEET'!E36</f>
        <v>GROUP 1</v>
      </c>
      <c r="X30" s="1">
        <f t="shared" si="12"/>
        <v>24</v>
      </c>
      <c r="Y30" s="7">
        <f>'CALCULATOR SHEET'!I36</f>
        <v>51.25</v>
      </c>
      <c r="Z30" s="7">
        <f>'CALCULATOR SHEET'!J36</f>
        <v>112.5</v>
      </c>
      <c r="AA30" s="7">
        <f t="shared" si="13"/>
        <v>5</v>
      </c>
      <c r="AB30" s="7">
        <f t="shared" si="14"/>
        <v>14</v>
      </c>
      <c r="AC30" s="146">
        <f t="shared" si="3"/>
        <v>797</v>
      </c>
      <c r="AD30" s="13" t="str">
        <f>IF(AND('CALCULATOR SHEET'!P36="YES",'CALCULATOR SHEET'!Q36="YES"),HLOOKUP(CEILING(Y30,6),$C$28:$Q$31,3,FALSE),"")</f>
        <v/>
      </c>
      <c r="AE30" s="13">
        <f t="shared" si="15"/>
        <v>216</v>
      </c>
      <c r="AF30" s="13">
        <f t="shared" si="5"/>
        <v>0</v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47</v>
      </c>
      <c r="W7" s="7">
        <f>'CALCULATOR SHEET'!J13</f>
        <v>116</v>
      </c>
      <c r="X7" s="7">
        <f>IF(V7=0,"",MATCH(CEILING(V7,6),$C$8:$Q$8,0))</f>
        <v>5</v>
      </c>
      <c r="Y7" s="7" t="e">
        <f>IF(W7=0,"",MATCH(CEILING(W7,6),$B$10:$B$26,0))</f>
        <v>#N/A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40.5</v>
      </c>
      <c r="W8" s="7">
        <f>'CALCULATOR SHEET'!J14</f>
        <v>116</v>
      </c>
      <c r="X8" s="7">
        <f t="shared" ref="X8:X73" si="0">IF(V8=0,"",MATCH(CEILING(V8,6),$C$8:$Q$8,0))</f>
        <v>4</v>
      </c>
      <c r="Y8" s="7" t="e">
        <f t="shared" ref="Y8:Y71" si="1">IF(W8=0,"",MATCH(CEILING(W8,6),$B$10:$B$26,0))</f>
        <v>#N/A</v>
      </c>
      <c r="Z8" s="146" t="e">
        <f>IF(X8="","",INDEX($C$12:$Q$26,Y8,X8))</f>
        <v>#N/A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47</v>
      </c>
      <c r="W9" s="7">
        <f>'CALCULATOR SHEET'!J15</f>
        <v>116</v>
      </c>
      <c r="X9" s="7">
        <f t="shared" si="0"/>
        <v>5</v>
      </c>
      <c r="Y9" s="7" t="e">
        <f t="shared" si="1"/>
        <v>#N/A</v>
      </c>
      <c r="Z9" s="146" t="e">
        <f>IF(X9="","",INDEX($C$12:$Q$26,Y9,X9))</f>
        <v>#N/A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36</v>
      </c>
      <c r="W12" s="7">
        <f>'CALCULATOR SHEET'!J16</f>
        <v>117.5</v>
      </c>
      <c r="X12" s="7">
        <f t="shared" si="0"/>
        <v>3</v>
      </c>
      <c r="Y12" s="7" t="e">
        <f t="shared" si="1"/>
        <v>#N/A</v>
      </c>
      <c r="Z12" s="146" t="e">
        <f t="shared" ref="Z12:Z43" si="3">IF(X12="","",INDEX($C$12:$Q$26,Y12,X12))</f>
        <v>#N/A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32.5</v>
      </c>
      <c r="W13" s="7">
        <f>'CALCULATOR SHEET'!J17</f>
        <v>117.5</v>
      </c>
      <c r="X13" s="7">
        <f t="shared" si="0"/>
        <v>3</v>
      </c>
      <c r="Y13" s="7" t="e">
        <f t="shared" si="1"/>
        <v>#N/A</v>
      </c>
      <c r="Z13" s="146" t="e">
        <f t="shared" si="3"/>
        <v>#N/A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39.5</v>
      </c>
      <c r="W14" s="7">
        <f>'CALCULATOR SHEET'!J18</f>
        <v>117.5</v>
      </c>
      <c r="X14" s="7">
        <f t="shared" si="0"/>
        <v>4</v>
      </c>
      <c r="Y14" s="7" t="e">
        <f t="shared" si="1"/>
        <v>#N/A</v>
      </c>
      <c r="Z14" s="146" t="e">
        <f t="shared" si="3"/>
        <v>#N/A</v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28.5</v>
      </c>
      <c r="W15" s="7">
        <f>'CALCULATOR SHEET'!J19</f>
        <v>112.5</v>
      </c>
      <c r="X15" s="7">
        <f t="shared" si="0"/>
        <v>2</v>
      </c>
      <c r="Y15" s="7">
        <f t="shared" si="1"/>
        <v>16</v>
      </c>
      <c r="Z15" s="146" t="e">
        <f t="shared" si="3"/>
        <v>#REF!</v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58</v>
      </c>
      <c r="W16" s="7">
        <f>'CALCULATOR SHEET'!J20</f>
        <v>112.5</v>
      </c>
      <c r="X16" s="7">
        <f t="shared" si="0"/>
        <v>7</v>
      </c>
      <c r="Y16" s="7">
        <f t="shared" si="1"/>
        <v>16</v>
      </c>
      <c r="Z16" s="146" t="e">
        <f t="shared" si="3"/>
        <v>#REF!</v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35.5</v>
      </c>
      <c r="W17" s="7">
        <f>'CALCULATOR SHEET'!J21</f>
        <v>112</v>
      </c>
      <c r="X17" s="7">
        <f t="shared" si="0"/>
        <v>3</v>
      </c>
      <c r="Y17" s="7">
        <f t="shared" si="1"/>
        <v>16</v>
      </c>
      <c r="Z17" s="146" t="e">
        <f t="shared" si="3"/>
        <v>#REF!</v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35.5</v>
      </c>
      <c r="W18" s="7">
        <f>'CALCULATOR SHEET'!J22</f>
        <v>112</v>
      </c>
      <c r="X18" s="7">
        <f t="shared" si="0"/>
        <v>3</v>
      </c>
      <c r="Y18" s="7">
        <f t="shared" si="1"/>
        <v>16</v>
      </c>
      <c r="Z18" s="146" t="e">
        <f t="shared" si="3"/>
        <v>#REF!</v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35.5</v>
      </c>
      <c r="W19" s="7">
        <f>'CALCULATOR SHEET'!J23</f>
        <v>112</v>
      </c>
      <c r="X19" s="7">
        <f t="shared" si="0"/>
        <v>3</v>
      </c>
      <c r="Y19" s="7">
        <f t="shared" si="1"/>
        <v>16</v>
      </c>
      <c r="Z19" s="146" t="e">
        <f t="shared" si="3"/>
        <v>#REF!</v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35.5</v>
      </c>
      <c r="W20" s="7">
        <f>'CALCULATOR SHEET'!J24</f>
        <v>112</v>
      </c>
      <c r="X20" s="7">
        <f t="shared" si="0"/>
        <v>3</v>
      </c>
      <c r="Y20" s="7">
        <f t="shared" si="1"/>
        <v>16</v>
      </c>
      <c r="Z20" s="146" t="e">
        <f t="shared" si="3"/>
        <v>#REF!</v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25.5</v>
      </c>
      <c r="W21" s="7">
        <f>'CALCULATOR SHEET'!J25</f>
        <v>112</v>
      </c>
      <c r="X21" s="7">
        <f t="shared" si="0"/>
        <v>2</v>
      </c>
      <c r="Y21" s="7">
        <f t="shared" si="1"/>
        <v>16</v>
      </c>
      <c r="Z21" s="146" t="e">
        <f t="shared" si="3"/>
        <v>#REF!</v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25.5</v>
      </c>
      <c r="W22" s="7">
        <f>'CALCULATOR SHEET'!J26</f>
        <v>112</v>
      </c>
      <c r="X22" s="7">
        <f t="shared" si="0"/>
        <v>2</v>
      </c>
      <c r="Y22" s="7">
        <f t="shared" si="1"/>
        <v>16</v>
      </c>
      <c r="Z22" s="146" t="e">
        <f t="shared" si="3"/>
        <v>#REF!</v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27.5</v>
      </c>
      <c r="W23" s="7">
        <f>'CALCULATOR SHEET'!J27</f>
        <v>112</v>
      </c>
      <c r="X23" s="7">
        <f t="shared" si="0"/>
        <v>2</v>
      </c>
      <c r="Y23" s="7">
        <f t="shared" si="1"/>
        <v>16</v>
      </c>
      <c r="Z23" s="146" t="e">
        <f t="shared" si="3"/>
        <v>#REF!</v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27.5</v>
      </c>
      <c r="W24" s="7">
        <f>'CALCULATOR SHEET'!J28</f>
        <v>112</v>
      </c>
      <c r="X24" s="7">
        <f t="shared" si="0"/>
        <v>2</v>
      </c>
      <c r="Y24" s="7">
        <f t="shared" si="1"/>
        <v>16</v>
      </c>
      <c r="Z24" s="146" t="e">
        <f t="shared" si="3"/>
        <v>#REF!</v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28</v>
      </c>
      <c r="W25" s="7">
        <f>'CALCULATOR SHEET'!J29</f>
        <v>112</v>
      </c>
      <c r="X25" s="7">
        <f t="shared" si="0"/>
        <v>2</v>
      </c>
      <c r="Y25" s="7">
        <f t="shared" si="1"/>
        <v>16</v>
      </c>
      <c r="Z25" s="146" t="e">
        <f t="shared" si="3"/>
        <v>#REF!</v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28</v>
      </c>
      <c r="W26" s="7">
        <f>'CALCULATOR SHEET'!J30</f>
        <v>112</v>
      </c>
      <c r="X26" s="7">
        <f t="shared" si="0"/>
        <v>2</v>
      </c>
      <c r="Y26" s="7">
        <f t="shared" si="1"/>
        <v>16</v>
      </c>
      <c r="Z26" s="146" t="e">
        <f t="shared" si="3"/>
        <v>#REF!</v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26</v>
      </c>
      <c r="W27" s="7">
        <f>'CALCULATOR SHEET'!J31</f>
        <v>112</v>
      </c>
      <c r="X27" s="7">
        <f t="shared" si="0"/>
        <v>2</v>
      </c>
      <c r="Y27" s="7">
        <f t="shared" si="1"/>
        <v>16</v>
      </c>
      <c r="Z27" s="146" t="e">
        <f t="shared" si="3"/>
        <v>#REF!</v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26</v>
      </c>
      <c r="W28" s="7">
        <f>'CALCULATOR SHEET'!J32</f>
        <v>112</v>
      </c>
      <c r="X28" s="7">
        <f t="shared" si="0"/>
        <v>2</v>
      </c>
      <c r="Y28" s="7">
        <f t="shared" si="1"/>
        <v>16</v>
      </c>
      <c r="Z28" s="146" t="e">
        <f t="shared" si="3"/>
        <v>#REF!</v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52</v>
      </c>
      <c r="W29" s="7">
        <f>'CALCULATOR SHEET'!J33</f>
        <v>112.5</v>
      </c>
      <c r="X29" s="7">
        <f t="shared" si="0"/>
        <v>6</v>
      </c>
      <c r="Y29" s="7">
        <f t="shared" si="1"/>
        <v>16</v>
      </c>
      <c r="Z29" s="146" t="e">
        <f t="shared" si="3"/>
        <v>#REF!</v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52.25</v>
      </c>
      <c r="W30" s="7">
        <f>'CALCULATOR SHEET'!J34</f>
        <v>112.5</v>
      </c>
      <c r="X30" s="7">
        <f t="shared" si="0"/>
        <v>6</v>
      </c>
      <c r="Y30" s="7">
        <f t="shared" si="1"/>
        <v>16</v>
      </c>
      <c r="Z30" s="146" t="e">
        <f t="shared" si="3"/>
        <v>#REF!</v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56</v>
      </c>
      <c r="W31" s="7">
        <f>'CALCULATOR SHEET'!J35</f>
        <v>112.5</v>
      </c>
      <c r="X31" s="7">
        <f t="shared" si="0"/>
        <v>7</v>
      </c>
      <c r="Y31" s="7">
        <f t="shared" si="1"/>
        <v>16</v>
      </c>
      <c r="Z31" s="146" t="e">
        <f t="shared" si="3"/>
        <v>#REF!</v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51.25</v>
      </c>
      <c r="W32" s="7">
        <f>'CALCULATOR SHEET'!J36</f>
        <v>112.5</v>
      </c>
      <c r="X32" s="7">
        <f t="shared" si="0"/>
        <v>6</v>
      </c>
      <c r="Y32" s="7">
        <f t="shared" si="1"/>
        <v>16</v>
      </c>
      <c r="Z32" s="146" t="e">
        <f t="shared" si="3"/>
        <v>#REF!</v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8" t="s">
        <v>14</v>
      </c>
      <c r="J3" s="388"/>
      <c r="K3" s="388"/>
      <c r="L3" s="388"/>
      <c r="R3" s="34" t="s">
        <v>436</v>
      </c>
    </row>
    <row r="4" spans="2:29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7" t="s">
        <v>72</v>
      </c>
      <c r="U7" s="147"/>
      <c r="V7" s="1">
        <v>1</v>
      </c>
      <c r="W7" s="7">
        <f>'CALCULATOR SHEET'!I13</f>
        <v>47</v>
      </c>
      <c r="X7" s="7">
        <f>'CALCULATOR SHEET'!J13</f>
        <v>116</v>
      </c>
      <c r="Y7" s="7">
        <f>IF(W7=0,"",MATCH(CEILING(W7,6),$C$7:$Q$7,0))</f>
        <v>5</v>
      </c>
      <c r="Z7" s="7">
        <f>IF(X7=0,"",MATCH(CEILING(X7,6),$B$10:$B$26,0))</f>
        <v>17</v>
      </c>
      <c r="AA7" s="146">
        <f>IF(Y7="","",INDEX($C$10:$Q$26,Z7,Y7))</f>
        <v>171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7"/>
      <c r="U8" s="147"/>
      <c r="V8" s="1">
        <f>+V7+1</f>
        <v>2</v>
      </c>
      <c r="W8" s="7">
        <f>'CALCULATOR SHEET'!I14</f>
        <v>40.5</v>
      </c>
      <c r="X8" s="7">
        <f>'CALCULATOR SHEET'!J14</f>
        <v>116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164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47</v>
      </c>
      <c r="X9" s="7">
        <f>'CALCULATOR SHEET'!J15</f>
        <v>116</v>
      </c>
      <c r="Y9" s="7">
        <f t="shared" si="1"/>
        <v>5</v>
      </c>
      <c r="Z9" s="7">
        <f t="shared" si="2"/>
        <v>17</v>
      </c>
      <c r="AA9" s="146">
        <f t="shared" si="3"/>
        <v>171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36</v>
      </c>
      <c r="X10" s="7">
        <f>'CALCULATOR SHEET'!J16</f>
        <v>117.5</v>
      </c>
      <c r="Y10" s="7">
        <f t="shared" si="1"/>
        <v>3</v>
      </c>
      <c r="Z10" s="7">
        <f t="shared" si="2"/>
        <v>17</v>
      </c>
      <c r="AA10" s="146">
        <f t="shared" si="3"/>
        <v>137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32.5</v>
      </c>
      <c r="X11" s="7">
        <f>'CALCULATOR SHEET'!J17</f>
        <v>117.5</v>
      </c>
      <c r="Y11" s="7">
        <f t="shared" si="1"/>
        <v>3</v>
      </c>
      <c r="Z11" s="7">
        <f t="shared" si="2"/>
        <v>17</v>
      </c>
      <c r="AA11" s="146">
        <f t="shared" si="3"/>
        <v>137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39.5</v>
      </c>
      <c r="X12" s="7">
        <f>'CALCULATOR SHEET'!J18</f>
        <v>117.5</v>
      </c>
      <c r="Y12" s="7">
        <f t="shared" si="1"/>
        <v>4</v>
      </c>
      <c r="Z12" s="7">
        <f t="shared" si="2"/>
        <v>17</v>
      </c>
      <c r="AA12" s="146">
        <f t="shared" si="3"/>
        <v>164</v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28.5</v>
      </c>
      <c r="X13" s="7">
        <f>'CALCULATOR SHEET'!J19</f>
        <v>112.5</v>
      </c>
      <c r="Y13" s="7">
        <f t="shared" si="1"/>
        <v>2</v>
      </c>
      <c r="Z13" s="7">
        <f t="shared" si="2"/>
        <v>16</v>
      </c>
      <c r="AA13" s="146">
        <f t="shared" si="3"/>
        <v>129</v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58</v>
      </c>
      <c r="X14" s="7">
        <f>'CALCULATOR SHEET'!J20</f>
        <v>112.5</v>
      </c>
      <c r="Y14" s="7">
        <f t="shared" si="1"/>
        <v>7</v>
      </c>
      <c r="Z14" s="7">
        <f t="shared" si="2"/>
        <v>16</v>
      </c>
      <c r="AA14" s="146">
        <f t="shared" si="3"/>
        <v>230</v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35.5</v>
      </c>
      <c r="X15" s="7">
        <f>'CALCULATOR SHEET'!J21</f>
        <v>112</v>
      </c>
      <c r="Y15" s="7">
        <f t="shared" si="1"/>
        <v>3</v>
      </c>
      <c r="Z15" s="7">
        <f t="shared" si="2"/>
        <v>16</v>
      </c>
      <c r="AA15" s="146">
        <f t="shared" si="3"/>
        <v>136</v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35.5</v>
      </c>
      <c r="X16" s="7">
        <f>'CALCULATOR SHEET'!J22</f>
        <v>112</v>
      </c>
      <c r="Y16" s="7">
        <f t="shared" si="1"/>
        <v>3</v>
      </c>
      <c r="Z16" s="7">
        <f t="shared" si="2"/>
        <v>16</v>
      </c>
      <c r="AA16" s="146">
        <f t="shared" si="3"/>
        <v>136</v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35.5</v>
      </c>
      <c r="X17" s="7">
        <f>'CALCULATOR SHEET'!J23</f>
        <v>112</v>
      </c>
      <c r="Y17" s="7">
        <f t="shared" si="1"/>
        <v>3</v>
      </c>
      <c r="Z17" s="7">
        <f t="shared" si="2"/>
        <v>16</v>
      </c>
      <c r="AA17" s="146">
        <f t="shared" si="3"/>
        <v>136</v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35.5</v>
      </c>
      <c r="X18" s="7">
        <f>'CALCULATOR SHEET'!J24</f>
        <v>112</v>
      </c>
      <c r="Y18" s="7">
        <f t="shared" si="1"/>
        <v>3</v>
      </c>
      <c r="Z18" s="7">
        <f t="shared" si="2"/>
        <v>16</v>
      </c>
      <c r="AA18" s="146">
        <f t="shared" si="3"/>
        <v>136</v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25.5</v>
      </c>
      <c r="X19" s="7">
        <f>'CALCULATOR SHEET'!J25</f>
        <v>112</v>
      </c>
      <c r="Y19" s="7">
        <f t="shared" si="1"/>
        <v>2</v>
      </c>
      <c r="Z19" s="7">
        <f t="shared" si="2"/>
        <v>16</v>
      </c>
      <c r="AA19" s="146">
        <f t="shared" si="3"/>
        <v>129</v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25.5</v>
      </c>
      <c r="X20" s="7">
        <f>'CALCULATOR SHEET'!J26</f>
        <v>112</v>
      </c>
      <c r="Y20" s="7">
        <f t="shared" si="1"/>
        <v>2</v>
      </c>
      <c r="Z20" s="7">
        <f t="shared" si="2"/>
        <v>16</v>
      </c>
      <c r="AA20" s="146">
        <f t="shared" si="3"/>
        <v>129</v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27.5</v>
      </c>
      <c r="X21" s="7">
        <f>'CALCULATOR SHEET'!J27</f>
        <v>112</v>
      </c>
      <c r="Y21" s="7">
        <f t="shared" si="1"/>
        <v>2</v>
      </c>
      <c r="Z21" s="7">
        <f t="shared" si="2"/>
        <v>16</v>
      </c>
      <c r="AA21" s="146">
        <f t="shared" si="3"/>
        <v>129</v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27.5</v>
      </c>
      <c r="X22" s="7">
        <f>'CALCULATOR SHEET'!J28</f>
        <v>112</v>
      </c>
      <c r="Y22" s="7">
        <f t="shared" si="1"/>
        <v>2</v>
      </c>
      <c r="Z22" s="7">
        <f t="shared" si="2"/>
        <v>16</v>
      </c>
      <c r="AA22" s="146">
        <f t="shared" si="3"/>
        <v>129</v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28</v>
      </c>
      <c r="X23" s="7">
        <f>'CALCULATOR SHEET'!J29</f>
        <v>112</v>
      </c>
      <c r="Y23" s="7">
        <f t="shared" si="1"/>
        <v>2</v>
      </c>
      <c r="Z23" s="7">
        <f t="shared" si="2"/>
        <v>16</v>
      </c>
      <c r="AA23" s="146">
        <f t="shared" si="3"/>
        <v>129</v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28</v>
      </c>
      <c r="X24" s="7">
        <f>'CALCULATOR SHEET'!J30</f>
        <v>112</v>
      </c>
      <c r="Y24" s="7">
        <f t="shared" si="1"/>
        <v>2</v>
      </c>
      <c r="Z24" s="7">
        <f t="shared" si="2"/>
        <v>16</v>
      </c>
      <c r="AA24" s="146">
        <f t="shared" si="3"/>
        <v>129</v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26</v>
      </c>
      <c r="X25" s="7">
        <f>'CALCULATOR SHEET'!J31</f>
        <v>112</v>
      </c>
      <c r="Y25" s="7">
        <f t="shared" si="1"/>
        <v>2</v>
      </c>
      <c r="Z25" s="7">
        <f t="shared" si="2"/>
        <v>16</v>
      </c>
      <c r="AA25" s="146">
        <f t="shared" si="3"/>
        <v>129</v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26</v>
      </c>
      <c r="X26" s="7">
        <f>'CALCULATOR SHEET'!J32</f>
        <v>112</v>
      </c>
      <c r="Y26" s="7">
        <f t="shared" si="1"/>
        <v>2</v>
      </c>
      <c r="Z26" s="7">
        <f t="shared" si="2"/>
        <v>16</v>
      </c>
      <c r="AA26" s="146">
        <f t="shared" si="3"/>
        <v>129</v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52</v>
      </c>
      <c r="X27" s="7">
        <f>'CALCULATOR SHEET'!J33</f>
        <v>112.5</v>
      </c>
      <c r="Y27" s="7">
        <f t="shared" si="1"/>
        <v>6</v>
      </c>
      <c r="Z27" s="7">
        <f t="shared" si="2"/>
        <v>16</v>
      </c>
      <c r="AA27" s="146">
        <f t="shared" si="3"/>
        <v>175</v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52.25</v>
      </c>
      <c r="X28" s="7">
        <f>'CALCULATOR SHEET'!J34</f>
        <v>112.5</v>
      </c>
      <c r="Y28" s="7">
        <f t="shared" si="1"/>
        <v>6</v>
      </c>
      <c r="Z28" s="7">
        <f t="shared" si="2"/>
        <v>16</v>
      </c>
      <c r="AA28" s="146">
        <f t="shared" si="3"/>
        <v>175</v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56</v>
      </c>
      <c r="X29" s="7">
        <f>'CALCULATOR SHEET'!J35</f>
        <v>112.5</v>
      </c>
      <c r="Y29" s="7">
        <f t="shared" si="1"/>
        <v>7</v>
      </c>
      <c r="Z29" s="7">
        <f t="shared" si="2"/>
        <v>16</v>
      </c>
      <c r="AA29" s="146">
        <f t="shared" si="3"/>
        <v>230</v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51.25</v>
      </c>
      <c r="X30" s="7">
        <f>'CALCULATOR SHEET'!J36</f>
        <v>112.5</v>
      </c>
      <c r="Y30" s="7">
        <f t="shared" si="1"/>
        <v>6</v>
      </c>
      <c r="Z30" s="7">
        <f t="shared" si="2"/>
        <v>16</v>
      </c>
      <c r="AA30" s="146">
        <f t="shared" si="3"/>
        <v>175</v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8" t="s">
        <v>8</v>
      </c>
      <c r="J3" s="388"/>
      <c r="K3" s="388"/>
      <c r="L3" s="388"/>
      <c r="R3" s="34" t="s">
        <v>437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</v>
      </c>
      <c r="X7" s="7">
        <f>'CALCULATOR SHEET'!J13</f>
        <v>116</v>
      </c>
      <c r="Y7" s="7">
        <f>IF(W7=0,"",MATCH(CEILING(W7,6),$C$7:$Q$7,0))</f>
        <v>5</v>
      </c>
      <c r="Z7" s="7">
        <f>IF(X7=0,"",MATCH(CEILING(X7,6),$B$10:$B$26,0))</f>
        <v>17</v>
      </c>
      <c r="AA7" s="146">
        <f>IF(Y7="","",INDEX($C$10:$Q$26,Z7,Y7))</f>
        <v>252</v>
      </c>
    </row>
    <row r="8" spans="2:27">
      <c r="T8" s="387"/>
      <c r="V8" s="1">
        <f>+V7+1</f>
        <v>2</v>
      </c>
      <c r="W8" s="7">
        <f>'CALCULATOR SHEET'!I14</f>
        <v>40.5</v>
      </c>
      <c r="X8" s="7">
        <f>'CALCULATOR SHEET'!J14</f>
        <v>116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244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</v>
      </c>
      <c r="X9" s="7">
        <f>'CALCULATOR SHEET'!J15</f>
        <v>116</v>
      </c>
      <c r="Y9" s="7">
        <f t="shared" si="1"/>
        <v>5</v>
      </c>
      <c r="Z9" s="7">
        <f t="shared" si="2"/>
        <v>17</v>
      </c>
      <c r="AA9" s="146">
        <f t="shared" si="3"/>
        <v>252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36</v>
      </c>
      <c r="X10" s="7">
        <f>'CALCULATOR SHEET'!J16</f>
        <v>117.5</v>
      </c>
      <c r="Y10" s="7">
        <f t="shared" si="1"/>
        <v>3</v>
      </c>
      <c r="Z10" s="7">
        <f t="shared" si="2"/>
        <v>17</v>
      </c>
      <c r="AA10" s="146">
        <f t="shared" si="3"/>
        <v>195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32.5</v>
      </c>
      <c r="X11" s="7">
        <f>'CALCULATOR SHEET'!J17</f>
        <v>117.5</v>
      </c>
      <c r="Y11" s="7">
        <f t="shared" si="1"/>
        <v>3</v>
      </c>
      <c r="Z11" s="7">
        <f t="shared" si="2"/>
        <v>17</v>
      </c>
      <c r="AA11" s="146">
        <f t="shared" si="3"/>
        <v>195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39.5</v>
      </c>
      <c r="X12" s="7">
        <f>'CALCULATOR SHEET'!J18</f>
        <v>117.5</v>
      </c>
      <c r="Y12" s="7">
        <f t="shared" si="1"/>
        <v>4</v>
      </c>
      <c r="Z12" s="7">
        <f t="shared" si="2"/>
        <v>17</v>
      </c>
      <c r="AA12" s="146">
        <f t="shared" si="3"/>
        <v>244</v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28.5</v>
      </c>
      <c r="X13" s="7">
        <f>'CALCULATOR SHEET'!J19</f>
        <v>112.5</v>
      </c>
      <c r="Y13" s="7">
        <f t="shared" si="1"/>
        <v>2</v>
      </c>
      <c r="Z13" s="7">
        <f t="shared" si="2"/>
        <v>16</v>
      </c>
      <c r="AA13" s="146">
        <f t="shared" si="3"/>
        <v>184</v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58</v>
      </c>
      <c r="X14" s="7">
        <f>'CALCULATOR SHEET'!J20</f>
        <v>112.5</v>
      </c>
      <c r="Y14" s="7">
        <f t="shared" si="1"/>
        <v>7</v>
      </c>
      <c r="Z14" s="7">
        <f t="shared" si="2"/>
        <v>16</v>
      </c>
      <c r="AA14" s="146">
        <f t="shared" si="3"/>
        <v>372</v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35.5</v>
      </c>
      <c r="X15" s="7">
        <f>'CALCULATOR SHEET'!J21</f>
        <v>112</v>
      </c>
      <c r="Y15" s="7">
        <f t="shared" si="1"/>
        <v>3</v>
      </c>
      <c r="Z15" s="7">
        <f t="shared" si="2"/>
        <v>16</v>
      </c>
      <c r="AA15" s="146">
        <f t="shared" si="3"/>
        <v>191</v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35.5</v>
      </c>
      <c r="X16" s="7">
        <f>'CALCULATOR SHEET'!J22</f>
        <v>112</v>
      </c>
      <c r="Y16" s="7">
        <f t="shared" si="1"/>
        <v>3</v>
      </c>
      <c r="Z16" s="7">
        <f t="shared" si="2"/>
        <v>16</v>
      </c>
      <c r="AA16" s="146">
        <f t="shared" si="3"/>
        <v>191</v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35.5</v>
      </c>
      <c r="X17" s="7">
        <f>'CALCULATOR SHEET'!J23</f>
        <v>112</v>
      </c>
      <c r="Y17" s="7">
        <f t="shared" si="1"/>
        <v>3</v>
      </c>
      <c r="Z17" s="7">
        <f t="shared" si="2"/>
        <v>16</v>
      </c>
      <c r="AA17" s="146">
        <f t="shared" si="3"/>
        <v>191</v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35.5</v>
      </c>
      <c r="X18" s="7">
        <f>'CALCULATOR SHEET'!J24</f>
        <v>112</v>
      </c>
      <c r="Y18" s="7">
        <f t="shared" si="1"/>
        <v>3</v>
      </c>
      <c r="Z18" s="7">
        <f t="shared" si="2"/>
        <v>16</v>
      </c>
      <c r="AA18" s="146">
        <f t="shared" si="3"/>
        <v>191</v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25.5</v>
      </c>
      <c r="X19" s="7">
        <f>'CALCULATOR SHEET'!J25</f>
        <v>112</v>
      </c>
      <c r="Y19" s="7">
        <f t="shared" si="1"/>
        <v>2</v>
      </c>
      <c r="Z19" s="7">
        <f t="shared" si="2"/>
        <v>16</v>
      </c>
      <c r="AA19" s="146">
        <f t="shared" si="3"/>
        <v>184</v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25.5</v>
      </c>
      <c r="X20" s="7">
        <f>'CALCULATOR SHEET'!J26</f>
        <v>112</v>
      </c>
      <c r="Y20" s="7">
        <f t="shared" si="1"/>
        <v>2</v>
      </c>
      <c r="Z20" s="7">
        <f t="shared" si="2"/>
        <v>16</v>
      </c>
      <c r="AA20" s="146">
        <f t="shared" si="3"/>
        <v>184</v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27.5</v>
      </c>
      <c r="X21" s="7">
        <f>'CALCULATOR SHEET'!J27</f>
        <v>112</v>
      </c>
      <c r="Y21" s="7">
        <f t="shared" si="1"/>
        <v>2</v>
      </c>
      <c r="Z21" s="7">
        <f t="shared" si="2"/>
        <v>16</v>
      </c>
      <c r="AA21" s="146">
        <f t="shared" si="3"/>
        <v>184</v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27.5</v>
      </c>
      <c r="X22" s="7">
        <f>'CALCULATOR SHEET'!J28</f>
        <v>112</v>
      </c>
      <c r="Y22" s="7">
        <f t="shared" si="1"/>
        <v>2</v>
      </c>
      <c r="Z22" s="7">
        <f t="shared" si="2"/>
        <v>16</v>
      </c>
      <c r="AA22" s="146">
        <f t="shared" si="3"/>
        <v>184</v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28</v>
      </c>
      <c r="X23" s="7">
        <f>'CALCULATOR SHEET'!J29</f>
        <v>112</v>
      </c>
      <c r="Y23" s="7">
        <f t="shared" si="1"/>
        <v>2</v>
      </c>
      <c r="Z23" s="7">
        <f t="shared" si="2"/>
        <v>16</v>
      </c>
      <c r="AA23" s="146">
        <f t="shared" si="3"/>
        <v>184</v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28</v>
      </c>
      <c r="X24" s="7">
        <f>'CALCULATOR SHEET'!J30</f>
        <v>112</v>
      </c>
      <c r="Y24" s="7">
        <f t="shared" si="1"/>
        <v>2</v>
      </c>
      <c r="Z24" s="7">
        <f t="shared" si="2"/>
        <v>16</v>
      </c>
      <c r="AA24" s="146">
        <f t="shared" si="3"/>
        <v>184</v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26</v>
      </c>
      <c r="X25" s="7">
        <f>'CALCULATOR SHEET'!J31</f>
        <v>112</v>
      </c>
      <c r="Y25" s="7">
        <f t="shared" si="1"/>
        <v>2</v>
      </c>
      <c r="Z25" s="7">
        <f t="shared" si="2"/>
        <v>16</v>
      </c>
      <c r="AA25" s="146">
        <f t="shared" si="3"/>
        <v>184</v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26</v>
      </c>
      <c r="X26" s="7">
        <f>'CALCULATOR SHEET'!J32</f>
        <v>112</v>
      </c>
      <c r="Y26" s="7">
        <f t="shared" si="1"/>
        <v>2</v>
      </c>
      <c r="Z26" s="7">
        <f t="shared" si="2"/>
        <v>16</v>
      </c>
      <c r="AA26" s="146">
        <f t="shared" si="3"/>
        <v>184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112.5</v>
      </c>
      <c r="Y27" s="7">
        <f t="shared" si="1"/>
        <v>6</v>
      </c>
      <c r="Z27" s="7">
        <f t="shared" si="2"/>
        <v>16</v>
      </c>
      <c r="AA27" s="146">
        <f t="shared" si="3"/>
        <v>255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52.25</v>
      </c>
      <c r="X28" s="7">
        <f>'CALCULATOR SHEET'!J34</f>
        <v>112.5</v>
      </c>
      <c r="Y28" s="7">
        <f t="shared" si="1"/>
        <v>6</v>
      </c>
      <c r="Z28" s="7">
        <f t="shared" si="2"/>
        <v>16</v>
      </c>
      <c r="AA28" s="146">
        <f t="shared" si="3"/>
        <v>255</v>
      </c>
    </row>
    <row r="29" spans="2:27">
      <c r="V29" s="1">
        <f t="shared" si="4"/>
        <v>23</v>
      </c>
      <c r="W29" s="7">
        <f>'CALCULATOR SHEET'!I35</f>
        <v>56</v>
      </c>
      <c r="X29" s="7">
        <f>'CALCULATOR SHEET'!J35</f>
        <v>112.5</v>
      </c>
      <c r="Y29" s="7">
        <f t="shared" si="1"/>
        <v>7</v>
      </c>
      <c r="Z29" s="7">
        <f t="shared" si="2"/>
        <v>16</v>
      </c>
      <c r="AA29" s="146">
        <f t="shared" si="3"/>
        <v>372</v>
      </c>
    </row>
    <row r="30" spans="2:27">
      <c r="V30" s="1">
        <f t="shared" si="4"/>
        <v>24</v>
      </c>
      <c r="W30" s="7">
        <f>'CALCULATOR SHEET'!I36</f>
        <v>51.25</v>
      </c>
      <c r="X30" s="7">
        <f>'CALCULATOR SHEET'!J36</f>
        <v>112.5</v>
      </c>
      <c r="Y30" s="7">
        <f t="shared" si="1"/>
        <v>6</v>
      </c>
      <c r="Z30" s="7">
        <f t="shared" si="2"/>
        <v>16</v>
      </c>
      <c r="AA30" s="146">
        <f t="shared" si="3"/>
        <v>255</v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10" zoomScale="85" zoomScaleNormal="85" workbookViewId="0">
      <selection activeCell="G31" sqref="G31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9"/>
      <c r="Q3" s="369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/>
      <c r="Q4" s="285"/>
      <c r="R4" s="34" t="s">
        <v>39</v>
      </c>
      <c r="S4" s="19" t="s">
        <v>41</v>
      </c>
      <c r="T4" s="236" t="s">
        <v>43</v>
      </c>
      <c r="Z4" s="372" t="s">
        <v>309</v>
      </c>
      <c r="AA4" s="371">
        <f>FLOOR(SUMIF(C8:C47,"&gt;0")/2,1)</f>
        <v>12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/>
      <c r="Q5" s="285"/>
      <c r="R5" s="19"/>
      <c r="S5" s="19" t="s">
        <v>42</v>
      </c>
      <c r="T5" s="49" t="s">
        <v>492</v>
      </c>
      <c r="W5" s="34" t="s">
        <v>134</v>
      </c>
      <c r="Z5" s="372"/>
      <c r="AA5" s="371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2"/>
      <c r="AA6" s="371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464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70" t="str">
        <f>IF(AA10&gt;(AA9/2),"REVISAR PERSIANAS","")</f>
        <v/>
      </c>
      <c r="Z8" s="370"/>
      <c r="AA8" s="370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491</v>
      </c>
      <c r="E9" s="39"/>
      <c r="F9" s="1"/>
      <c r="G9" s="38" t="s">
        <v>443</v>
      </c>
      <c r="H9" s="343" t="s">
        <v>465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f ca="1">TODAY()</f>
        <v>45986</v>
      </c>
      <c r="Z9" s="38" t="s">
        <v>304</v>
      </c>
      <c r="AA9" s="34">
        <f>SUMIF(C13:C52,"&gt;0")</f>
        <v>24</v>
      </c>
      <c r="AD9" s="368" t="s">
        <v>91</v>
      </c>
      <c r="AE9" s="368"/>
      <c r="AF9" s="368"/>
      <c r="AG9" s="368"/>
      <c r="AH9" s="368"/>
      <c r="AI9" s="368"/>
      <c r="AJ9" s="368"/>
      <c r="AK9" s="269"/>
      <c r="AL9" s="368" t="s">
        <v>92</v>
      </c>
      <c r="AM9" s="368"/>
      <c r="AN9" s="368"/>
      <c r="AO9" s="269"/>
      <c r="AP9" s="368" t="s">
        <v>93</v>
      </c>
      <c r="AQ9" s="368"/>
      <c r="AR9" s="368"/>
      <c r="AS9" s="269"/>
      <c r="AT9" s="368" t="s">
        <v>217</v>
      </c>
      <c r="AU9" s="368"/>
      <c r="AV9" s="14"/>
      <c r="AW9" s="14"/>
    </row>
    <row r="10" spans="1:73" ht="15.75">
      <c r="B10" s="43"/>
      <c r="C10" s="24" t="s">
        <v>39</v>
      </c>
      <c r="D10" s="191" t="s">
        <v>463</v>
      </c>
      <c r="E10" s="149"/>
      <c r="F10" s="1"/>
      <c r="G10" s="341" t="s">
        <v>444</v>
      </c>
      <c r="H10" s="343" t="s">
        <v>466</v>
      </c>
      <c r="I10" s="1"/>
      <c r="J10" s="3" t="s">
        <v>449</v>
      </c>
      <c r="K10" s="344" t="s">
        <v>467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8"/>
      <c r="AE10" s="368"/>
      <c r="AF10" s="368"/>
      <c r="AG10" s="368"/>
      <c r="AH10" s="368"/>
      <c r="AI10" s="368"/>
      <c r="AJ10" s="368"/>
      <c r="AL10" s="368"/>
      <c r="AM10" s="368"/>
      <c r="AN10" s="368"/>
      <c r="AP10" s="368"/>
      <c r="AQ10" s="368"/>
      <c r="AR10" s="368"/>
      <c r="AT10" s="368"/>
      <c r="AU10" s="368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>
        <v>20533</v>
      </c>
      <c r="I11" s="46"/>
      <c r="J11" s="38" t="s">
        <v>448</v>
      </c>
      <c r="K11" s="301"/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88</v>
      </c>
      <c r="E13" s="69" t="s">
        <v>19</v>
      </c>
      <c r="F13" s="69"/>
      <c r="G13" s="68" t="s">
        <v>468</v>
      </c>
      <c r="H13" s="68" t="s">
        <v>469</v>
      </c>
      <c r="I13" s="81">
        <v>47</v>
      </c>
      <c r="J13" s="81">
        <v>116</v>
      </c>
      <c r="K13" s="254" t="s">
        <v>96</v>
      </c>
      <c r="L13" s="70" t="s">
        <v>45</v>
      </c>
      <c r="M13" s="284" t="s">
        <v>129</v>
      </c>
      <c r="N13" s="254" t="s">
        <v>212</v>
      </c>
      <c r="O13" s="254" t="s">
        <v>322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171</v>
      </c>
      <c r="T13" s="316">
        <f t="shared" ref="T13:T52" si="0">IF(S13="","",S13*C13)</f>
        <v>171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171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ROLLER</v>
      </c>
      <c r="AC13" s="271"/>
      <c r="AD13" s="120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>158</v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13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 t="str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/>
      </c>
      <c r="AQ13" s="120" t="str">
        <f>IF(OR(L13="",L13="NO"),"",IF(AB13="ZEBRA",VLOOKUP(L13,GENERAL!$E$6:$F$12,2,FALSE),""))</f>
        <v/>
      </c>
      <c r="AR13" s="120">
        <f>IF(K13="METAL CHAIN",AJ13,"")</f>
        <v>13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88</v>
      </c>
      <c r="E14" s="69" t="s">
        <v>19</v>
      </c>
      <c r="F14" s="69"/>
      <c r="G14" s="68" t="s">
        <v>468</v>
      </c>
      <c r="H14" s="68" t="s">
        <v>470</v>
      </c>
      <c r="I14" s="81">
        <v>40.5</v>
      </c>
      <c r="J14" s="81">
        <v>116</v>
      </c>
      <c r="K14" s="254" t="s">
        <v>96</v>
      </c>
      <c r="L14" s="70" t="s">
        <v>45</v>
      </c>
      <c r="M14" s="284" t="s">
        <v>130</v>
      </c>
      <c r="N14" s="254" t="s">
        <v>212</v>
      </c>
      <c r="O14" s="254" t="s">
        <v>322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159</v>
      </c>
      <c r="T14" s="316">
        <f t="shared" si="0"/>
        <v>159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159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ROLLER</v>
      </c>
      <c r="AC14" s="271"/>
      <c r="AD14" s="120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>146</v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13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13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88</v>
      </c>
      <c r="E15" s="69" t="s">
        <v>19</v>
      </c>
      <c r="F15" s="69"/>
      <c r="G15" s="68" t="s">
        <v>468</v>
      </c>
      <c r="H15" s="68" t="s">
        <v>471</v>
      </c>
      <c r="I15" s="81">
        <v>47</v>
      </c>
      <c r="J15" s="81">
        <v>116</v>
      </c>
      <c r="K15" s="254" t="s">
        <v>96</v>
      </c>
      <c r="L15" s="70" t="s">
        <v>45</v>
      </c>
      <c r="M15" s="284" t="s">
        <v>129</v>
      </c>
      <c r="N15" s="254" t="s">
        <v>212</v>
      </c>
      <c r="O15" s="254" t="s">
        <v>322</v>
      </c>
      <c r="P15" s="70" t="s">
        <v>45</v>
      </c>
      <c r="Q15" s="70" t="s">
        <v>45</v>
      </c>
      <c r="R15" s="70" t="s">
        <v>45</v>
      </c>
      <c r="S15" s="71">
        <f t="shared" si="1"/>
        <v>171</v>
      </c>
      <c r="T15" s="316">
        <f t="shared" si="0"/>
        <v>171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171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 t="str">
        <f t="shared" si="5"/>
        <v>ROLLER</v>
      </c>
      <c r="AC15" s="271"/>
      <c r="AD15" s="120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>158</v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13</v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>
        <f t="shared" si="6"/>
        <v>13</v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88</v>
      </c>
      <c r="E16" s="69" t="s">
        <v>19</v>
      </c>
      <c r="F16" s="69"/>
      <c r="G16" s="68" t="s">
        <v>468</v>
      </c>
      <c r="H16" s="68" t="s">
        <v>472</v>
      </c>
      <c r="I16" s="81">
        <v>36</v>
      </c>
      <c r="J16" s="81">
        <v>117.5</v>
      </c>
      <c r="K16" s="254" t="s">
        <v>96</v>
      </c>
      <c r="L16" s="70" t="s">
        <v>45</v>
      </c>
      <c r="M16" s="284" t="s">
        <v>130</v>
      </c>
      <c r="N16" s="254" t="s">
        <v>212</v>
      </c>
      <c r="O16" s="254" t="s">
        <v>322</v>
      </c>
      <c r="P16" s="70" t="s">
        <v>45</v>
      </c>
      <c r="Q16" s="70" t="s">
        <v>45</v>
      </c>
      <c r="R16" s="70" t="s">
        <v>45</v>
      </c>
      <c r="S16" s="71">
        <f t="shared" si="1"/>
        <v>147</v>
      </c>
      <c r="T16" s="316">
        <f t="shared" si="0"/>
        <v>147</v>
      </c>
      <c r="U16" s="179" t="str">
        <f t="shared" si="2"/>
        <v/>
      </c>
      <c r="V16" s="120"/>
      <c r="W16" s="124">
        <f t="shared" si="8"/>
        <v>147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 t="str">
        <f t="shared" si="5"/>
        <v>ROLLER</v>
      </c>
      <c r="AC16" s="271"/>
      <c r="AD16" s="120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>134</v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13</v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>
        <f t="shared" si="6"/>
        <v>13</v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88</v>
      </c>
      <c r="E17" s="69" t="s">
        <v>19</v>
      </c>
      <c r="F17" s="69"/>
      <c r="G17" s="68" t="s">
        <v>468</v>
      </c>
      <c r="H17" s="68" t="s">
        <v>473</v>
      </c>
      <c r="I17" s="81">
        <v>32.5</v>
      </c>
      <c r="J17" s="81">
        <v>117.5</v>
      </c>
      <c r="K17" s="254" t="s">
        <v>96</v>
      </c>
      <c r="L17" s="70" t="s">
        <v>45</v>
      </c>
      <c r="M17" s="284" t="s">
        <v>129</v>
      </c>
      <c r="N17" s="254" t="s">
        <v>212</v>
      </c>
      <c r="O17" s="254" t="s">
        <v>322</v>
      </c>
      <c r="P17" s="70" t="s">
        <v>45</v>
      </c>
      <c r="Q17" s="70" t="s">
        <v>45</v>
      </c>
      <c r="R17" s="70" t="s">
        <v>45</v>
      </c>
      <c r="S17" s="71">
        <f t="shared" si="1"/>
        <v>147</v>
      </c>
      <c r="T17" s="316">
        <f t="shared" si="0"/>
        <v>147</v>
      </c>
      <c r="U17" s="179" t="str">
        <f t="shared" si="2"/>
        <v/>
      </c>
      <c r="V17" s="120"/>
      <c r="W17" s="124">
        <f t="shared" si="8"/>
        <v>147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 t="str">
        <f t="shared" si="5"/>
        <v>ROLLER</v>
      </c>
      <c r="AC17" s="271"/>
      <c r="AD17" s="120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>134</v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13</v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>
        <f t="shared" si="6"/>
        <v>13</v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>
        <v>1</v>
      </c>
      <c r="D18" s="152" t="s">
        <v>88</v>
      </c>
      <c r="E18" s="69" t="s">
        <v>19</v>
      </c>
      <c r="F18" s="69"/>
      <c r="G18" s="68" t="s">
        <v>468</v>
      </c>
      <c r="H18" s="68" t="s">
        <v>474</v>
      </c>
      <c r="I18" s="81">
        <v>39.5</v>
      </c>
      <c r="J18" s="81">
        <v>117.5</v>
      </c>
      <c r="K18" s="254" t="s">
        <v>96</v>
      </c>
      <c r="L18" s="70" t="s">
        <v>45</v>
      </c>
      <c r="M18" s="284" t="s">
        <v>130</v>
      </c>
      <c r="N18" s="254" t="s">
        <v>212</v>
      </c>
      <c r="O18" s="254" t="s">
        <v>322</v>
      </c>
      <c r="P18" s="70" t="s">
        <v>45</v>
      </c>
      <c r="Q18" s="70" t="s">
        <v>45</v>
      </c>
      <c r="R18" s="70" t="s">
        <v>45</v>
      </c>
      <c r="S18" s="71">
        <f t="shared" si="1"/>
        <v>159</v>
      </c>
      <c r="T18" s="316">
        <f t="shared" si="0"/>
        <v>159</v>
      </c>
      <c r="U18" s="179" t="str">
        <f t="shared" si="2"/>
        <v/>
      </c>
      <c r="V18" s="120"/>
      <c r="W18" s="124">
        <f t="shared" si="8"/>
        <v>159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 t="str">
        <f t="shared" si="5"/>
        <v>ROLLER</v>
      </c>
      <c r="AC18" s="271"/>
      <c r="AD18" s="120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>146</v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>
        <f>IF(K18="METAL CHAIN",'ROLLER G1'!AU12,"")</f>
        <v>13</v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>
        <f t="shared" si="6"/>
        <v>13</v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>
        <v>1</v>
      </c>
      <c r="D19" s="152" t="s">
        <v>88</v>
      </c>
      <c r="E19" s="69" t="s">
        <v>19</v>
      </c>
      <c r="F19" s="69"/>
      <c r="G19" s="68" t="s">
        <v>468</v>
      </c>
      <c r="H19" s="68" t="s">
        <v>475</v>
      </c>
      <c r="I19" s="81">
        <v>28.5</v>
      </c>
      <c r="J19" s="81">
        <v>112.5</v>
      </c>
      <c r="K19" s="254" t="s">
        <v>96</v>
      </c>
      <c r="L19" s="70" t="s">
        <v>45</v>
      </c>
      <c r="M19" s="284" t="s">
        <v>130</v>
      </c>
      <c r="N19" s="254" t="s">
        <v>212</v>
      </c>
      <c r="O19" s="254" t="s">
        <v>322</v>
      </c>
      <c r="P19" s="70" t="s">
        <v>45</v>
      </c>
      <c r="Q19" s="70" t="s">
        <v>45</v>
      </c>
      <c r="R19" s="70" t="s">
        <v>45</v>
      </c>
      <c r="S19" s="71">
        <f t="shared" si="1"/>
        <v>130</v>
      </c>
      <c r="T19" s="316">
        <f t="shared" si="0"/>
        <v>130</v>
      </c>
      <c r="U19" s="179" t="str">
        <f t="shared" si="2"/>
        <v/>
      </c>
      <c r="V19" s="120"/>
      <c r="W19" s="124">
        <f t="shared" si="8"/>
        <v>130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 t="str">
        <f t="shared" si="5"/>
        <v>ROLLER</v>
      </c>
      <c r="AC19" s="271"/>
      <c r="AD19" s="120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>117</v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>
        <f>IF(K19="METAL CHAIN",'ROLLER G1'!AU13,"")</f>
        <v>13</v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>
        <f t="shared" si="6"/>
        <v>13</v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>
        <v>1</v>
      </c>
      <c r="D20" s="152" t="s">
        <v>88</v>
      </c>
      <c r="E20" s="69" t="s">
        <v>19</v>
      </c>
      <c r="F20" s="69"/>
      <c r="G20" s="68" t="s">
        <v>468</v>
      </c>
      <c r="H20" s="68" t="s">
        <v>476</v>
      </c>
      <c r="I20" s="81">
        <v>58</v>
      </c>
      <c r="J20" s="81">
        <v>112.5</v>
      </c>
      <c r="K20" s="254" t="s">
        <v>96</v>
      </c>
      <c r="L20" s="70" t="s">
        <v>45</v>
      </c>
      <c r="M20" s="284" t="s">
        <v>129</v>
      </c>
      <c r="N20" s="254" t="s">
        <v>212</v>
      </c>
      <c r="O20" s="254" t="s">
        <v>322</v>
      </c>
      <c r="P20" s="70" t="s">
        <v>45</v>
      </c>
      <c r="Q20" s="70" t="s">
        <v>45</v>
      </c>
      <c r="R20" s="70" t="s">
        <v>45</v>
      </c>
      <c r="S20" s="71">
        <f t="shared" si="1"/>
        <v>190</v>
      </c>
      <c r="T20" s="316">
        <f t="shared" si="0"/>
        <v>190</v>
      </c>
      <c r="U20" s="179" t="str">
        <f t="shared" si="2"/>
        <v/>
      </c>
      <c r="V20" s="120"/>
      <c r="W20" s="124">
        <f t="shared" si="8"/>
        <v>190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 t="str">
        <f t="shared" si="5"/>
        <v>ROLLER</v>
      </c>
      <c r="AC20" s="271"/>
      <c r="AD20" s="120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>177</v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>
        <f>IF(K20="METAL CHAIN",'ROLLER G1'!AU14,"")</f>
        <v>13</v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>
        <f t="shared" si="6"/>
        <v>13</v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>
        <v>1</v>
      </c>
      <c r="D21" s="152" t="s">
        <v>88</v>
      </c>
      <c r="E21" s="69" t="s">
        <v>20</v>
      </c>
      <c r="F21" s="69"/>
      <c r="G21" s="68" t="s">
        <v>477</v>
      </c>
      <c r="H21" s="68" t="s">
        <v>479</v>
      </c>
      <c r="I21" s="81">
        <v>35.5</v>
      </c>
      <c r="J21" s="81">
        <v>112</v>
      </c>
      <c r="K21" s="254" t="s">
        <v>96</v>
      </c>
      <c r="L21" s="70" t="s">
        <v>45</v>
      </c>
      <c r="M21" s="284" t="s">
        <v>129</v>
      </c>
      <c r="N21" s="254" t="s">
        <v>212</v>
      </c>
      <c r="O21" s="254" t="s">
        <v>322</v>
      </c>
      <c r="P21" s="70" t="s">
        <v>45</v>
      </c>
      <c r="Q21" s="70" t="s">
        <v>46</v>
      </c>
      <c r="R21" s="70" t="s">
        <v>45</v>
      </c>
      <c r="S21" s="71">
        <f t="shared" si="1"/>
        <v>197</v>
      </c>
      <c r="T21" s="316">
        <f t="shared" si="0"/>
        <v>197</v>
      </c>
      <c r="U21" s="179" t="str">
        <f t="shared" si="2"/>
        <v/>
      </c>
      <c r="V21" s="120"/>
      <c r="W21" s="124">
        <f t="shared" si="8"/>
        <v>197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 t="str">
        <f t="shared" si="5"/>
        <v>ROLLER</v>
      </c>
      <c r="AC21" s="271"/>
      <c r="AD21" s="120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>139</v>
      </c>
      <c r="AE21" s="120" t="str">
        <f t="shared" si="9"/>
        <v/>
      </c>
      <c r="AF21" s="120" t="str">
        <f>IF(P21="YES",'ROLLER G1'!AP15,"")</f>
        <v/>
      </c>
      <c r="AG21" s="120">
        <f>IF(Q21="YES",'ROLLER G1'!AQ15,"")</f>
        <v>45</v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>
        <f>IF(K21="METAL CHAIN",'ROLLER G1'!AU15,"")</f>
        <v>13</v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>
        <f t="shared" si="6"/>
        <v>13</v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>
        <v>1</v>
      </c>
      <c r="D22" s="152" t="s">
        <v>88</v>
      </c>
      <c r="E22" s="69" t="s">
        <v>19</v>
      </c>
      <c r="F22" s="69"/>
      <c r="G22" s="68" t="s">
        <v>478</v>
      </c>
      <c r="H22" s="68" t="s">
        <v>479</v>
      </c>
      <c r="I22" s="81">
        <v>35.5</v>
      </c>
      <c r="J22" s="81">
        <v>112</v>
      </c>
      <c r="K22" s="254" t="s">
        <v>96</v>
      </c>
      <c r="L22" s="70" t="s">
        <v>45</v>
      </c>
      <c r="M22" s="284" t="s">
        <v>129</v>
      </c>
      <c r="N22" s="254" t="s">
        <v>212</v>
      </c>
      <c r="O22" s="254" t="s">
        <v>322</v>
      </c>
      <c r="P22" s="70" t="s">
        <v>45</v>
      </c>
      <c r="Q22" s="70" t="s">
        <v>45</v>
      </c>
      <c r="R22" s="70" t="s">
        <v>45</v>
      </c>
      <c r="S22" s="71">
        <f t="shared" si="1"/>
        <v>144</v>
      </c>
      <c r="T22" s="72">
        <f t="shared" si="0"/>
        <v>144</v>
      </c>
      <c r="U22" s="179" t="str">
        <f t="shared" si="2"/>
        <v/>
      </c>
      <c r="V22" s="67"/>
      <c r="W22" s="124">
        <f t="shared" si="8"/>
        <v>144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 t="str">
        <f t="shared" si="5"/>
        <v>ROLLER</v>
      </c>
      <c r="AC22" s="271"/>
      <c r="AD22" s="120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>131</v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>
        <f>IF(K22="METAL CHAIN",'ROLLER G1'!AU16,"")</f>
        <v>13</v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>
        <f t="shared" si="6"/>
        <v>13</v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>
        <v>1</v>
      </c>
      <c r="D23" s="152" t="s">
        <v>88</v>
      </c>
      <c r="E23" s="69" t="s">
        <v>20</v>
      </c>
      <c r="F23" s="69"/>
      <c r="G23" s="68" t="s">
        <v>477</v>
      </c>
      <c r="H23" s="68" t="s">
        <v>480</v>
      </c>
      <c r="I23" s="81">
        <v>35.5</v>
      </c>
      <c r="J23" s="81">
        <v>112</v>
      </c>
      <c r="K23" s="254" t="s">
        <v>96</v>
      </c>
      <c r="L23" s="70" t="s">
        <v>45</v>
      </c>
      <c r="M23" s="284" t="s">
        <v>130</v>
      </c>
      <c r="N23" s="254" t="s">
        <v>212</v>
      </c>
      <c r="O23" s="254" t="s">
        <v>322</v>
      </c>
      <c r="P23" s="70" t="s">
        <v>45</v>
      </c>
      <c r="Q23" s="70" t="s">
        <v>46</v>
      </c>
      <c r="R23" s="70" t="s">
        <v>45</v>
      </c>
      <c r="S23" s="71">
        <f t="shared" si="1"/>
        <v>197</v>
      </c>
      <c r="T23" s="72">
        <f t="shared" si="0"/>
        <v>197</v>
      </c>
      <c r="U23" s="179" t="str">
        <f t="shared" si="2"/>
        <v/>
      </c>
      <c r="V23" s="67"/>
      <c r="W23" s="124">
        <f t="shared" si="8"/>
        <v>197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 t="str">
        <f t="shared" si="5"/>
        <v>ROLLER</v>
      </c>
      <c r="AC23" s="271"/>
      <c r="AD23" s="120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>139</v>
      </c>
      <c r="AE23" s="120" t="str">
        <f t="shared" si="9"/>
        <v/>
      </c>
      <c r="AF23" s="120" t="str">
        <f>IF(P23="YES",'ROLLER G1'!AP17,"")</f>
        <v/>
      </c>
      <c r="AG23" s="120">
        <f>IF(Q23="YES",'ROLLER G1'!AQ17,"")</f>
        <v>45</v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>
        <f>IF(K23="METAL CHAIN",'ROLLER G1'!AU17,"")</f>
        <v>13</v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>
        <f t="shared" si="6"/>
        <v>13</v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>
        <v>1</v>
      </c>
      <c r="D24" s="152" t="s">
        <v>88</v>
      </c>
      <c r="E24" s="69" t="s">
        <v>19</v>
      </c>
      <c r="F24" s="69"/>
      <c r="G24" s="68" t="s">
        <v>478</v>
      </c>
      <c r="H24" s="68" t="s">
        <v>480</v>
      </c>
      <c r="I24" s="81">
        <v>35.5</v>
      </c>
      <c r="J24" s="81">
        <v>112</v>
      </c>
      <c r="K24" s="254" t="s">
        <v>96</v>
      </c>
      <c r="L24" s="70" t="s">
        <v>45</v>
      </c>
      <c r="M24" s="284" t="s">
        <v>130</v>
      </c>
      <c r="N24" s="254" t="s">
        <v>212</v>
      </c>
      <c r="O24" s="254" t="s">
        <v>322</v>
      </c>
      <c r="P24" s="70" t="s">
        <v>45</v>
      </c>
      <c r="Q24" s="70" t="s">
        <v>45</v>
      </c>
      <c r="R24" s="70" t="s">
        <v>45</v>
      </c>
      <c r="S24" s="71">
        <f t="shared" si="1"/>
        <v>144</v>
      </c>
      <c r="T24" s="72">
        <f t="shared" si="0"/>
        <v>144</v>
      </c>
      <c r="U24" s="179" t="str">
        <f t="shared" si="2"/>
        <v/>
      </c>
      <c r="V24" s="67"/>
      <c r="W24" s="124">
        <f t="shared" si="8"/>
        <v>144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 t="str">
        <f t="shared" si="5"/>
        <v>ROLLER</v>
      </c>
      <c r="AC24" s="271"/>
      <c r="AD24" s="120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>131</v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>
        <f>IF(K24="METAL CHAIN",'ROLLER G1'!AU18,"")</f>
        <v>13</v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>
        <f t="shared" si="6"/>
        <v>13</v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>
        <v>1</v>
      </c>
      <c r="D25" s="152" t="s">
        <v>88</v>
      </c>
      <c r="E25" s="69" t="s">
        <v>20</v>
      </c>
      <c r="F25" s="69"/>
      <c r="G25" s="68" t="s">
        <v>477</v>
      </c>
      <c r="H25" s="68" t="s">
        <v>481</v>
      </c>
      <c r="I25" s="81">
        <v>25.5</v>
      </c>
      <c r="J25" s="81">
        <v>112</v>
      </c>
      <c r="K25" s="254" t="s">
        <v>96</v>
      </c>
      <c r="L25" s="70" t="s">
        <v>45</v>
      </c>
      <c r="M25" s="284" t="s">
        <v>129</v>
      </c>
      <c r="N25" s="254" t="s">
        <v>212</v>
      </c>
      <c r="O25" s="254" t="s">
        <v>322</v>
      </c>
      <c r="P25" s="70" t="s">
        <v>45</v>
      </c>
      <c r="Q25" s="70" t="s">
        <v>46</v>
      </c>
      <c r="R25" s="70" t="s">
        <v>45</v>
      </c>
      <c r="S25" s="71">
        <f t="shared" si="1"/>
        <v>177</v>
      </c>
      <c r="T25" s="72">
        <f t="shared" si="0"/>
        <v>177</v>
      </c>
      <c r="U25" s="179" t="str">
        <f t="shared" si="2"/>
        <v/>
      </c>
      <c r="V25" s="67"/>
      <c r="W25" s="124">
        <f t="shared" si="8"/>
        <v>177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 t="str">
        <f t="shared" si="5"/>
        <v>ROLLER</v>
      </c>
      <c r="AC25" s="271"/>
      <c r="AD25" s="120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>124</v>
      </c>
      <c r="AE25" s="120" t="str">
        <f t="shared" si="9"/>
        <v/>
      </c>
      <c r="AF25" s="120" t="str">
        <f>IF(P25="YES",'ROLLER G1'!AP19,"")</f>
        <v/>
      </c>
      <c r="AG25" s="120">
        <f>IF(Q25="YES",'ROLLER G1'!AQ19,"")</f>
        <v>40</v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>
        <f>IF(K25="METAL CHAIN",'ROLLER G1'!AU19,"")</f>
        <v>13</v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>
        <f t="shared" si="6"/>
        <v>13</v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>
        <v>1</v>
      </c>
      <c r="D26" s="152" t="s">
        <v>88</v>
      </c>
      <c r="E26" s="69" t="s">
        <v>19</v>
      </c>
      <c r="F26" s="69"/>
      <c r="G26" s="68" t="s">
        <v>478</v>
      </c>
      <c r="H26" s="68" t="s">
        <v>481</v>
      </c>
      <c r="I26" s="81">
        <v>25.5</v>
      </c>
      <c r="J26" s="81">
        <v>112</v>
      </c>
      <c r="K26" s="254" t="s">
        <v>96</v>
      </c>
      <c r="L26" s="70" t="s">
        <v>45</v>
      </c>
      <c r="M26" s="284" t="s">
        <v>129</v>
      </c>
      <c r="N26" s="254" t="s">
        <v>212</v>
      </c>
      <c r="O26" s="254" t="s">
        <v>322</v>
      </c>
      <c r="P26" s="70" t="s">
        <v>45</v>
      </c>
      <c r="Q26" s="70" t="s">
        <v>45</v>
      </c>
      <c r="R26" s="70" t="s">
        <v>45</v>
      </c>
      <c r="S26" s="71">
        <f t="shared" si="1"/>
        <v>130</v>
      </c>
      <c r="T26" s="72">
        <f t="shared" si="0"/>
        <v>130</v>
      </c>
      <c r="U26" s="179" t="str">
        <f t="shared" si="2"/>
        <v/>
      </c>
      <c r="V26" s="67"/>
      <c r="W26" s="124">
        <f t="shared" si="8"/>
        <v>130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 t="str">
        <f t="shared" si="5"/>
        <v>ROLLER</v>
      </c>
      <c r="AC26" s="271"/>
      <c r="AD26" s="120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>117</v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>
        <f>IF(K26="METAL CHAIN",'ROLLER G1'!AU20,"")</f>
        <v>13</v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>
        <f t="shared" si="6"/>
        <v>13</v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>
        <v>1</v>
      </c>
      <c r="D27" s="152" t="s">
        <v>88</v>
      </c>
      <c r="E27" s="69" t="s">
        <v>20</v>
      </c>
      <c r="F27" s="69"/>
      <c r="G27" s="68" t="s">
        <v>477</v>
      </c>
      <c r="H27" s="68" t="s">
        <v>482</v>
      </c>
      <c r="I27" s="81">
        <v>27.5</v>
      </c>
      <c r="J27" s="81">
        <v>112</v>
      </c>
      <c r="K27" s="254" t="s">
        <v>96</v>
      </c>
      <c r="L27" s="70" t="s">
        <v>45</v>
      </c>
      <c r="M27" s="284" t="s">
        <v>130</v>
      </c>
      <c r="N27" s="254" t="s">
        <v>212</v>
      </c>
      <c r="O27" s="254" t="s">
        <v>322</v>
      </c>
      <c r="P27" s="70" t="s">
        <v>45</v>
      </c>
      <c r="Q27" s="70" t="s">
        <v>46</v>
      </c>
      <c r="R27" s="70" t="s">
        <v>45</v>
      </c>
      <c r="S27" s="71">
        <f t="shared" si="1"/>
        <v>177</v>
      </c>
      <c r="T27" s="72">
        <f t="shared" si="0"/>
        <v>177</v>
      </c>
      <c r="U27" s="179" t="str">
        <f t="shared" si="2"/>
        <v/>
      </c>
      <c r="V27" s="67"/>
      <c r="W27" s="124">
        <f t="shared" si="8"/>
        <v>177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 t="str">
        <f t="shared" si="5"/>
        <v>ROLLER</v>
      </c>
      <c r="AC27" s="271"/>
      <c r="AD27" s="120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>124</v>
      </c>
      <c r="AE27" s="120" t="str">
        <f t="shared" si="9"/>
        <v/>
      </c>
      <c r="AF27" s="120" t="str">
        <f>IF(P27="YES",'ROLLER G1'!AP21,"")</f>
        <v/>
      </c>
      <c r="AG27" s="120">
        <f>IF(Q27="YES",'ROLLER G1'!AQ21,"")</f>
        <v>40</v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>
        <f>IF(K27="METAL CHAIN",'ROLLER G1'!AU21,"")</f>
        <v>13</v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>
        <f t="shared" si="6"/>
        <v>13</v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>
        <v>1</v>
      </c>
      <c r="D28" s="152" t="s">
        <v>88</v>
      </c>
      <c r="E28" s="69" t="s">
        <v>19</v>
      </c>
      <c r="F28" s="69"/>
      <c r="G28" s="68" t="s">
        <v>478</v>
      </c>
      <c r="H28" s="68" t="s">
        <v>482</v>
      </c>
      <c r="I28" s="81">
        <v>27.5</v>
      </c>
      <c r="J28" s="81">
        <v>112</v>
      </c>
      <c r="K28" s="254" t="s">
        <v>96</v>
      </c>
      <c r="L28" s="70" t="s">
        <v>45</v>
      </c>
      <c r="M28" s="284" t="s">
        <v>130</v>
      </c>
      <c r="N28" s="254" t="s">
        <v>212</v>
      </c>
      <c r="O28" s="254" t="s">
        <v>322</v>
      </c>
      <c r="P28" s="70" t="s">
        <v>45</v>
      </c>
      <c r="Q28" s="70" t="s">
        <v>45</v>
      </c>
      <c r="R28" s="70" t="s">
        <v>45</v>
      </c>
      <c r="S28" s="71">
        <f t="shared" si="1"/>
        <v>130</v>
      </c>
      <c r="T28" s="72">
        <f t="shared" si="0"/>
        <v>130</v>
      </c>
      <c r="U28" s="179" t="str">
        <f t="shared" si="2"/>
        <v/>
      </c>
      <c r="V28" s="67"/>
      <c r="W28" s="124">
        <f t="shared" si="8"/>
        <v>130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 t="str">
        <f t="shared" si="5"/>
        <v>ROLLER</v>
      </c>
      <c r="AC28" s="271"/>
      <c r="AD28" s="120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>117</v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>
        <f>IF(K28="METAL CHAIN",'ROLLER G1'!AU22,"")</f>
        <v>13</v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>
        <f t="shared" si="6"/>
        <v>13</v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>
        <v>1</v>
      </c>
      <c r="D29" s="152" t="s">
        <v>88</v>
      </c>
      <c r="E29" s="69" t="s">
        <v>20</v>
      </c>
      <c r="F29" s="69"/>
      <c r="G29" s="68" t="s">
        <v>493</v>
      </c>
      <c r="H29" s="68" t="s">
        <v>483</v>
      </c>
      <c r="I29" s="81">
        <v>28</v>
      </c>
      <c r="J29" s="81">
        <v>112</v>
      </c>
      <c r="K29" s="254" t="s">
        <v>96</v>
      </c>
      <c r="L29" s="70" t="s">
        <v>45</v>
      </c>
      <c r="M29" s="284" t="s">
        <v>129</v>
      </c>
      <c r="N29" s="254" t="s">
        <v>212</v>
      </c>
      <c r="O29" s="254" t="s">
        <v>322</v>
      </c>
      <c r="P29" s="70" t="s">
        <v>45</v>
      </c>
      <c r="Q29" s="70" t="s">
        <v>46</v>
      </c>
      <c r="R29" s="70" t="s">
        <v>45</v>
      </c>
      <c r="S29" s="71">
        <f t="shared" si="1"/>
        <v>177</v>
      </c>
      <c r="T29" s="72">
        <f t="shared" si="0"/>
        <v>177</v>
      </c>
      <c r="U29" s="179" t="str">
        <f t="shared" si="2"/>
        <v/>
      </c>
      <c r="V29" s="67"/>
      <c r="W29" s="124">
        <f t="shared" si="8"/>
        <v>177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 t="str">
        <f t="shared" si="5"/>
        <v>ROLLER</v>
      </c>
      <c r="AC29" s="271"/>
      <c r="AD29" s="120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>124</v>
      </c>
      <c r="AE29" s="120" t="str">
        <f t="shared" si="9"/>
        <v/>
      </c>
      <c r="AF29" s="120" t="str">
        <f>IF(P29="YES",'ROLLER G1'!AP23,"")</f>
        <v/>
      </c>
      <c r="AG29" s="120">
        <f>IF(Q29="YES",'ROLLER G1'!AQ23,"")</f>
        <v>40</v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>
        <f>IF(K29="METAL CHAIN",'ROLLER G1'!AU23,"")</f>
        <v>13</v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>
        <f t="shared" si="6"/>
        <v>13</v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>
        <v>1</v>
      </c>
      <c r="D30" s="152" t="s">
        <v>88</v>
      </c>
      <c r="E30" s="69" t="s">
        <v>19</v>
      </c>
      <c r="F30" s="69"/>
      <c r="G30" s="68" t="s">
        <v>478</v>
      </c>
      <c r="H30" s="68" t="s">
        <v>483</v>
      </c>
      <c r="I30" s="81">
        <v>28</v>
      </c>
      <c r="J30" s="81">
        <v>112</v>
      </c>
      <c r="K30" s="254" t="s">
        <v>96</v>
      </c>
      <c r="L30" s="70" t="s">
        <v>45</v>
      </c>
      <c r="M30" s="284" t="s">
        <v>129</v>
      </c>
      <c r="N30" s="254" t="s">
        <v>212</v>
      </c>
      <c r="O30" s="254" t="s">
        <v>322</v>
      </c>
      <c r="P30" s="70" t="s">
        <v>45</v>
      </c>
      <c r="Q30" s="70" t="s">
        <v>45</v>
      </c>
      <c r="R30" s="70" t="s">
        <v>45</v>
      </c>
      <c r="S30" s="71">
        <f t="shared" si="1"/>
        <v>130</v>
      </c>
      <c r="T30" s="72">
        <f t="shared" si="0"/>
        <v>130</v>
      </c>
      <c r="U30" s="179" t="str">
        <f t="shared" si="2"/>
        <v/>
      </c>
      <c r="V30" s="67"/>
      <c r="W30" s="124">
        <f t="shared" si="8"/>
        <v>130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 t="str">
        <f t="shared" si="5"/>
        <v>ROLLER</v>
      </c>
      <c r="AC30" s="271"/>
      <c r="AD30" s="120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>117</v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>
        <f>IF(K30="METAL CHAIN",'ROLLER G1'!AU24,"")</f>
        <v>13</v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>
        <f t="shared" si="6"/>
        <v>13</v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>
        <v>1</v>
      </c>
      <c r="D31" s="152" t="s">
        <v>88</v>
      </c>
      <c r="E31" s="69" t="s">
        <v>20</v>
      </c>
      <c r="F31" s="69"/>
      <c r="G31" s="68" t="s">
        <v>493</v>
      </c>
      <c r="H31" s="68" t="s">
        <v>484</v>
      </c>
      <c r="I31" s="81">
        <v>26</v>
      </c>
      <c r="J31" s="81">
        <v>112</v>
      </c>
      <c r="K31" s="254" t="s">
        <v>96</v>
      </c>
      <c r="L31" s="70" t="s">
        <v>45</v>
      </c>
      <c r="M31" s="284" t="s">
        <v>130</v>
      </c>
      <c r="N31" s="254" t="s">
        <v>212</v>
      </c>
      <c r="O31" s="254" t="s">
        <v>322</v>
      </c>
      <c r="P31" s="70" t="s">
        <v>45</v>
      </c>
      <c r="Q31" s="70" t="s">
        <v>46</v>
      </c>
      <c r="R31" s="70" t="s">
        <v>45</v>
      </c>
      <c r="S31" s="71">
        <f t="shared" si="1"/>
        <v>177</v>
      </c>
      <c r="T31" s="72">
        <f t="shared" si="0"/>
        <v>177</v>
      </c>
      <c r="U31" s="179" t="str">
        <f t="shared" si="2"/>
        <v/>
      </c>
      <c r="V31" s="67"/>
      <c r="W31" s="124">
        <f t="shared" si="8"/>
        <v>177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 t="str">
        <f t="shared" si="5"/>
        <v>ROLLER</v>
      </c>
      <c r="AC31" s="271"/>
      <c r="AD31" s="120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>124</v>
      </c>
      <c r="AE31" s="120" t="str">
        <f t="shared" si="9"/>
        <v/>
      </c>
      <c r="AF31" s="120" t="str">
        <f>IF(P31="YES",'ROLLER G1'!AP25,"")</f>
        <v/>
      </c>
      <c r="AG31" s="120">
        <f>IF(Q31="YES",'ROLLER G1'!AQ25,"")</f>
        <v>40</v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>
        <f>IF(K31="METAL CHAIN",'ROLLER G1'!AU25,"")</f>
        <v>13</v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>
        <f t="shared" si="6"/>
        <v>13</v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>
        <v>1</v>
      </c>
      <c r="D32" s="152" t="s">
        <v>88</v>
      </c>
      <c r="E32" s="69" t="s">
        <v>19</v>
      </c>
      <c r="F32" s="69"/>
      <c r="G32" s="68" t="s">
        <v>478</v>
      </c>
      <c r="H32" s="68" t="s">
        <v>484</v>
      </c>
      <c r="I32" s="81">
        <v>26</v>
      </c>
      <c r="J32" s="81">
        <v>112</v>
      </c>
      <c r="K32" s="254" t="s">
        <v>96</v>
      </c>
      <c r="L32" s="70" t="s">
        <v>45</v>
      </c>
      <c r="M32" s="284" t="s">
        <v>130</v>
      </c>
      <c r="N32" s="254" t="s">
        <v>212</v>
      </c>
      <c r="O32" s="254" t="s">
        <v>322</v>
      </c>
      <c r="P32" s="70" t="s">
        <v>45</v>
      </c>
      <c r="Q32" s="70" t="s">
        <v>45</v>
      </c>
      <c r="R32" s="70" t="s">
        <v>45</v>
      </c>
      <c r="S32" s="71">
        <f t="shared" si="1"/>
        <v>130</v>
      </c>
      <c r="T32" s="72">
        <f t="shared" si="0"/>
        <v>130</v>
      </c>
      <c r="U32" s="179" t="str">
        <f t="shared" si="2"/>
        <v/>
      </c>
      <c r="V32" s="67"/>
      <c r="W32" s="124">
        <f t="shared" si="8"/>
        <v>130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 t="str">
        <f t="shared" si="5"/>
        <v>ROLLER</v>
      </c>
      <c r="AC32" s="271"/>
      <c r="AD32" s="120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>117</v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>
        <f>IF(K32="METAL CHAIN",'ROLLER G1'!AU26,"")</f>
        <v>13</v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>
        <f t="shared" si="6"/>
        <v>13</v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>
        <v>1</v>
      </c>
      <c r="D33" s="152" t="s">
        <v>88</v>
      </c>
      <c r="E33" s="69" t="s">
        <v>19</v>
      </c>
      <c r="F33" s="69"/>
      <c r="G33" s="68" t="s">
        <v>478</v>
      </c>
      <c r="H33" s="68" t="s">
        <v>485</v>
      </c>
      <c r="I33" s="81">
        <v>52</v>
      </c>
      <c r="J33" s="81">
        <v>112.5</v>
      </c>
      <c r="K33" s="254" t="s">
        <v>96</v>
      </c>
      <c r="L33" s="70" t="s">
        <v>45</v>
      </c>
      <c r="M33" s="284" t="s">
        <v>129</v>
      </c>
      <c r="N33" s="254" t="s">
        <v>212</v>
      </c>
      <c r="O33" s="254" t="s">
        <v>322</v>
      </c>
      <c r="P33" s="70" t="s">
        <v>45</v>
      </c>
      <c r="Q33" s="70" t="s">
        <v>45</v>
      </c>
      <c r="R33" s="70" t="s">
        <v>45</v>
      </c>
      <c r="S33" s="71">
        <f t="shared" si="1"/>
        <v>179</v>
      </c>
      <c r="T33" s="72">
        <f t="shared" si="0"/>
        <v>179</v>
      </c>
      <c r="U33" s="179" t="str">
        <f t="shared" si="2"/>
        <v/>
      </c>
      <c r="V33" s="67"/>
      <c r="W33" s="124">
        <f t="shared" si="8"/>
        <v>179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 t="str">
        <f t="shared" si="5"/>
        <v>ROLLER</v>
      </c>
      <c r="AC33" s="271"/>
      <c r="AD33" s="120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>166</v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>
        <f>IF(K33="METAL CHAIN",'ROLLER G1'!AU27,"")</f>
        <v>13</v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>
        <f t="shared" si="6"/>
        <v>13</v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>
        <v>1</v>
      </c>
      <c r="D34" s="152" t="s">
        <v>88</v>
      </c>
      <c r="E34" s="69" t="s">
        <v>19</v>
      </c>
      <c r="F34" s="69"/>
      <c r="G34" s="68" t="s">
        <v>478</v>
      </c>
      <c r="H34" s="68" t="s">
        <v>486</v>
      </c>
      <c r="I34" s="81">
        <v>52.25</v>
      </c>
      <c r="J34" s="81">
        <v>112.5</v>
      </c>
      <c r="K34" s="254" t="s">
        <v>96</v>
      </c>
      <c r="L34" s="70" t="s">
        <v>45</v>
      </c>
      <c r="M34" s="284" t="s">
        <v>130</v>
      </c>
      <c r="N34" s="254" t="s">
        <v>212</v>
      </c>
      <c r="O34" s="254" t="s">
        <v>322</v>
      </c>
      <c r="P34" s="70" t="s">
        <v>45</v>
      </c>
      <c r="Q34" s="70" t="s">
        <v>45</v>
      </c>
      <c r="R34" s="70" t="s">
        <v>45</v>
      </c>
      <c r="S34" s="71">
        <f t="shared" si="1"/>
        <v>179</v>
      </c>
      <c r="T34" s="72">
        <f t="shared" si="0"/>
        <v>179</v>
      </c>
      <c r="U34" s="179" t="str">
        <f t="shared" si="2"/>
        <v/>
      </c>
      <c r="V34" s="67"/>
      <c r="W34" s="124">
        <f t="shared" si="8"/>
        <v>179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 t="str">
        <f t="shared" si="5"/>
        <v>ROLLER</v>
      </c>
      <c r="AC34" s="271"/>
      <c r="AD34" s="120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>166</v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>
        <f>IF(K34="METAL CHAIN",'ROLLER G1'!AU28,"")</f>
        <v>13</v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>
        <f t="shared" si="6"/>
        <v>13</v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>
        <v>1</v>
      </c>
      <c r="D35" s="152" t="s">
        <v>88</v>
      </c>
      <c r="E35" s="69" t="s">
        <v>19</v>
      </c>
      <c r="F35" s="69"/>
      <c r="G35" s="68" t="s">
        <v>478</v>
      </c>
      <c r="H35" s="68" t="s">
        <v>487</v>
      </c>
      <c r="I35" s="81">
        <v>56</v>
      </c>
      <c r="J35" s="81">
        <v>112.5</v>
      </c>
      <c r="K35" s="254" t="s">
        <v>96</v>
      </c>
      <c r="L35" s="70" t="s">
        <v>45</v>
      </c>
      <c r="M35" s="284" t="s">
        <v>129</v>
      </c>
      <c r="N35" s="254" t="s">
        <v>212</v>
      </c>
      <c r="O35" s="254" t="s">
        <v>322</v>
      </c>
      <c r="P35" s="70" t="s">
        <v>45</v>
      </c>
      <c r="Q35" s="70" t="s">
        <v>45</v>
      </c>
      <c r="R35" s="70" t="s">
        <v>45</v>
      </c>
      <c r="S35" s="71">
        <f t="shared" si="1"/>
        <v>190</v>
      </c>
      <c r="T35" s="72">
        <f t="shared" si="0"/>
        <v>190</v>
      </c>
      <c r="U35" s="179" t="str">
        <f t="shared" si="2"/>
        <v/>
      </c>
      <c r="V35" s="67"/>
      <c r="W35" s="124">
        <f t="shared" si="8"/>
        <v>190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 t="str">
        <f t="shared" si="5"/>
        <v>ROLLER</v>
      </c>
      <c r="AC35" s="271"/>
      <c r="AD35" s="120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>177</v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>
        <f>IF(K35="METAL CHAIN",'ROLLER G1'!AU29,"")</f>
        <v>13</v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>
        <f t="shared" si="6"/>
        <v>13</v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>
        <v>1</v>
      </c>
      <c r="D36" s="152" t="s">
        <v>88</v>
      </c>
      <c r="E36" s="69" t="s">
        <v>19</v>
      </c>
      <c r="F36" s="69"/>
      <c r="G36" s="68" t="s">
        <v>478</v>
      </c>
      <c r="H36" s="68" t="s">
        <v>488</v>
      </c>
      <c r="I36" s="81">
        <v>51.25</v>
      </c>
      <c r="J36" s="81">
        <v>112.5</v>
      </c>
      <c r="K36" s="254" t="s">
        <v>96</v>
      </c>
      <c r="L36" s="70" t="s">
        <v>45</v>
      </c>
      <c r="M36" s="284" t="s">
        <v>130</v>
      </c>
      <c r="N36" s="254" t="s">
        <v>212</v>
      </c>
      <c r="O36" s="254" t="s">
        <v>322</v>
      </c>
      <c r="P36" s="70" t="s">
        <v>45</v>
      </c>
      <c r="Q36" s="70" t="s">
        <v>45</v>
      </c>
      <c r="R36" s="70" t="s">
        <v>45</v>
      </c>
      <c r="S36" s="71">
        <f t="shared" si="1"/>
        <v>179</v>
      </c>
      <c r="T36" s="72">
        <f t="shared" si="0"/>
        <v>179</v>
      </c>
      <c r="U36" s="179" t="str">
        <f t="shared" si="2"/>
        <v/>
      </c>
      <c r="V36" s="67"/>
      <c r="W36" s="124">
        <f t="shared" si="8"/>
        <v>179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 t="str">
        <f t="shared" si="5"/>
        <v>ROLLER</v>
      </c>
      <c r="AC36" s="271"/>
      <c r="AD36" s="120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>166</v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>
        <f>IF(K36="METAL CHAIN",'ROLLER G1'!AU30,"")</f>
        <v>13</v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>
        <f t="shared" si="6"/>
        <v>13</v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8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8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8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8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8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8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8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8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8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8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8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8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3911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0.4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1564.4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2346.6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2346.6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8" t="s">
        <v>9</v>
      </c>
      <c r="J3" s="388"/>
      <c r="K3" s="388"/>
      <c r="L3" s="388"/>
      <c r="S3" s="34" t="s">
        <v>437</v>
      </c>
    </row>
    <row r="4" spans="2:28" ht="25.5">
      <c r="D4" s="130"/>
      <c r="E4" s="131"/>
      <c r="I4" s="388"/>
      <c r="J4" s="388"/>
      <c r="K4" s="388"/>
      <c r="L4" s="388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7" t="s">
        <v>72</v>
      </c>
      <c r="V7" s="147"/>
      <c r="W7" s="1">
        <v>1</v>
      </c>
      <c r="X7" s="7">
        <f>'CALCULATOR SHEET'!I13</f>
        <v>47</v>
      </c>
      <c r="Y7" s="7">
        <f>'CALCULATOR SHEET'!J13</f>
        <v>116</v>
      </c>
      <c r="Z7" s="7">
        <f>IF(X7=0,"",MATCH(CEILING(X7,6),$C$7:$R$7,0))</f>
        <v>5</v>
      </c>
      <c r="AA7" s="7">
        <f>IF(Y7=0,"",MATCH(CEILING(Y7,6),$B$10:$B$26,0))</f>
        <v>17</v>
      </c>
      <c r="AB7" s="146">
        <f>IF(Z7="","",INDEX($C$10:$R$26,AA7,Z7))</f>
        <v>286</v>
      </c>
    </row>
    <row r="8" spans="2:28" ht="15.75">
      <c r="U8" s="387"/>
      <c r="V8" s="147"/>
      <c r="W8" s="1">
        <f>+W7+1</f>
        <v>2</v>
      </c>
      <c r="X8" s="7">
        <f>'CALCULATOR SHEET'!I14</f>
        <v>40.5</v>
      </c>
      <c r="Y8" s="7">
        <f>'CALCULATOR SHEET'!J14</f>
        <v>116</v>
      </c>
      <c r="Z8" s="7">
        <f t="shared" ref="Z8:Z71" si="0">IF(X8=0,"",MATCH(CEILING(X8,6),$C$7:$R$7,0))</f>
        <v>4</v>
      </c>
      <c r="AA8" s="7">
        <f t="shared" ref="AA8:AA71" si="1">IF(Y8=0,"",MATCH(CEILING(Y8,6),$B$10:$B$26,0))</f>
        <v>17</v>
      </c>
      <c r="AB8" s="146">
        <f t="shared" ref="AB8:AB71" si="2">IF(Z8="","",INDEX($C$10:$R$26,AA8,Z8))</f>
        <v>278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47</v>
      </c>
      <c r="Y9" s="7">
        <f>'CALCULATOR SHEET'!J15</f>
        <v>116</v>
      </c>
      <c r="Z9" s="7">
        <f t="shared" si="0"/>
        <v>5</v>
      </c>
      <c r="AA9" s="7">
        <f t="shared" si="1"/>
        <v>17</v>
      </c>
      <c r="AB9" s="146">
        <f t="shared" si="2"/>
        <v>286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36</v>
      </c>
      <c r="Y10" s="7">
        <f>'CALCULATOR SHEET'!J16</f>
        <v>117.5</v>
      </c>
      <c r="Z10" s="7">
        <f t="shared" si="0"/>
        <v>3</v>
      </c>
      <c r="AA10" s="7">
        <f t="shared" si="1"/>
        <v>17</v>
      </c>
      <c r="AB10" s="146">
        <f t="shared" si="2"/>
        <v>217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32.5</v>
      </c>
      <c r="Y11" s="7">
        <f>'CALCULATOR SHEET'!J17</f>
        <v>117.5</v>
      </c>
      <c r="Z11" s="7">
        <f t="shared" si="0"/>
        <v>3</v>
      </c>
      <c r="AA11" s="7">
        <f t="shared" si="1"/>
        <v>17</v>
      </c>
      <c r="AB11" s="146">
        <f t="shared" si="2"/>
        <v>217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39.5</v>
      </c>
      <c r="Y12" s="7">
        <f>'CALCULATOR SHEET'!J18</f>
        <v>117.5</v>
      </c>
      <c r="Z12" s="7">
        <f t="shared" si="0"/>
        <v>4</v>
      </c>
      <c r="AA12" s="7">
        <f t="shared" si="1"/>
        <v>17</v>
      </c>
      <c r="AB12" s="146">
        <f t="shared" si="2"/>
        <v>278</v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28.5</v>
      </c>
      <c r="Y13" s="7">
        <f>'CALCULATOR SHEET'!J19</f>
        <v>112.5</v>
      </c>
      <c r="Z13" s="7">
        <f t="shared" si="0"/>
        <v>2</v>
      </c>
      <c r="AA13" s="7">
        <f t="shared" si="1"/>
        <v>16</v>
      </c>
      <c r="AB13" s="146">
        <f t="shared" si="2"/>
        <v>205</v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58</v>
      </c>
      <c r="Y14" s="7">
        <f>'CALCULATOR SHEET'!J20</f>
        <v>112.5</v>
      </c>
      <c r="Z14" s="7">
        <f t="shared" si="0"/>
        <v>7</v>
      </c>
      <c r="AA14" s="7">
        <f t="shared" si="1"/>
        <v>16</v>
      </c>
      <c r="AB14" s="146">
        <f t="shared" si="2"/>
        <v>437</v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35.5</v>
      </c>
      <c r="Y15" s="7">
        <f>'CALCULATOR SHEET'!J21</f>
        <v>112</v>
      </c>
      <c r="Z15" s="7">
        <f t="shared" si="0"/>
        <v>3</v>
      </c>
      <c r="AA15" s="7">
        <f t="shared" si="1"/>
        <v>16</v>
      </c>
      <c r="AB15" s="146">
        <f t="shared" si="2"/>
        <v>213</v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35.5</v>
      </c>
      <c r="Y16" s="7">
        <f>'CALCULATOR SHEET'!J22</f>
        <v>112</v>
      </c>
      <c r="Z16" s="7">
        <f t="shared" si="0"/>
        <v>3</v>
      </c>
      <c r="AA16" s="7">
        <f t="shared" si="1"/>
        <v>16</v>
      </c>
      <c r="AB16" s="146">
        <f t="shared" si="2"/>
        <v>213</v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35.5</v>
      </c>
      <c r="Y17" s="7">
        <f>'CALCULATOR SHEET'!J23</f>
        <v>112</v>
      </c>
      <c r="Z17" s="7">
        <f t="shared" si="0"/>
        <v>3</v>
      </c>
      <c r="AA17" s="7">
        <f t="shared" si="1"/>
        <v>16</v>
      </c>
      <c r="AB17" s="146">
        <f t="shared" si="2"/>
        <v>213</v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35.5</v>
      </c>
      <c r="Y18" s="7">
        <f>'CALCULATOR SHEET'!J24</f>
        <v>112</v>
      </c>
      <c r="Z18" s="7">
        <f t="shared" si="0"/>
        <v>3</v>
      </c>
      <c r="AA18" s="7">
        <f t="shared" si="1"/>
        <v>16</v>
      </c>
      <c r="AB18" s="146">
        <f t="shared" si="2"/>
        <v>213</v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25.5</v>
      </c>
      <c r="Y19" s="7">
        <f>'CALCULATOR SHEET'!J25</f>
        <v>112</v>
      </c>
      <c r="Z19" s="7">
        <f t="shared" si="0"/>
        <v>2</v>
      </c>
      <c r="AA19" s="7">
        <f t="shared" si="1"/>
        <v>16</v>
      </c>
      <c r="AB19" s="146">
        <f t="shared" si="2"/>
        <v>205</v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25.5</v>
      </c>
      <c r="Y20" s="7">
        <f>'CALCULATOR SHEET'!J26</f>
        <v>112</v>
      </c>
      <c r="Z20" s="7">
        <f t="shared" si="0"/>
        <v>2</v>
      </c>
      <c r="AA20" s="7">
        <f t="shared" si="1"/>
        <v>16</v>
      </c>
      <c r="AB20" s="146">
        <f t="shared" si="2"/>
        <v>205</v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27.5</v>
      </c>
      <c r="Y21" s="7">
        <f>'CALCULATOR SHEET'!J27</f>
        <v>112</v>
      </c>
      <c r="Z21" s="7">
        <f t="shared" si="0"/>
        <v>2</v>
      </c>
      <c r="AA21" s="7">
        <f t="shared" si="1"/>
        <v>16</v>
      </c>
      <c r="AB21" s="146">
        <f t="shared" si="2"/>
        <v>205</v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27.5</v>
      </c>
      <c r="Y22" s="7">
        <f>'CALCULATOR SHEET'!J28</f>
        <v>112</v>
      </c>
      <c r="Z22" s="7">
        <f t="shared" si="0"/>
        <v>2</v>
      </c>
      <c r="AA22" s="7">
        <f t="shared" si="1"/>
        <v>16</v>
      </c>
      <c r="AB22" s="146">
        <f t="shared" si="2"/>
        <v>205</v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28</v>
      </c>
      <c r="Y23" s="7">
        <f>'CALCULATOR SHEET'!J29</f>
        <v>112</v>
      </c>
      <c r="Z23" s="7">
        <f t="shared" si="0"/>
        <v>2</v>
      </c>
      <c r="AA23" s="7">
        <f t="shared" si="1"/>
        <v>16</v>
      </c>
      <c r="AB23" s="146">
        <f t="shared" si="2"/>
        <v>205</v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28</v>
      </c>
      <c r="Y24" s="7">
        <f>'CALCULATOR SHEET'!J30</f>
        <v>112</v>
      </c>
      <c r="Z24" s="7">
        <f t="shared" si="0"/>
        <v>2</v>
      </c>
      <c r="AA24" s="7">
        <f t="shared" si="1"/>
        <v>16</v>
      </c>
      <c r="AB24" s="146">
        <f t="shared" si="2"/>
        <v>205</v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26</v>
      </c>
      <c r="Y25" s="7">
        <f>'CALCULATOR SHEET'!J31</f>
        <v>112</v>
      </c>
      <c r="Z25" s="7">
        <f t="shared" si="0"/>
        <v>2</v>
      </c>
      <c r="AA25" s="7">
        <f t="shared" si="1"/>
        <v>16</v>
      </c>
      <c r="AB25" s="146">
        <f t="shared" si="2"/>
        <v>205</v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26</v>
      </c>
      <c r="Y26" s="7">
        <f>'CALCULATOR SHEET'!J32</f>
        <v>112</v>
      </c>
      <c r="Z26" s="7">
        <f t="shared" si="0"/>
        <v>2</v>
      </c>
      <c r="AA26" s="7">
        <f t="shared" si="1"/>
        <v>16</v>
      </c>
      <c r="AB26" s="146">
        <f t="shared" si="2"/>
        <v>205</v>
      </c>
    </row>
    <row r="27" spans="2:28">
      <c r="U27" s="7"/>
      <c r="V27" s="7"/>
      <c r="W27" s="1">
        <f t="shared" si="3"/>
        <v>21</v>
      </c>
      <c r="X27" s="7">
        <f>'CALCULATOR SHEET'!I33</f>
        <v>52</v>
      </c>
      <c r="Y27" s="7">
        <f>'CALCULATOR SHEET'!J33</f>
        <v>112.5</v>
      </c>
      <c r="Z27" s="7">
        <f t="shared" si="0"/>
        <v>6</v>
      </c>
      <c r="AA27" s="7">
        <f t="shared" si="1"/>
        <v>16</v>
      </c>
      <c r="AB27" s="146">
        <f t="shared" si="2"/>
        <v>286</v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52.25</v>
      </c>
      <c r="Y28" s="7">
        <f>'CALCULATOR SHEET'!J34</f>
        <v>112.5</v>
      </c>
      <c r="Z28" s="7">
        <f t="shared" si="0"/>
        <v>6</v>
      </c>
      <c r="AA28" s="7">
        <f t="shared" si="1"/>
        <v>16</v>
      </c>
      <c r="AB28" s="146">
        <f t="shared" si="2"/>
        <v>286</v>
      </c>
    </row>
    <row r="29" spans="2:28">
      <c r="W29" s="1">
        <f t="shared" si="3"/>
        <v>23</v>
      </c>
      <c r="X29" s="7">
        <f>'CALCULATOR SHEET'!I35</f>
        <v>56</v>
      </c>
      <c r="Y29" s="7">
        <f>'CALCULATOR SHEET'!J35</f>
        <v>112.5</v>
      </c>
      <c r="Z29" s="7">
        <f t="shared" si="0"/>
        <v>7</v>
      </c>
      <c r="AA29" s="7">
        <f t="shared" si="1"/>
        <v>16</v>
      </c>
      <c r="AB29" s="146">
        <f t="shared" si="2"/>
        <v>437</v>
      </c>
    </row>
    <row r="30" spans="2:28">
      <c r="W30" s="1">
        <f t="shared" si="3"/>
        <v>24</v>
      </c>
      <c r="X30" s="7">
        <f>'CALCULATOR SHEET'!I36</f>
        <v>51.25</v>
      </c>
      <c r="Y30" s="7">
        <f>'CALCULATOR SHEET'!J36</f>
        <v>112.5</v>
      </c>
      <c r="Z30" s="7">
        <f t="shared" si="0"/>
        <v>6</v>
      </c>
      <c r="AA30" s="7">
        <f t="shared" si="1"/>
        <v>16</v>
      </c>
      <c r="AB30" s="146">
        <f t="shared" si="2"/>
        <v>286</v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8" t="s">
        <v>10</v>
      </c>
      <c r="J3" s="388"/>
      <c r="K3" s="388"/>
      <c r="L3" s="388"/>
      <c r="R3" s="34" t="s">
        <v>437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</v>
      </c>
      <c r="X7" s="7">
        <f>'CALCULATOR SHEET'!J13</f>
        <v>116</v>
      </c>
      <c r="Y7" s="7">
        <f>IF(W7=0,"",MATCH(CEILING(W7,6),$C$7:$Q$7,0))</f>
        <v>5</v>
      </c>
      <c r="Z7" s="7">
        <f>IF(X7=0,"",MATCH(CEILING(X7,6),$B$10:$B$26,0))</f>
        <v>17</v>
      </c>
      <c r="AA7" s="146">
        <f>IF(Y7="","",INDEX($C$10:$Q$26,Z7,Y7))</f>
        <v>330</v>
      </c>
    </row>
    <row r="8" spans="2:27">
      <c r="T8" s="387"/>
      <c r="V8" s="1">
        <f>+V7+1</f>
        <v>2</v>
      </c>
      <c r="W8" s="7">
        <f>'CALCULATOR SHEET'!I14</f>
        <v>40.5</v>
      </c>
      <c r="X8" s="7">
        <f>'CALCULATOR SHEET'!J14</f>
        <v>116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322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</v>
      </c>
      <c r="X9" s="7">
        <f>'CALCULATOR SHEET'!J15</f>
        <v>116</v>
      </c>
      <c r="Y9" s="7">
        <f t="shared" si="1"/>
        <v>5</v>
      </c>
      <c r="Z9" s="7">
        <f t="shared" si="2"/>
        <v>17</v>
      </c>
      <c r="AA9" s="146">
        <f t="shared" si="3"/>
        <v>330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36</v>
      </c>
      <c r="X10" s="7">
        <f>'CALCULATOR SHEET'!J16</f>
        <v>117.5</v>
      </c>
      <c r="Y10" s="7">
        <f t="shared" si="1"/>
        <v>3</v>
      </c>
      <c r="Z10" s="7">
        <f t="shared" si="2"/>
        <v>17</v>
      </c>
      <c r="AA10" s="146">
        <f t="shared" si="3"/>
        <v>246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32.5</v>
      </c>
      <c r="X11" s="7">
        <f>'CALCULATOR SHEET'!J17</f>
        <v>117.5</v>
      </c>
      <c r="Y11" s="7">
        <f t="shared" si="1"/>
        <v>3</v>
      </c>
      <c r="Z11" s="7">
        <f t="shared" si="2"/>
        <v>17</v>
      </c>
      <c r="AA11" s="146">
        <f t="shared" si="3"/>
        <v>246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39.5</v>
      </c>
      <c r="X12" s="7">
        <f>'CALCULATOR SHEET'!J18</f>
        <v>117.5</v>
      </c>
      <c r="Y12" s="7">
        <f t="shared" si="1"/>
        <v>4</v>
      </c>
      <c r="Z12" s="7">
        <f t="shared" si="2"/>
        <v>17</v>
      </c>
      <c r="AA12" s="146">
        <f t="shared" si="3"/>
        <v>322</v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28.5</v>
      </c>
      <c r="X13" s="7">
        <f>'CALCULATOR SHEET'!J19</f>
        <v>112.5</v>
      </c>
      <c r="Y13" s="7">
        <f t="shared" si="1"/>
        <v>2</v>
      </c>
      <c r="Z13" s="7">
        <f t="shared" si="2"/>
        <v>16</v>
      </c>
      <c r="AA13" s="146">
        <f t="shared" si="3"/>
        <v>233</v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58</v>
      </c>
      <c r="X14" s="7">
        <f>'CALCULATOR SHEET'!J20</f>
        <v>112.5</v>
      </c>
      <c r="Y14" s="7">
        <f t="shared" si="1"/>
        <v>7</v>
      </c>
      <c r="Z14" s="7">
        <f t="shared" si="2"/>
        <v>16</v>
      </c>
      <c r="AA14" s="146">
        <f t="shared" si="3"/>
        <v>520</v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35.5</v>
      </c>
      <c r="X15" s="7">
        <f>'CALCULATOR SHEET'!J21</f>
        <v>112</v>
      </c>
      <c r="Y15" s="7">
        <f t="shared" si="1"/>
        <v>3</v>
      </c>
      <c r="Z15" s="7">
        <f t="shared" si="2"/>
        <v>16</v>
      </c>
      <c r="AA15" s="146">
        <f t="shared" si="3"/>
        <v>242</v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35.5</v>
      </c>
      <c r="X16" s="7">
        <f>'CALCULATOR SHEET'!J22</f>
        <v>112</v>
      </c>
      <c r="Y16" s="7">
        <f t="shared" si="1"/>
        <v>3</v>
      </c>
      <c r="Z16" s="7">
        <f t="shared" si="2"/>
        <v>16</v>
      </c>
      <c r="AA16" s="146">
        <f t="shared" si="3"/>
        <v>242</v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35.5</v>
      </c>
      <c r="X17" s="7">
        <f>'CALCULATOR SHEET'!J23</f>
        <v>112</v>
      </c>
      <c r="Y17" s="7">
        <f t="shared" si="1"/>
        <v>3</v>
      </c>
      <c r="Z17" s="7">
        <f t="shared" si="2"/>
        <v>16</v>
      </c>
      <c r="AA17" s="146">
        <f t="shared" si="3"/>
        <v>242</v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35.5</v>
      </c>
      <c r="X18" s="7">
        <f>'CALCULATOR SHEET'!J24</f>
        <v>112</v>
      </c>
      <c r="Y18" s="7">
        <f t="shared" si="1"/>
        <v>3</v>
      </c>
      <c r="Z18" s="7">
        <f t="shared" si="2"/>
        <v>16</v>
      </c>
      <c r="AA18" s="146">
        <f t="shared" si="3"/>
        <v>242</v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25.5</v>
      </c>
      <c r="X19" s="7">
        <f>'CALCULATOR SHEET'!J25</f>
        <v>112</v>
      </c>
      <c r="Y19" s="7">
        <f t="shared" si="1"/>
        <v>2</v>
      </c>
      <c r="Z19" s="7">
        <f t="shared" si="2"/>
        <v>16</v>
      </c>
      <c r="AA19" s="146">
        <f t="shared" si="3"/>
        <v>233</v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25.5</v>
      </c>
      <c r="X20" s="7">
        <f>'CALCULATOR SHEET'!J26</f>
        <v>112</v>
      </c>
      <c r="Y20" s="7">
        <f t="shared" si="1"/>
        <v>2</v>
      </c>
      <c r="Z20" s="7">
        <f t="shared" si="2"/>
        <v>16</v>
      </c>
      <c r="AA20" s="146">
        <f t="shared" si="3"/>
        <v>233</v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27.5</v>
      </c>
      <c r="X21" s="7">
        <f>'CALCULATOR SHEET'!J27</f>
        <v>112</v>
      </c>
      <c r="Y21" s="7">
        <f t="shared" si="1"/>
        <v>2</v>
      </c>
      <c r="Z21" s="7">
        <f t="shared" si="2"/>
        <v>16</v>
      </c>
      <c r="AA21" s="146">
        <f t="shared" si="3"/>
        <v>233</v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27.5</v>
      </c>
      <c r="X22" s="7">
        <f>'CALCULATOR SHEET'!J28</f>
        <v>112</v>
      </c>
      <c r="Y22" s="7">
        <f t="shared" si="1"/>
        <v>2</v>
      </c>
      <c r="Z22" s="7">
        <f t="shared" si="2"/>
        <v>16</v>
      </c>
      <c r="AA22" s="146">
        <f t="shared" si="3"/>
        <v>233</v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28</v>
      </c>
      <c r="X23" s="7">
        <f>'CALCULATOR SHEET'!J29</f>
        <v>112</v>
      </c>
      <c r="Y23" s="7">
        <f t="shared" si="1"/>
        <v>2</v>
      </c>
      <c r="Z23" s="7">
        <f t="shared" si="2"/>
        <v>16</v>
      </c>
      <c r="AA23" s="146">
        <f t="shared" si="3"/>
        <v>233</v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28</v>
      </c>
      <c r="X24" s="7">
        <f>'CALCULATOR SHEET'!J30</f>
        <v>112</v>
      </c>
      <c r="Y24" s="7">
        <f t="shared" si="1"/>
        <v>2</v>
      </c>
      <c r="Z24" s="7">
        <f t="shared" si="2"/>
        <v>16</v>
      </c>
      <c r="AA24" s="146">
        <f t="shared" si="3"/>
        <v>233</v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26</v>
      </c>
      <c r="X25" s="7">
        <f>'CALCULATOR SHEET'!J31</f>
        <v>112</v>
      </c>
      <c r="Y25" s="7">
        <f t="shared" si="1"/>
        <v>2</v>
      </c>
      <c r="Z25" s="7">
        <f t="shared" si="2"/>
        <v>16</v>
      </c>
      <c r="AA25" s="146">
        <f t="shared" si="3"/>
        <v>233</v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26</v>
      </c>
      <c r="X26" s="7">
        <f>'CALCULATOR SHEET'!J32</f>
        <v>112</v>
      </c>
      <c r="Y26" s="7">
        <f t="shared" si="1"/>
        <v>2</v>
      </c>
      <c r="Z26" s="7">
        <f t="shared" si="2"/>
        <v>16</v>
      </c>
      <c r="AA26" s="146">
        <f t="shared" si="3"/>
        <v>233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112.5</v>
      </c>
      <c r="Y27" s="7">
        <f t="shared" si="1"/>
        <v>6</v>
      </c>
      <c r="Z27" s="7">
        <f t="shared" si="2"/>
        <v>16</v>
      </c>
      <c r="AA27" s="146">
        <f t="shared" si="3"/>
        <v>328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52.25</v>
      </c>
      <c r="X28" s="7">
        <f>'CALCULATOR SHEET'!J34</f>
        <v>112.5</v>
      </c>
      <c r="Y28" s="7">
        <f t="shared" si="1"/>
        <v>6</v>
      </c>
      <c r="Z28" s="7">
        <f t="shared" si="2"/>
        <v>16</v>
      </c>
      <c r="AA28" s="146">
        <f t="shared" si="3"/>
        <v>328</v>
      </c>
    </row>
    <row r="29" spans="2:27">
      <c r="V29" s="1">
        <f t="shared" si="4"/>
        <v>23</v>
      </c>
      <c r="W29" s="7">
        <f>'CALCULATOR SHEET'!I35</f>
        <v>56</v>
      </c>
      <c r="X29" s="7">
        <f>'CALCULATOR SHEET'!J35</f>
        <v>112.5</v>
      </c>
      <c r="Y29" s="7">
        <f t="shared" si="1"/>
        <v>7</v>
      </c>
      <c r="Z29" s="7">
        <f t="shared" si="2"/>
        <v>16</v>
      </c>
      <c r="AA29" s="146">
        <f t="shared" si="3"/>
        <v>520</v>
      </c>
    </row>
    <row r="30" spans="2:27">
      <c r="V30" s="1">
        <f t="shared" si="4"/>
        <v>24</v>
      </c>
      <c r="W30" s="7">
        <f>'CALCULATOR SHEET'!I36</f>
        <v>51.25</v>
      </c>
      <c r="X30" s="7">
        <f>'CALCULATOR SHEET'!J36</f>
        <v>112.5</v>
      </c>
      <c r="Y30" s="7">
        <f t="shared" si="1"/>
        <v>6</v>
      </c>
      <c r="Z30" s="7">
        <f t="shared" si="2"/>
        <v>16</v>
      </c>
      <c r="AA30" s="146">
        <f t="shared" si="3"/>
        <v>328</v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8" t="s">
        <v>11</v>
      </c>
      <c r="J3" s="388"/>
      <c r="K3" s="388"/>
      <c r="L3" s="388"/>
      <c r="R3" s="34" t="s">
        <v>385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</v>
      </c>
      <c r="X7" s="7">
        <f>'CALCULATOR SHEET'!J13</f>
        <v>116</v>
      </c>
      <c r="Y7" s="7">
        <f>IF(W7=0,"",MATCH(CEILING(W7,6),$C$7:$Q$7,0))</f>
        <v>5</v>
      </c>
      <c r="Z7" s="7">
        <f>IF(X7=0,"",MATCH(CEILING(X7,6),$B$10:$B$26,0))</f>
        <v>17</v>
      </c>
      <c r="AA7" s="146">
        <f>IF(Y7="","",INDEX($C$10:$Q$26,Z7,Y7))</f>
        <v>319</v>
      </c>
    </row>
    <row r="8" spans="2:27" ht="15" customHeight="1">
      <c r="T8" s="387"/>
      <c r="V8" s="1">
        <f>+V7+1</f>
        <v>2</v>
      </c>
      <c r="W8" s="7">
        <f>'CALCULATOR SHEET'!I14</f>
        <v>40.5</v>
      </c>
      <c r="X8" s="7">
        <f>'CALCULATOR SHEET'!J14</f>
        <v>116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312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</v>
      </c>
      <c r="X9" s="7">
        <f>'CALCULATOR SHEET'!J15</f>
        <v>116</v>
      </c>
      <c r="Y9" s="7">
        <f t="shared" si="1"/>
        <v>5</v>
      </c>
      <c r="Z9" s="7">
        <f t="shared" si="2"/>
        <v>17</v>
      </c>
      <c r="AA9" s="146">
        <f t="shared" si="3"/>
        <v>319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36</v>
      </c>
      <c r="X10" s="7">
        <f>'CALCULATOR SHEET'!J16</f>
        <v>117.5</v>
      </c>
      <c r="Y10" s="7">
        <f t="shared" si="1"/>
        <v>3</v>
      </c>
      <c r="Z10" s="7">
        <f t="shared" si="2"/>
        <v>17</v>
      </c>
      <c r="AA10" s="146">
        <f t="shared" si="3"/>
        <v>238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32.5</v>
      </c>
      <c r="X11" s="7">
        <f>'CALCULATOR SHEET'!J17</f>
        <v>117.5</v>
      </c>
      <c r="Y11" s="7">
        <f t="shared" si="1"/>
        <v>3</v>
      </c>
      <c r="Z11" s="7">
        <f t="shared" si="2"/>
        <v>17</v>
      </c>
      <c r="AA11" s="146">
        <f t="shared" si="3"/>
        <v>238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39.5</v>
      </c>
      <c r="X12" s="7">
        <f>'CALCULATOR SHEET'!J18</f>
        <v>117.5</v>
      </c>
      <c r="Y12" s="7">
        <f t="shared" si="1"/>
        <v>4</v>
      </c>
      <c r="Z12" s="7">
        <f t="shared" si="2"/>
        <v>17</v>
      </c>
      <c r="AA12" s="146">
        <f t="shared" si="3"/>
        <v>312</v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28.5</v>
      </c>
      <c r="X13" s="7">
        <f>'CALCULATOR SHEET'!J19</f>
        <v>112.5</v>
      </c>
      <c r="Y13" s="7">
        <f t="shared" si="1"/>
        <v>2</v>
      </c>
      <c r="Z13" s="7">
        <f t="shared" si="2"/>
        <v>16</v>
      </c>
      <c r="AA13" s="146">
        <f t="shared" si="3"/>
        <v>225</v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58</v>
      </c>
      <c r="X14" s="7">
        <f>'CALCULATOR SHEET'!J20</f>
        <v>112.5</v>
      </c>
      <c r="Y14" s="7">
        <f t="shared" si="1"/>
        <v>7</v>
      </c>
      <c r="Z14" s="7">
        <f t="shared" si="2"/>
        <v>16</v>
      </c>
      <c r="AA14" s="146">
        <f t="shared" si="3"/>
        <v>506</v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35.5</v>
      </c>
      <c r="X15" s="7">
        <f>'CALCULATOR SHEET'!J21</f>
        <v>112</v>
      </c>
      <c r="Y15" s="7">
        <f t="shared" si="1"/>
        <v>3</v>
      </c>
      <c r="Z15" s="7">
        <f t="shared" si="2"/>
        <v>16</v>
      </c>
      <c r="AA15" s="146">
        <f t="shared" si="3"/>
        <v>233</v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35.5</v>
      </c>
      <c r="X16" s="7">
        <f>'CALCULATOR SHEET'!J22</f>
        <v>112</v>
      </c>
      <c r="Y16" s="7">
        <f t="shared" si="1"/>
        <v>3</v>
      </c>
      <c r="Z16" s="7">
        <f t="shared" si="2"/>
        <v>16</v>
      </c>
      <c r="AA16" s="146">
        <f t="shared" si="3"/>
        <v>233</v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35.5</v>
      </c>
      <c r="X17" s="7">
        <f>'CALCULATOR SHEET'!J23</f>
        <v>112</v>
      </c>
      <c r="Y17" s="7">
        <f t="shared" si="1"/>
        <v>3</v>
      </c>
      <c r="Z17" s="7">
        <f t="shared" si="2"/>
        <v>16</v>
      </c>
      <c r="AA17" s="146">
        <f t="shared" si="3"/>
        <v>233</v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35.5</v>
      </c>
      <c r="X18" s="7">
        <f>'CALCULATOR SHEET'!J24</f>
        <v>112</v>
      </c>
      <c r="Y18" s="7">
        <f t="shared" si="1"/>
        <v>3</v>
      </c>
      <c r="Z18" s="7">
        <f t="shared" si="2"/>
        <v>16</v>
      </c>
      <c r="AA18" s="146">
        <f t="shared" si="3"/>
        <v>233</v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25.5</v>
      </c>
      <c r="X19" s="7">
        <f>'CALCULATOR SHEET'!J25</f>
        <v>112</v>
      </c>
      <c r="Y19" s="7">
        <f t="shared" si="1"/>
        <v>2</v>
      </c>
      <c r="Z19" s="7">
        <f t="shared" si="2"/>
        <v>16</v>
      </c>
      <c r="AA19" s="146">
        <f t="shared" si="3"/>
        <v>225</v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25.5</v>
      </c>
      <c r="X20" s="7">
        <f>'CALCULATOR SHEET'!J26</f>
        <v>112</v>
      </c>
      <c r="Y20" s="7">
        <f t="shared" si="1"/>
        <v>2</v>
      </c>
      <c r="Z20" s="7">
        <f t="shared" si="2"/>
        <v>16</v>
      </c>
      <c r="AA20" s="146">
        <f t="shared" si="3"/>
        <v>225</v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27.5</v>
      </c>
      <c r="X21" s="7">
        <f>'CALCULATOR SHEET'!J27</f>
        <v>112</v>
      </c>
      <c r="Y21" s="7">
        <f t="shared" si="1"/>
        <v>2</v>
      </c>
      <c r="Z21" s="7">
        <f t="shared" si="2"/>
        <v>16</v>
      </c>
      <c r="AA21" s="146">
        <f t="shared" si="3"/>
        <v>225</v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27.5</v>
      </c>
      <c r="X22" s="7">
        <f>'CALCULATOR SHEET'!J28</f>
        <v>112</v>
      </c>
      <c r="Y22" s="7">
        <f t="shared" si="1"/>
        <v>2</v>
      </c>
      <c r="Z22" s="7">
        <f t="shared" si="2"/>
        <v>16</v>
      </c>
      <c r="AA22" s="146">
        <f t="shared" si="3"/>
        <v>225</v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28</v>
      </c>
      <c r="X23" s="7">
        <f>'CALCULATOR SHEET'!J29</f>
        <v>112</v>
      </c>
      <c r="Y23" s="7">
        <f t="shared" si="1"/>
        <v>2</v>
      </c>
      <c r="Z23" s="7">
        <f t="shared" si="2"/>
        <v>16</v>
      </c>
      <c r="AA23" s="146">
        <f t="shared" si="3"/>
        <v>225</v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28</v>
      </c>
      <c r="X24" s="7">
        <f>'CALCULATOR SHEET'!J30</f>
        <v>112</v>
      </c>
      <c r="Y24" s="7">
        <f t="shared" si="1"/>
        <v>2</v>
      </c>
      <c r="Z24" s="7">
        <f t="shared" si="2"/>
        <v>16</v>
      </c>
      <c r="AA24" s="146">
        <f t="shared" si="3"/>
        <v>225</v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26</v>
      </c>
      <c r="X25" s="7">
        <f>'CALCULATOR SHEET'!J31</f>
        <v>112</v>
      </c>
      <c r="Y25" s="7">
        <f t="shared" si="1"/>
        <v>2</v>
      </c>
      <c r="Z25" s="7">
        <f t="shared" si="2"/>
        <v>16</v>
      </c>
      <c r="AA25" s="146">
        <f t="shared" si="3"/>
        <v>225</v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26</v>
      </c>
      <c r="X26" s="7">
        <f>'CALCULATOR SHEET'!J32</f>
        <v>112</v>
      </c>
      <c r="Y26" s="7">
        <f t="shared" si="1"/>
        <v>2</v>
      </c>
      <c r="Z26" s="7">
        <f t="shared" si="2"/>
        <v>16</v>
      </c>
      <c r="AA26" s="146">
        <f t="shared" si="3"/>
        <v>225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112.5</v>
      </c>
      <c r="Y27" s="7">
        <f t="shared" si="1"/>
        <v>6</v>
      </c>
      <c r="Z27" s="7">
        <f t="shared" si="2"/>
        <v>16</v>
      </c>
      <c r="AA27" s="146">
        <f t="shared" si="3"/>
        <v>317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52.25</v>
      </c>
      <c r="X28" s="7">
        <f>'CALCULATOR SHEET'!J34</f>
        <v>112.5</v>
      </c>
      <c r="Y28" s="7">
        <f t="shared" si="1"/>
        <v>6</v>
      </c>
      <c r="Z28" s="7">
        <f t="shared" si="2"/>
        <v>16</v>
      </c>
      <c r="AA28" s="146">
        <f t="shared" si="3"/>
        <v>317</v>
      </c>
    </row>
    <row r="29" spans="2:27">
      <c r="V29" s="1">
        <f t="shared" si="4"/>
        <v>23</v>
      </c>
      <c r="W29" s="7">
        <f>'CALCULATOR SHEET'!I35</f>
        <v>56</v>
      </c>
      <c r="X29" s="7">
        <f>'CALCULATOR SHEET'!J35</f>
        <v>112.5</v>
      </c>
      <c r="Y29" s="7">
        <f t="shared" si="1"/>
        <v>7</v>
      </c>
      <c r="Z29" s="7">
        <f t="shared" si="2"/>
        <v>16</v>
      </c>
      <c r="AA29" s="146">
        <f t="shared" si="3"/>
        <v>506</v>
      </c>
    </row>
    <row r="30" spans="2:27">
      <c r="V30" s="1">
        <f t="shared" si="4"/>
        <v>24</v>
      </c>
      <c r="W30" s="7">
        <f>'CALCULATOR SHEET'!I36</f>
        <v>51.25</v>
      </c>
      <c r="X30" s="7">
        <f>'CALCULATOR SHEET'!J36</f>
        <v>112.5</v>
      </c>
      <c r="Y30" s="7">
        <f t="shared" si="1"/>
        <v>6</v>
      </c>
      <c r="Z30" s="7">
        <f t="shared" si="2"/>
        <v>16</v>
      </c>
      <c r="AA30" s="146">
        <f t="shared" si="3"/>
        <v>317</v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8" t="s">
        <v>12</v>
      </c>
      <c r="J3" s="388"/>
      <c r="K3" s="388"/>
      <c r="L3" s="388"/>
      <c r="R3" s="34" t="s">
        <v>437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</v>
      </c>
      <c r="X7" s="7">
        <f>'CALCULATOR SHEET'!J13</f>
        <v>116</v>
      </c>
      <c r="Y7" s="7">
        <f>IF(W7=0,"",MATCH(CEILING(W7,6),$C$7:$Q$7,0))</f>
        <v>5</v>
      </c>
      <c r="Z7" s="7">
        <f>IF(X7=0,"",MATCH(CEILING(X7,6),$B$10:$B$26,0))</f>
        <v>17</v>
      </c>
      <c r="AA7" s="146">
        <f>IF(Y7="","",INDEX($C$10:$Q$26,Z7,Y7))</f>
        <v>424</v>
      </c>
    </row>
    <row r="8" spans="2:27" ht="15" customHeight="1">
      <c r="T8" s="387"/>
      <c r="V8" s="1">
        <f>+V7+1</f>
        <v>2</v>
      </c>
      <c r="W8" s="7">
        <f>'CALCULATOR SHEET'!I14</f>
        <v>40.5</v>
      </c>
      <c r="X8" s="7">
        <f>'CALCULATOR SHEET'!J14</f>
        <v>116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417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</v>
      </c>
      <c r="X9" s="7">
        <f>'CALCULATOR SHEET'!J15</f>
        <v>116</v>
      </c>
      <c r="Y9" s="7">
        <f t="shared" si="1"/>
        <v>5</v>
      </c>
      <c r="Z9" s="7">
        <f t="shared" si="2"/>
        <v>17</v>
      </c>
      <c r="AA9" s="146">
        <f t="shared" si="3"/>
        <v>424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36</v>
      </c>
      <c r="X10" s="7">
        <f>'CALCULATOR SHEET'!J16</f>
        <v>117.5</v>
      </c>
      <c r="Y10" s="7">
        <f t="shared" si="1"/>
        <v>3</v>
      </c>
      <c r="Z10" s="7">
        <f t="shared" si="2"/>
        <v>17</v>
      </c>
      <c r="AA10" s="146">
        <f t="shared" si="3"/>
        <v>310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32.5</v>
      </c>
      <c r="X11" s="7">
        <f>'CALCULATOR SHEET'!J17</f>
        <v>117.5</v>
      </c>
      <c r="Y11" s="7">
        <f t="shared" si="1"/>
        <v>3</v>
      </c>
      <c r="Z11" s="7">
        <f t="shared" si="2"/>
        <v>17</v>
      </c>
      <c r="AA11" s="146">
        <f t="shared" si="3"/>
        <v>310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39.5</v>
      </c>
      <c r="X12" s="7">
        <f>'CALCULATOR SHEET'!J18</f>
        <v>117.5</v>
      </c>
      <c r="Y12" s="7">
        <f t="shared" si="1"/>
        <v>4</v>
      </c>
      <c r="Z12" s="7">
        <f t="shared" si="2"/>
        <v>17</v>
      </c>
      <c r="AA12" s="146">
        <f t="shared" si="3"/>
        <v>417</v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28.5</v>
      </c>
      <c r="X13" s="7">
        <f>'CALCULATOR SHEET'!J19</f>
        <v>112.5</v>
      </c>
      <c r="Y13" s="7">
        <f t="shared" si="1"/>
        <v>2</v>
      </c>
      <c r="Z13" s="7">
        <f t="shared" si="2"/>
        <v>16</v>
      </c>
      <c r="AA13" s="146">
        <f t="shared" si="3"/>
        <v>293</v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58</v>
      </c>
      <c r="X14" s="7">
        <f>'CALCULATOR SHEET'!J20</f>
        <v>112.5</v>
      </c>
      <c r="Y14" s="7">
        <f t="shared" si="1"/>
        <v>7</v>
      </c>
      <c r="Z14" s="7">
        <f t="shared" si="2"/>
        <v>16</v>
      </c>
      <c r="AA14" s="146">
        <f t="shared" si="3"/>
        <v>699</v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35.5</v>
      </c>
      <c r="X15" s="7">
        <f>'CALCULATOR SHEET'!J21</f>
        <v>112</v>
      </c>
      <c r="Y15" s="7">
        <f t="shared" si="1"/>
        <v>3</v>
      </c>
      <c r="Z15" s="7">
        <f t="shared" si="2"/>
        <v>16</v>
      </c>
      <c r="AA15" s="146">
        <f t="shared" si="3"/>
        <v>302</v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35.5</v>
      </c>
      <c r="X16" s="7">
        <f>'CALCULATOR SHEET'!J22</f>
        <v>112</v>
      </c>
      <c r="Y16" s="7">
        <f t="shared" si="1"/>
        <v>3</v>
      </c>
      <c r="Z16" s="7">
        <f t="shared" si="2"/>
        <v>16</v>
      </c>
      <c r="AA16" s="146">
        <f t="shared" si="3"/>
        <v>302</v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35.5</v>
      </c>
      <c r="X17" s="7">
        <f>'CALCULATOR SHEET'!J23</f>
        <v>112</v>
      </c>
      <c r="Y17" s="7">
        <f t="shared" si="1"/>
        <v>3</v>
      </c>
      <c r="Z17" s="7">
        <f t="shared" si="2"/>
        <v>16</v>
      </c>
      <c r="AA17" s="146">
        <f t="shared" si="3"/>
        <v>302</v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35.5</v>
      </c>
      <c r="X18" s="7">
        <f>'CALCULATOR SHEET'!J24</f>
        <v>112</v>
      </c>
      <c r="Y18" s="7">
        <f t="shared" si="1"/>
        <v>3</v>
      </c>
      <c r="Z18" s="7">
        <f t="shared" si="2"/>
        <v>16</v>
      </c>
      <c r="AA18" s="146">
        <f t="shared" si="3"/>
        <v>302</v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25.5</v>
      </c>
      <c r="X19" s="7">
        <f>'CALCULATOR SHEET'!J25</f>
        <v>112</v>
      </c>
      <c r="Y19" s="7">
        <f t="shared" si="1"/>
        <v>2</v>
      </c>
      <c r="Z19" s="7">
        <f t="shared" si="2"/>
        <v>16</v>
      </c>
      <c r="AA19" s="146">
        <f t="shared" si="3"/>
        <v>293</v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25.5</v>
      </c>
      <c r="X20" s="7">
        <f>'CALCULATOR SHEET'!J26</f>
        <v>112</v>
      </c>
      <c r="Y20" s="7">
        <f t="shared" si="1"/>
        <v>2</v>
      </c>
      <c r="Z20" s="7">
        <f t="shared" si="2"/>
        <v>16</v>
      </c>
      <c r="AA20" s="146">
        <f t="shared" si="3"/>
        <v>293</v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27.5</v>
      </c>
      <c r="X21" s="7">
        <f>'CALCULATOR SHEET'!J27</f>
        <v>112</v>
      </c>
      <c r="Y21" s="7">
        <f t="shared" si="1"/>
        <v>2</v>
      </c>
      <c r="Z21" s="7">
        <f t="shared" si="2"/>
        <v>16</v>
      </c>
      <c r="AA21" s="146">
        <f t="shared" si="3"/>
        <v>293</v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27.5</v>
      </c>
      <c r="X22" s="7">
        <f>'CALCULATOR SHEET'!J28</f>
        <v>112</v>
      </c>
      <c r="Y22" s="7">
        <f t="shared" si="1"/>
        <v>2</v>
      </c>
      <c r="Z22" s="7">
        <f t="shared" si="2"/>
        <v>16</v>
      </c>
      <c r="AA22" s="146">
        <f t="shared" si="3"/>
        <v>293</v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28</v>
      </c>
      <c r="X23" s="7">
        <f>'CALCULATOR SHEET'!J29</f>
        <v>112</v>
      </c>
      <c r="Y23" s="7">
        <f t="shared" si="1"/>
        <v>2</v>
      </c>
      <c r="Z23" s="7">
        <f t="shared" si="2"/>
        <v>16</v>
      </c>
      <c r="AA23" s="146">
        <f t="shared" si="3"/>
        <v>293</v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28</v>
      </c>
      <c r="X24" s="7">
        <f>'CALCULATOR SHEET'!J30</f>
        <v>112</v>
      </c>
      <c r="Y24" s="7">
        <f t="shared" si="1"/>
        <v>2</v>
      </c>
      <c r="Z24" s="7">
        <f t="shared" si="2"/>
        <v>16</v>
      </c>
      <c r="AA24" s="146">
        <f t="shared" si="3"/>
        <v>293</v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26</v>
      </c>
      <c r="X25" s="7">
        <f>'CALCULATOR SHEET'!J31</f>
        <v>112</v>
      </c>
      <c r="Y25" s="7">
        <f t="shared" si="1"/>
        <v>2</v>
      </c>
      <c r="Z25" s="7">
        <f t="shared" si="2"/>
        <v>16</v>
      </c>
      <c r="AA25" s="146">
        <f t="shared" si="3"/>
        <v>293</v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26</v>
      </c>
      <c r="X26" s="7">
        <f>'CALCULATOR SHEET'!J32</f>
        <v>112</v>
      </c>
      <c r="Y26" s="7">
        <f t="shared" si="1"/>
        <v>2</v>
      </c>
      <c r="Z26" s="7">
        <f t="shared" si="2"/>
        <v>16</v>
      </c>
      <c r="AA26" s="146">
        <f t="shared" si="3"/>
        <v>293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112.5</v>
      </c>
      <c r="Y27" s="7">
        <f t="shared" si="1"/>
        <v>6</v>
      </c>
      <c r="Z27" s="7">
        <f t="shared" si="2"/>
        <v>16</v>
      </c>
      <c r="AA27" s="146">
        <f t="shared" si="3"/>
        <v>418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52.25</v>
      </c>
      <c r="X28" s="7">
        <f>'CALCULATOR SHEET'!J34</f>
        <v>112.5</v>
      </c>
      <c r="Y28" s="7">
        <f t="shared" si="1"/>
        <v>6</v>
      </c>
      <c r="Z28" s="7">
        <f t="shared" si="2"/>
        <v>16</v>
      </c>
      <c r="AA28" s="146">
        <f t="shared" si="3"/>
        <v>418</v>
      </c>
    </row>
    <row r="29" spans="2:27">
      <c r="V29" s="1">
        <f t="shared" si="4"/>
        <v>23</v>
      </c>
      <c r="W29" s="7">
        <f>'CALCULATOR SHEET'!I35</f>
        <v>56</v>
      </c>
      <c r="X29" s="7">
        <f>'CALCULATOR SHEET'!J35</f>
        <v>112.5</v>
      </c>
      <c r="Y29" s="7">
        <f t="shared" si="1"/>
        <v>7</v>
      </c>
      <c r="Z29" s="7">
        <f t="shared" si="2"/>
        <v>16</v>
      </c>
      <c r="AA29" s="146">
        <f t="shared" si="3"/>
        <v>699</v>
      </c>
    </row>
    <row r="30" spans="2:27">
      <c r="V30" s="1">
        <f t="shared" si="4"/>
        <v>24</v>
      </c>
      <c r="W30" s="7">
        <f>'CALCULATOR SHEET'!I36</f>
        <v>51.25</v>
      </c>
      <c r="X30" s="7">
        <f>'CALCULATOR SHEET'!J36</f>
        <v>112.5</v>
      </c>
      <c r="Y30" s="7">
        <f t="shared" si="1"/>
        <v>6</v>
      </c>
      <c r="Z30" s="7">
        <f t="shared" si="2"/>
        <v>16</v>
      </c>
      <c r="AA30" s="146">
        <f t="shared" si="3"/>
        <v>418</v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8" t="s">
        <v>13</v>
      </c>
      <c r="J3" s="388"/>
      <c r="K3" s="388"/>
      <c r="L3" s="388"/>
      <c r="R3" s="34" t="s">
        <v>437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</v>
      </c>
      <c r="X7" s="7">
        <f>'CALCULATOR SHEET'!J13</f>
        <v>116</v>
      </c>
      <c r="Y7" s="7">
        <f>IF(W7=0,"",MATCH(CEILING(W7,6),$C$7:$Q$7,0))</f>
        <v>5</v>
      </c>
      <c r="Z7" s="7">
        <f>IF(X7=0,"",MATCH(CEILING(X7,6),$B$10:$B$26,0))</f>
        <v>17</v>
      </c>
      <c r="AA7" s="146">
        <f>IF(Y7="","",INDEX($C$10:$Q$26,Z7,Y7))</f>
        <v>446</v>
      </c>
    </row>
    <row r="8" spans="2:27" ht="15" customHeight="1">
      <c r="T8" s="387"/>
      <c r="V8" s="1">
        <f>+V7+1</f>
        <v>2</v>
      </c>
      <c r="W8" s="7">
        <f>'CALCULATOR SHEET'!I14</f>
        <v>40.5</v>
      </c>
      <c r="X8" s="7">
        <f>'CALCULATOR SHEET'!J14</f>
        <v>116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439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</v>
      </c>
      <c r="X9" s="7">
        <f>'CALCULATOR SHEET'!J15</f>
        <v>116</v>
      </c>
      <c r="Y9" s="7">
        <f t="shared" si="1"/>
        <v>5</v>
      </c>
      <c r="Z9" s="7">
        <f t="shared" si="2"/>
        <v>17</v>
      </c>
      <c r="AA9" s="146">
        <f t="shared" si="3"/>
        <v>446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36</v>
      </c>
      <c r="X10" s="7">
        <f>'CALCULATOR SHEET'!J16</f>
        <v>117.5</v>
      </c>
      <c r="Y10" s="7">
        <f t="shared" si="1"/>
        <v>3</v>
      </c>
      <c r="Z10" s="7">
        <f t="shared" si="2"/>
        <v>17</v>
      </c>
      <c r="AA10" s="146">
        <f t="shared" si="3"/>
        <v>324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32.5</v>
      </c>
      <c r="X11" s="7">
        <f>'CALCULATOR SHEET'!J17</f>
        <v>117.5</v>
      </c>
      <c r="Y11" s="7">
        <f t="shared" si="1"/>
        <v>3</v>
      </c>
      <c r="Z11" s="7">
        <f t="shared" si="2"/>
        <v>17</v>
      </c>
      <c r="AA11" s="146">
        <f t="shared" si="3"/>
        <v>324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39.5</v>
      </c>
      <c r="X12" s="7">
        <f>'CALCULATOR SHEET'!J18</f>
        <v>117.5</v>
      </c>
      <c r="Y12" s="7">
        <f t="shared" si="1"/>
        <v>4</v>
      </c>
      <c r="Z12" s="7">
        <f t="shared" si="2"/>
        <v>17</v>
      </c>
      <c r="AA12" s="146">
        <f t="shared" si="3"/>
        <v>439</v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28.5</v>
      </c>
      <c r="X13" s="7">
        <f>'CALCULATOR SHEET'!J19</f>
        <v>112.5</v>
      </c>
      <c r="Y13" s="7">
        <f t="shared" si="1"/>
        <v>2</v>
      </c>
      <c r="Z13" s="7">
        <f t="shared" si="2"/>
        <v>16</v>
      </c>
      <c r="AA13" s="146">
        <f t="shared" si="3"/>
        <v>309</v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58</v>
      </c>
      <c r="X14" s="7">
        <f>'CALCULATOR SHEET'!J20</f>
        <v>112.5</v>
      </c>
      <c r="Y14" s="7">
        <f t="shared" si="1"/>
        <v>7</v>
      </c>
      <c r="Z14" s="7">
        <f t="shared" si="2"/>
        <v>16</v>
      </c>
      <c r="AA14" s="146">
        <f t="shared" si="3"/>
        <v>742</v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35.5</v>
      </c>
      <c r="X15" s="7">
        <f>'CALCULATOR SHEET'!J21</f>
        <v>112</v>
      </c>
      <c r="Y15" s="7">
        <f t="shared" si="1"/>
        <v>3</v>
      </c>
      <c r="Z15" s="7">
        <f t="shared" si="2"/>
        <v>16</v>
      </c>
      <c r="AA15" s="146">
        <f t="shared" si="3"/>
        <v>316</v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35.5</v>
      </c>
      <c r="X16" s="7">
        <f>'CALCULATOR SHEET'!J22</f>
        <v>112</v>
      </c>
      <c r="Y16" s="7">
        <f t="shared" si="1"/>
        <v>3</v>
      </c>
      <c r="Z16" s="7">
        <f t="shared" si="2"/>
        <v>16</v>
      </c>
      <c r="AA16" s="146">
        <f t="shared" si="3"/>
        <v>316</v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35.5</v>
      </c>
      <c r="X17" s="7">
        <f>'CALCULATOR SHEET'!J23</f>
        <v>112</v>
      </c>
      <c r="Y17" s="7">
        <f t="shared" si="1"/>
        <v>3</v>
      </c>
      <c r="Z17" s="7">
        <f t="shared" si="2"/>
        <v>16</v>
      </c>
      <c r="AA17" s="146">
        <f t="shared" si="3"/>
        <v>316</v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35.5</v>
      </c>
      <c r="X18" s="7">
        <f>'CALCULATOR SHEET'!J24</f>
        <v>112</v>
      </c>
      <c r="Y18" s="7">
        <f t="shared" si="1"/>
        <v>3</v>
      </c>
      <c r="Z18" s="7">
        <f t="shared" si="2"/>
        <v>16</v>
      </c>
      <c r="AA18" s="146">
        <f t="shared" si="3"/>
        <v>316</v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25.5</v>
      </c>
      <c r="X19" s="7">
        <f>'CALCULATOR SHEET'!J25</f>
        <v>112</v>
      </c>
      <c r="Y19" s="7">
        <f t="shared" si="1"/>
        <v>2</v>
      </c>
      <c r="Z19" s="7">
        <f t="shared" si="2"/>
        <v>16</v>
      </c>
      <c r="AA19" s="146">
        <f t="shared" si="3"/>
        <v>309</v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25.5</v>
      </c>
      <c r="X20" s="7">
        <f>'CALCULATOR SHEET'!J26</f>
        <v>112</v>
      </c>
      <c r="Y20" s="7">
        <f t="shared" si="1"/>
        <v>2</v>
      </c>
      <c r="Z20" s="7">
        <f t="shared" si="2"/>
        <v>16</v>
      </c>
      <c r="AA20" s="146">
        <f t="shared" si="3"/>
        <v>309</v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27.5</v>
      </c>
      <c r="X21" s="7">
        <f>'CALCULATOR SHEET'!J27</f>
        <v>112</v>
      </c>
      <c r="Y21" s="7">
        <f t="shared" si="1"/>
        <v>2</v>
      </c>
      <c r="Z21" s="7">
        <f t="shared" si="2"/>
        <v>16</v>
      </c>
      <c r="AA21" s="146">
        <f t="shared" si="3"/>
        <v>309</v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27.5</v>
      </c>
      <c r="X22" s="7">
        <f>'CALCULATOR SHEET'!J28</f>
        <v>112</v>
      </c>
      <c r="Y22" s="7">
        <f t="shared" si="1"/>
        <v>2</v>
      </c>
      <c r="Z22" s="7">
        <f t="shared" si="2"/>
        <v>16</v>
      </c>
      <c r="AA22" s="146">
        <f t="shared" si="3"/>
        <v>309</v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28</v>
      </c>
      <c r="X23" s="7">
        <f>'CALCULATOR SHEET'!J29</f>
        <v>112</v>
      </c>
      <c r="Y23" s="7">
        <f t="shared" si="1"/>
        <v>2</v>
      </c>
      <c r="Z23" s="7">
        <f t="shared" si="2"/>
        <v>16</v>
      </c>
      <c r="AA23" s="146">
        <f t="shared" si="3"/>
        <v>309</v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28</v>
      </c>
      <c r="X24" s="7">
        <f>'CALCULATOR SHEET'!J30</f>
        <v>112</v>
      </c>
      <c r="Y24" s="7">
        <f t="shared" si="1"/>
        <v>2</v>
      </c>
      <c r="Z24" s="7">
        <f t="shared" si="2"/>
        <v>16</v>
      </c>
      <c r="AA24" s="146">
        <f t="shared" si="3"/>
        <v>309</v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26</v>
      </c>
      <c r="X25" s="7">
        <f>'CALCULATOR SHEET'!J31</f>
        <v>112</v>
      </c>
      <c r="Y25" s="7">
        <f t="shared" si="1"/>
        <v>2</v>
      </c>
      <c r="Z25" s="7">
        <f t="shared" si="2"/>
        <v>16</v>
      </c>
      <c r="AA25" s="146">
        <f t="shared" si="3"/>
        <v>309</v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26</v>
      </c>
      <c r="X26" s="7">
        <f>'CALCULATOR SHEET'!J32</f>
        <v>112</v>
      </c>
      <c r="Y26" s="7">
        <f t="shared" si="1"/>
        <v>2</v>
      </c>
      <c r="Z26" s="7">
        <f t="shared" si="2"/>
        <v>16</v>
      </c>
      <c r="AA26" s="146">
        <f t="shared" si="3"/>
        <v>309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112.5</v>
      </c>
      <c r="Y27" s="7">
        <f t="shared" si="1"/>
        <v>6</v>
      </c>
      <c r="Z27" s="7">
        <f t="shared" si="2"/>
        <v>16</v>
      </c>
      <c r="AA27" s="146">
        <f t="shared" si="3"/>
        <v>439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52.25</v>
      </c>
      <c r="X28" s="7">
        <f>'CALCULATOR SHEET'!J34</f>
        <v>112.5</v>
      </c>
      <c r="Y28" s="7">
        <f t="shared" si="1"/>
        <v>6</v>
      </c>
      <c r="Z28" s="7">
        <f t="shared" si="2"/>
        <v>16</v>
      </c>
      <c r="AA28" s="146">
        <f t="shared" si="3"/>
        <v>439</v>
      </c>
    </row>
    <row r="29" spans="2:27">
      <c r="V29" s="1">
        <f t="shared" si="4"/>
        <v>23</v>
      </c>
      <c r="W29" s="7">
        <f>'CALCULATOR SHEET'!I35</f>
        <v>56</v>
      </c>
      <c r="X29" s="7">
        <f>'CALCULATOR SHEET'!J35</f>
        <v>112.5</v>
      </c>
      <c r="Y29" s="7">
        <f t="shared" si="1"/>
        <v>7</v>
      </c>
      <c r="Z29" s="7">
        <f t="shared" si="2"/>
        <v>16</v>
      </c>
      <c r="AA29" s="146">
        <f t="shared" si="3"/>
        <v>742</v>
      </c>
    </row>
    <row r="30" spans="2:27">
      <c r="V30" s="1">
        <f t="shared" si="4"/>
        <v>24</v>
      </c>
      <c r="W30" s="7">
        <f>'CALCULATOR SHEET'!I36</f>
        <v>51.25</v>
      </c>
      <c r="X30" s="7">
        <f>'CALCULATOR SHEET'!J36</f>
        <v>112.5</v>
      </c>
      <c r="Y30" s="7">
        <f t="shared" si="1"/>
        <v>6</v>
      </c>
      <c r="Z30" s="7">
        <f t="shared" si="2"/>
        <v>16</v>
      </c>
      <c r="AA30" s="146">
        <f t="shared" si="3"/>
        <v>439</v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8" t="s">
        <v>295</v>
      </c>
      <c r="J3" s="388"/>
      <c r="K3" s="388"/>
      <c r="L3" s="388"/>
      <c r="R3" s="34" t="s">
        <v>437</v>
      </c>
    </row>
    <row r="4" spans="2:27" ht="25.5">
      <c r="D4" s="130"/>
      <c r="E4" s="131"/>
      <c r="I4" s="388"/>
      <c r="J4" s="388"/>
      <c r="K4" s="388"/>
      <c r="L4" s="388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7" t="s">
        <v>72</v>
      </c>
      <c r="V7" s="1">
        <v>1</v>
      </c>
      <c r="W7" s="7">
        <f>'CALCULATOR SHEET'!I13</f>
        <v>47</v>
      </c>
      <c r="X7" s="7">
        <f>'CALCULATOR SHEET'!J13</f>
        <v>116</v>
      </c>
      <c r="Y7" s="7">
        <f>IF(W7=0,"",MATCH(CEILING(W7,6),$C$7:$Q$7,0))</f>
        <v>5</v>
      </c>
      <c r="Z7" s="7">
        <f>IF(X7=0,"",MATCH(CEILING(X7,6),$B$10:$B$26,0))</f>
        <v>17</v>
      </c>
      <c r="AA7" s="146">
        <f>IF(Y7="","",INDEX($C$10:$Q$26,Z7,Y7))</f>
        <v>441</v>
      </c>
    </row>
    <row r="8" spans="2:27" ht="15" customHeight="1">
      <c r="T8" s="387"/>
      <c r="V8" s="1">
        <f>+V7+1</f>
        <v>2</v>
      </c>
      <c r="W8" s="7">
        <f>'CALCULATOR SHEET'!I14</f>
        <v>40.5</v>
      </c>
      <c r="X8" s="7">
        <f>'CALCULATOR SHEET'!J14</f>
        <v>116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434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47</v>
      </c>
      <c r="X9" s="7">
        <f>'CALCULATOR SHEET'!J15</f>
        <v>116</v>
      </c>
      <c r="Y9" s="7">
        <f t="shared" si="1"/>
        <v>5</v>
      </c>
      <c r="Z9" s="7">
        <f t="shared" si="2"/>
        <v>17</v>
      </c>
      <c r="AA9" s="146">
        <f t="shared" si="3"/>
        <v>441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36</v>
      </c>
      <c r="X10" s="7">
        <f>'CALCULATOR SHEET'!J16</f>
        <v>117.5</v>
      </c>
      <c r="Y10" s="7">
        <f t="shared" si="1"/>
        <v>3</v>
      </c>
      <c r="Z10" s="7">
        <f t="shared" si="2"/>
        <v>17</v>
      </c>
      <c r="AA10" s="146">
        <f t="shared" si="3"/>
        <v>316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32.5</v>
      </c>
      <c r="X11" s="7">
        <f>'CALCULATOR SHEET'!J17</f>
        <v>117.5</v>
      </c>
      <c r="Y11" s="7">
        <f t="shared" si="1"/>
        <v>3</v>
      </c>
      <c r="Z11" s="7">
        <f t="shared" si="2"/>
        <v>17</v>
      </c>
      <c r="AA11" s="146">
        <f t="shared" si="3"/>
        <v>316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39.5</v>
      </c>
      <c r="X12" s="7">
        <f>'CALCULATOR SHEET'!J18</f>
        <v>117.5</v>
      </c>
      <c r="Y12" s="7">
        <f t="shared" si="1"/>
        <v>4</v>
      </c>
      <c r="Z12" s="7">
        <f t="shared" si="2"/>
        <v>17</v>
      </c>
      <c r="AA12" s="146">
        <f t="shared" si="3"/>
        <v>434</v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28.5</v>
      </c>
      <c r="X13" s="7">
        <f>'CALCULATOR SHEET'!J19</f>
        <v>112.5</v>
      </c>
      <c r="Y13" s="7">
        <f t="shared" si="1"/>
        <v>2</v>
      </c>
      <c r="Z13" s="7">
        <f t="shared" si="2"/>
        <v>16</v>
      </c>
      <c r="AA13" s="146">
        <f t="shared" si="3"/>
        <v>301</v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58</v>
      </c>
      <c r="X14" s="7">
        <f>'CALCULATOR SHEET'!J20</f>
        <v>112.5</v>
      </c>
      <c r="Y14" s="7">
        <f t="shared" si="1"/>
        <v>7</v>
      </c>
      <c r="Z14" s="7">
        <f t="shared" si="2"/>
        <v>16</v>
      </c>
      <c r="AA14" s="146">
        <f t="shared" si="3"/>
        <v>747</v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35.5</v>
      </c>
      <c r="X15" s="7">
        <f>'CALCULATOR SHEET'!J21</f>
        <v>112</v>
      </c>
      <c r="Y15" s="7">
        <f t="shared" si="1"/>
        <v>3</v>
      </c>
      <c r="Z15" s="7">
        <f t="shared" si="2"/>
        <v>16</v>
      </c>
      <c r="AA15" s="146">
        <f t="shared" si="3"/>
        <v>308</v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35.5</v>
      </c>
      <c r="X16" s="7">
        <f>'CALCULATOR SHEET'!J22</f>
        <v>112</v>
      </c>
      <c r="Y16" s="7">
        <f t="shared" si="1"/>
        <v>3</v>
      </c>
      <c r="Z16" s="7">
        <f t="shared" si="2"/>
        <v>16</v>
      </c>
      <c r="AA16" s="146">
        <f t="shared" si="3"/>
        <v>308</v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35.5</v>
      </c>
      <c r="X17" s="7">
        <f>'CALCULATOR SHEET'!J23</f>
        <v>112</v>
      </c>
      <c r="Y17" s="7">
        <f t="shared" si="1"/>
        <v>3</v>
      </c>
      <c r="Z17" s="7">
        <f t="shared" si="2"/>
        <v>16</v>
      </c>
      <c r="AA17" s="146">
        <f t="shared" si="3"/>
        <v>308</v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35.5</v>
      </c>
      <c r="X18" s="7">
        <f>'CALCULATOR SHEET'!J24</f>
        <v>112</v>
      </c>
      <c r="Y18" s="7">
        <f t="shared" si="1"/>
        <v>3</v>
      </c>
      <c r="Z18" s="7">
        <f t="shared" si="2"/>
        <v>16</v>
      </c>
      <c r="AA18" s="146">
        <f t="shared" si="3"/>
        <v>308</v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25.5</v>
      </c>
      <c r="X19" s="7">
        <f>'CALCULATOR SHEET'!J25</f>
        <v>112</v>
      </c>
      <c r="Y19" s="7">
        <f t="shared" si="1"/>
        <v>2</v>
      </c>
      <c r="Z19" s="7">
        <f t="shared" si="2"/>
        <v>16</v>
      </c>
      <c r="AA19" s="146">
        <f t="shared" si="3"/>
        <v>301</v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25.5</v>
      </c>
      <c r="X20" s="7">
        <f>'CALCULATOR SHEET'!J26</f>
        <v>112</v>
      </c>
      <c r="Y20" s="7">
        <f t="shared" si="1"/>
        <v>2</v>
      </c>
      <c r="Z20" s="7">
        <f t="shared" si="2"/>
        <v>16</v>
      </c>
      <c r="AA20" s="146">
        <f t="shared" si="3"/>
        <v>301</v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27.5</v>
      </c>
      <c r="X21" s="7">
        <f>'CALCULATOR SHEET'!J27</f>
        <v>112</v>
      </c>
      <c r="Y21" s="7">
        <f t="shared" si="1"/>
        <v>2</v>
      </c>
      <c r="Z21" s="7">
        <f t="shared" si="2"/>
        <v>16</v>
      </c>
      <c r="AA21" s="146">
        <f t="shared" si="3"/>
        <v>301</v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27.5</v>
      </c>
      <c r="X22" s="7">
        <f>'CALCULATOR SHEET'!J28</f>
        <v>112</v>
      </c>
      <c r="Y22" s="7">
        <f t="shared" si="1"/>
        <v>2</v>
      </c>
      <c r="Z22" s="7">
        <f t="shared" si="2"/>
        <v>16</v>
      </c>
      <c r="AA22" s="146">
        <f t="shared" si="3"/>
        <v>301</v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28</v>
      </c>
      <c r="X23" s="7">
        <f>'CALCULATOR SHEET'!J29</f>
        <v>112</v>
      </c>
      <c r="Y23" s="7">
        <f t="shared" si="1"/>
        <v>2</v>
      </c>
      <c r="Z23" s="7">
        <f t="shared" si="2"/>
        <v>16</v>
      </c>
      <c r="AA23" s="146">
        <f t="shared" si="3"/>
        <v>301</v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28</v>
      </c>
      <c r="X24" s="7">
        <f>'CALCULATOR SHEET'!J30</f>
        <v>112</v>
      </c>
      <c r="Y24" s="7">
        <f t="shared" si="1"/>
        <v>2</v>
      </c>
      <c r="Z24" s="7">
        <f t="shared" si="2"/>
        <v>16</v>
      </c>
      <c r="AA24" s="146">
        <f t="shared" si="3"/>
        <v>301</v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26</v>
      </c>
      <c r="X25" s="7">
        <f>'CALCULATOR SHEET'!J31</f>
        <v>112</v>
      </c>
      <c r="Y25" s="7">
        <f t="shared" si="1"/>
        <v>2</v>
      </c>
      <c r="Z25" s="7">
        <f t="shared" si="2"/>
        <v>16</v>
      </c>
      <c r="AA25" s="146">
        <f t="shared" si="3"/>
        <v>301</v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26</v>
      </c>
      <c r="X26" s="7">
        <f>'CALCULATOR SHEET'!J32</f>
        <v>112</v>
      </c>
      <c r="Y26" s="7">
        <f t="shared" si="1"/>
        <v>2</v>
      </c>
      <c r="Z26" s="7">
        <f t="shared" si="2"/>
        <v>16</v>
      </c>
      <c r="AA26" s="146">
        <f t="shared" si="3"/>
        <v>301</v>
      </c>
    </row>
    <row r="27" spans="2:27">
      <c r="T27" s="7"/>
      <c r="V27" s="1">
        <f t="shared" si="4"/>
        <v>21</v>
      </c>
      <c r="W27" s="7">
        <f>'CALCULATOR SHEET'!I33</f>
        <v>52</v>
      </c>
      <c r="X27" s="7">
        <f>'CALCULATOR SHEET'!J33</f>
        <v>112.5</v>
      </c>
      <c r="Y27" s="7">
        <f t="shared" si="1"/>
        <v>6</v>
      </c>
      <c r="Z27" s="7">
        <f t="shared" si="2"/>
        <v>16</v>
      </c>
      <c r="AA27" s="146">
        <f t="shared" si="3"/>
        <v>431</v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52.25</v>
      </c>
      <c r="X28" s="7">
        <f>'CALCULATOR SHEET'!J34</f>
        <v>112.5</v>
      </c>
      <c r="Y28" s="7">
        <f t="shared" si="1"/>
        <v>6</v>
      </c>
      <c r="Z28" s="7">
        <f t="shared" si="2"/>
        <v>16</v>
      </c>
      <c r="AA28" s="146">
        <f t="shared" si="3"/>
        <v>431</v>
      </c>
    </row>
    <row r="29" spans="2:27">
      <c r="V29" s="1">
        <f t="shared" si="4"/>
        <v>23</v>
      </c>
      <c r="W29" s="7">
        <f>'CALCULATOR SHEET'!I35</f>
        <v>56</v>
      </c>
      <c r="X29" s="7">
        <f>'CALCULATOR SHEET'!J35</f>
        <v>112.5</v>
      </c>
      <c r="Y29" s="7">
        <f t="shared" si="1"/>
        <v>7</v>
      </c>
      <c r="Z29" s="7">
        <f t="shared" si="2"/>
        <v>16</v>
      </c>
      <c r="AA29" s="146">
        <f t="shared" si="3"/>
        <v>747</v>
      </c>
    </row>
    <row r="30" spans="2:27">
      <c r="V30" s="1">
        <f t="shared" si="4"/>
        <v>24</v>
      </c>
      <c r="W30" s="7">
        <f>'CALCULATOR SHEET'!I36</f>
        <v>51.25</v>
      </c>
      <c r="X30" s="7">
        <f>'CALCULATOR SHEET'!J36</f>
        <v>112.5</v>
      </c>
      <c r="Y30" s="7">
        <f t="shared" si="1"/>
        <v>6</v>
      </c>
      <c r="Z30" s="7">
        <f t="shared" si="2"/>
        <v>16</v>
      </c>
      <c r="AA30" s="146">
        <f t="shared" si="3"/>
        <v>431</v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9" t="s">
        <v>104</v>
      </c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</row>
    <row r="2" spans="1:33"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</row>
    <row r="3" spans="1:33" ht="15.75" thickBot="1"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 ca="1">'PM-ORDER'!O5</f>
        <v>47</v>
      </c>
      <c r="Y5" s="7">
        <f ca="1">'PM-ORDER'!P5</f>
        <v>116</v>
      </c>
      <c r="Z5" s="7">
        <f ca="1">IF(X5&lt;&gt;"",MATCH(CEILING(X5,6),$C$4:$S$4,0),"")</f>
        <v>5</v>
      </c>
      <c r="AA5" s="7">
        <f ca="1">IF(X5&lt;&gt;"",MATCH(CEILING(Y5,6),$B$7:$B$26,0),"")</f>
        <v>17</v>
      </c>
      <c r="AB5" s="7"/>
      <c r="AC5" s="7" t="str">
        <f ca="1">IF('PM-ORDER'!G5="ROLLER",INDEX($C$7:$S$26,AA5,Z5),"")</f>
        <v>RL-MAN-BSMD</v>
      </c>
      <c r="AF5" s="7" t="str">
        <f>IF('PM-ORDER'!G5="ZEBRA",INDEX($C$35:$S$54,AA5,Z5),"")</f>
        <v/>
      </c>
      <c r="AG5" s="1" t="str">
        <f ca="1">CONCATENATE(AC5,AF5)</f>
        <v>RL-MAN-BSMD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 ca="1">'PM-ORDER'!O6</f>
        <v>40.5</v>
      </c>
      <c r="Y6" s="7">
        <f ca="1">'PM-ORDER'!P6</f>
        <v>116</v>
      </c>
      <c r="Z6" s="7">
        <f t="shared" ref="Z6:Z44" ca="1" si="0">IF(X6&lt;&gt;"",MATCH(CEILING(X6,6),$C$4:$S$4,0),"")</f>
        <v>4</v>
      </c>
      <c r="AA6" s="7">
        <f t="shared" ref="AA6:AA44" ca="1" si="1">IF(X6&lt;&gt;"",MATCH(CEILING(Y6,6),$B$7:$B$26,0),"")</f>
        <v>17</v>
      </c>
      <c r="AC6" s="7" t="str">
        <f ca="1">IF('PM-ORDER'!G6="ROLLER",INDEX($C$7:$S$26,AA6,Z6),"")</f>
        <v>RL-MAN-BSMD</v>
      </c>
      <c r="AF6" s="7" t="str">
        <f>IF('PM-ORDER'!G6="ZEBRA",INDEX($C$35:$S$54,AA6,Z6),"")</f>
        <v/>
      </c>
      <c r="AG6" s="1" t="str">
        <f t="shared" ref="AG6:AG44" ca="1" si="2">CONCATENATE(AC6,AF6)</f>
        <v>RL-MAN-BSMD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 ca="1">'PM-ORDER'!O7</f>
        <v>47</v>
      </c>
      <c r="Y7" s="7">
        <f ca="1">'PM-ORDER'!P7</f>
        <v>116</v>
      </c>
      <c r="Z7" s="7">
        <f t="shared" ca="1" si="0"/>
        <v>5</v>
      </c>
      <c r="AA7" s="7">
        <f t="shared" ca="1" si="1"/>
        <v>17</v>
      </c>
      <c r="AC7" s="7" t="str">
        <f ca="1">IF('PM-ORDER'!G7="ROLLER",INDEX($C$7:$S$26,AA7,Z7),"")</f>
        <v>RL-MAN-BSMD</v>
      </c>
      <c r="AF7" s="7" t="str">
        <f>IF('PM-ORDER'!G7="ZEBRA",INDEX($C$35:$S$54,AA7,Z7),"")</f>
        <v/>
      </c>
      <c r="AG7" s="1" t="str">
        <f t="shared" ca="1" si="2"/>
        <v>RL-MAN-BSMD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 ca="1">'PM-ORDER'!O8</f>
        <v>36</v>
      </c>
      <c r="Y8" s="7">
        <f ca="1">'PM-ORDER'!P8</f>
        <v>117.5</v>
      </c>
      <c r="Z8" s="7">
        <f t="shared" ca="1" si="0"/>
        <v>3</v>
      </c>
      <c r="AA8" s="7">
        <f t="shared" ca="1" si="1"/>
        <v>17</v>
      </c>
      <c r="AC8" s="7" t="str">
        <f ca="1">IF('PM-ORDER'!G8="ROLLER",INDEX($C$7:$S$26,AA8,Z8),"")</f>
        <v>RL-MAN-BSMD</v>
      </c>
      <c r="AF8" s="7" t="str">
        <f>IF('PM-ORDER'!G8="ZEBRA",INDEX($C$35:$S$54,AA8,Z8),"")</f>
        <v/>
      </c>
      <c r="AG8" s="1" t="str">
        <f t="shared" ca="1" si="2"/>
        <v>RL-MAN-BSMD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 ca="1">'PM-ORDER'!O9</f>
        <v>32.5</v>
      </c>
      <c r="Y9" s="7">
        <f ca="1">'PM-ORDER'!P9</f>
        <v>117.5</v>
      </c>
      <c r="Z9" s="7">
        <f t="shared" ca="1" si="0"/>
        <v>3</v>
      </c>
      <c r="AA9" s="7">
        <f t="shared" ca="1" si="1"/>
        <v>17</v>
      </c>
      <c r="AC9" s="7" t="str">
        <f ca="1">IF('PM-ORDER'!G9="ROLLER",INDEX($C$7:$S$26,AA9,Z9),"")</f>
        <v>RL-MAN-BSMD</v>
      </c>
      <c r="AF9" s="7" t="str">
        <f>IF('PM-ORDER'!G9="ZEBRA",INDEX($C$35:$S$54,AA9,Z9),"")</f>
        <v/>
      </c>
      <c r="AG9" s="1" t="str">
        <f t="shared" ca="1" si="2"/>
        <v>RL-MAN-BSMD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>
        <f ca="1">'PM-ORDER'!O10</f>
        <v>39.5</v>
      </c>
      <c r="Y10" s="7">
        <f ca="1">'PM-ORDER'!P10</f>
        <v>117.5</v>
      </c>
      <c r="Z10" s="7">
        <f t="shared" ca="1" si="0"/>
        <v>4</v>
      </c>
      <c r="AA10" s="7">
        <f t="shared" ca="1" si="1"/>
        <v>17</v>
      </c>
      <c r="AC10" s="7" t="str">
        <f ca="1">IF('PM-ORDER'!G10="ROLLER",INDEX($C$7:$S$26,AA10,Z10),"")</f>
        <v>RL-MAN-BSMD</v>
      </c>
      <c r="AF10" s="7" t="str">
        <f>IF('PM-ORDER'!G10="ZEBRA",INDEX($C$35:$S$54,AA10,Z10),"")</f>
        <v/>
      </c>
      <c r="AG10" s="1" t="str">
        <f t="shared" ca="1" si="2"/>
        <v>RL-MAN-BSMD</v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>
        <f ca="1">'PM-ORDER'!O11</f>
        <v>28.5</v>
      </c>
      <c r="Y11" s="7">
        <f ca="1">'PM-ORDER'!P11</f>
        <v>112.5</v>
      </c>
      <c r="Z11" s="7">
        <f t="shared" ca="1" si="0"/>
        <v>2</v>
      </c>
      <c r="AA11" s="7">
        <f t="shared" ca="1" si="1"/>
        <v>16</v>
      </c>
      <c r="AC11" s="7" t="str">
        <f ca="1">IF('PM-ORDER'!G11="ROLLER",INDEX($C$7:$S$26,AA11,Z11),"")</f>
        <v>RL-MAN-BSMD</v>
      </c>
      <c r="AF11" s="7" t="str">
        <f>IF('PM-ORDER'!G11="ZEBRA",INDEX($C$35:$S$54,AA11,Z11),"")</f>
        <v/>
      </c>
      <c r="AG11" s="1" t="str">
        <f t="shared" ca="1" si="2"/>
        <v>RL-MAN-BSMD</v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>
        <f ca="1">'PM-ORDER'!O12</f>
        <v>58</v>
      </c>
      <c r="Y12" s="7">
        <f ca="1">'PM-ORDER'!P12</f>
        <v>112.5</v>
      </c>
      <c r="Z12" s="7">
        <f t="shared" ca="1" si="0"/>
        <v>7</v>
      </c>
      <c r="AA12" s="7">
        <f t="shared" ca="1" si="1"/>
        <v>16</v>
      </c>
      <c r="AC12" s="7" t="str">
        <f ca="1">IF('PM-ORDER'!G12="ROLLER",INDEX($C$7:$S$26,AA12,Z12),"")</f>
        <v>RL-MAN-BSMD</v>
      </c>
      <c r="AF12" s="7" t="str">
        <f>IF('PM-ORDER'!G12="ZEBRA",INDEX($C$35:$S$54,AA12,Z12),"")</f>
        <v/>
      </c>
      <c r="AG12" s="1" t="str">
        <f t="shared" ca="1" si="2"/>
        <v>RL-MAN-BSMD</v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>
        <f ca="1">'PM-ORDER'!O13</f>
        <v>35.5</v>
      </c>
      <c r="Y13" s="7">
        <f ca="1">'PM-ORDER'!P13</f>
        <v>112</v>
      </c>
      <c r="Z13" s="7">
        <f t="shared" ca="1" si="0"/>
        <v>3</v>
      </c>
      <c r="AA13" s="7">
        <f t="shared" ca="1" si="1"/>
        <v>16</v>
      </c>
      <c r="AC13" s="7" t="str">
        <f ca="1">IF('PM-ORDER'!G13="ROLLER",INDEX($C$7:$S$26,AA13,Z13),"")</f>
        <v>RL-MAN-BSMD</v>
      </c>
      <c r="AF13" s="7" t="str">
        <f>IF('PM-ORDER'!G13="ZEBRA",INDEX($C$35:$S$54,AA13,Z13),"")</f>
        <v/>
      </c>
      <c r="AG13" s="1" t="str">
        <f t="shared" ca="1" si="2"/>
        <v>RL-MAN-BSMD</v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>
        <f ca="1">'PM-ORDER'!O14</f>
        <v>35.5</v>
      </c>
      <c r="Y14" s="7">
        <f ca="1">'PM-ORDER'!P14</f>
        <v>112</v>
      </c>
      <c r="Z14" s="7">
        <f t="shared" ca="1" si="0"/>
        <v>3</v>
      </c>
      <c r="AA14" s="7">
        <f t="shared" ca="1" si="1"/>
        <v>16</v>
      </c>
      <c r="AC14" s="7" t="str">
        <f ca="1">IF('PM-ORDER'!G14="ROLLER",INDEX($C$7:$S$26,AA14,Z14),"")</f>
        <v>RL-MAN-BSMD</v>
      </c>
      <c r="AF14" s="7" t="str">
        <f>IF('PM-ORDER'!G14="ZEBRA",INDEX($C$35:$S$54,AA14,Z14),"")</f>
        <v/>
      </c>
      <c r="AG14" s="1" t="str">
        <f t="shared" ca="1" si="2"/>
        <v>RL-MAN-BSMD</v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>
        <f ca="1">'PM-ORDER'!O15</f>
        <v>35.5</v>
      </c>
      <c r="Y15" s="7">
        <f ca="1">'PM-ORDER'!P15</f>
        <v>112</v>
      </c>
      <c r="Z15" s="7">
        <f t="shared" ca="1" si="0"/>
        <v>3</v>
      </c>
      <c r="AA15" s="7">
        <f t="shared" ca="1" si="1"/>
        <v>16</v>
      </c>
      <c r="AC15" s="7" t="str">
        <f ca="1">IF('PM-ORDER'!G15="ROLLER",INDEX($C$7:$S$26,AA15,Z15),"")</f>
        <v>RL-MAN-BSMD</v>
      </c>
      <c r="AF15" s="7" t="str">
        <f>IF('PM-ORDER'!G15="ZEBRA",INDEX($C$35:$S$54,AA15,Z15),"")</f>
        <v/>
      </c>
      <c r="AG15" s="1" t="str">
        <f t="shared" ca="1" si="2"/>
        <v>RL-MAN-BSMD</v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>
        <f ca="1">'PM-ORDER'!O16</f>
        <v>35.5</v>
      </c>
      <c r="Y16" s="7">
        <f ca="1">'PM-ORDER'!P16</f>
        <v>112</v>
      </c>
      <c r="Z16" s="7">
        <f t="shared" ca="1" si="0"/>
        <v>3</v>
      </c>
      <c r="AA16" s="7">
        <f t="shared" ca="1" si="1"/>
        <v>16</v>
      </c>
      <c r="AC16" s="7" t="str">
        <f ca="1">IF('PM-ORDER'!G16="ROLLER",INDEX($C$7:$S$26,AA16,Z16),"")</f>
        <v>RL-MAN-BSMD</v>
      </c>
      <c r="AF16" s="7" t="str">
        <f>IF('PM-ORDER'!G16="ZEBRA",INDEX($C$35:$S$54,AA16,Z16),"")</f>
        <v/>
      </c>
      <c r="AG16" s="1" t="str">
        <f t="shared" ca="1" si="2"/>
        <v>RL-MAN-BSMD</v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>
        <f ca="1">'PM-ORDER'!O17</f>
        <v>25.5</v>
      </c>
      <c r="Y17" s="7">
        <f ca="1">'PM-ORDER'!P17</f>
        <v>112</v>
      </c>
      <c r="Z17" s="7">
        <f t="shared" ca="1" si="0"/>
        <v>2</v>
      </c>
      <c r="AA17" s="7">
        <f t="shared" ca="1" si="1"/>
        <v>16</v>
      </c>
      <c r="AC17" s="7" t="str">
        <f ca="1">IF('PM-ORDER'!G17="ROLLER",INDEX($C$7:$S$26,AA17,Z17),"")</f>
        <v>RL-MAN-BSMD</v>
      </c>
      <c r="AF17" s="7" t="str">
        <f>IF('PM-ORDER'!G17="ZEBRA",INDEX($C$35:$S$54,AA17,Z17),"")</f>
        <v/>
      </c>
      <c r="AG17" s="1" t="str">
        <f t="shared" ca="1" si="2"/>
        <v>RL-MAN-BSMD</v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>
        <f ca="1">'PM-ORDER'!O18</f>
        <v>25.5</v>
      </c>
      <c r="Y18" s="7">
        <f ca="1">'PM-ORDER'!P18</f>
        <v>112</v>
      </c>
      <c r="Z18" s="7">
        <f t="shared" ca="1" si="0"/>
        <v>2</v>
      </c>
      <c r="AA18" s="7">
        <f t="shared" ca="1" si="1"/>
        <v>16</v>
      </c>
      <c r="AC18" s="7" t="str">
        <f ca="1">IF('PM-ORDER'!G18="ROLLER",INDEX($C$7:$S$26,AA18,Z18),"")</f>
        <v>RL-MAN-BSMD</v>
      </c>
      <c r="AF18" s="7" t="str">
        <f>IF('PM-ORDER'!G18="ZEBRA",INDEX($C$35:$S$54,AA18,Z18),"")</f>
        <v/>
      </c>
      <c r="AG18" s="1" t="str">
        <f t="shared" ca="1" si="2"/>
        <v>RL-MAN-BSMD</v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>
        <f ca="1">'PM-ORDER'!O19</f>
        <v>27.5</v>
      </c>
      <c r="Y19" s="7">
        <f ca="1">'PM-ORDER'!P19</f>
        <v>112</v>
      </c>
      <c r="Z19" s="7">
        <f t="shared" ca="1" si="0"/>
        <v>2</v>
      </c>
      <c r="AA19" s="7">
        <f t="shared" ca="1" si="1"/>
        <v>16</v>
      </c>
      <c r="AC19" s="7" t="str">
        <f ca="1">IF('PM-ORDER'!G19="ROLLER",INDEX($C$7:$S$26,AA19,Z19),"")</f>
        <v>RL-MAN-BSMD</v>
      </c>
      <c r="AF19" s="7" t="str">
        <f>IF('PM-ORDER'!G19="ZEBRA",INDEX($C$35:$S$54,AA19,Z19),"")</f>
        <v/>
      </c>
      <c r="AG19" s="1" t="str">
        <f t="shared" ca="1" si="2"/>
        <v>RL-MAN-BSMD</v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>
        <f ca="1">'PM-ORDER'!O20</f>
        <v>27.5</v>
      </c>
      <c r="Y20" s="7">
        <f ca="1">'PM-ORDER'!P20</f>
        <v>112</v>
      </c>
      <c r="Z20" s="7">
        <f t="shared" ca="1" si="0"/>
        <v>2</v>
      </c>
      <c r="AA20" s="7">
        <f t="shared" ca="1" si="1"/>
        <v>16</v>
      </c>
      <c r="AC20" s="7" t="str">
        <f ca="1">IF('PM-ORDER'!G20="ROLLER",INDEX($C$7:$S$26,AA20,Z20),"")</f>
        <v>RL-MAN-BSMD</v>
      </c>
      <c r="AF20" s="7" t="str">
        <f>IF('PM-ORDER'!G20="ZEBRA",INDEX($C$35:$S$54,AA20,Z20),"")</f>
        <v/>
      </c>
      <c r="AG20" s="1" t="str">
        <f t="shared" ca="1" si="2"/>
        <v>RL-MAN-BSMD</v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>
        <f ca="1">'PM-ORDER'!O21</f>
        <v>28</v>
      </c>
      <c r="Y21" s="7">
        <f ca="1">'PM-ORDER'!P21</f>
        <v>112</v>
      </c>
      <c r="Z21" s="7">
        <f t="shared" ca="1" si="0"/>
        <v>2</v>
      </c>
      <c r="AA21" s="7">
        <f t="shared" ca="1" si="1"/>
        <v>16</v>
      </c>
      <c r="AC21" s="7" t="str">
        <f ca="1">IF('PM-ORDER'!G21="ROLLER",INDEX($C$7:$S$26,AA21,Z21),"")</f>
        <v>RL-MAN-BSMD</v>
      </c>
      <c r="AF21" s="7" t="str">
        <f>IF('PM-ORDER'!G21="ZEBRA",INDEX($C$35:$S$54,AA21,Z21),"")</f>
        <v/>
      </c>
      <c r="AG21" s="1" t="str">
        <f t="shared" ca="1" si="2"/>
        <v>RL-MAN-BSMD</v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>
        <f ca="1">'PM-ORDER'!O22</f>
        <v>28</v>
      </c>
      <c r="Y22" s="7">
        <f ca="1">'PM-ORDER'!P22</f>
        <v>112</v>
      </c>
      <c r="Z22" s="7">
        <f t="shared" ca="1" si="0"/>
        <v>2</v>
      </c>
      <c r="AA22" s="7">
        <f t="shared" ca="1" si="1"/>
        <v>16</v>
      </c>
      <c r="AC22" s="7" t="str">
        <f ca="1">IF('PM-ORDER'!G22="ROLLER",INDEX($C$7:$S$26,AA22,Z22),"")</f>
        <v>RL-MAN-BSMD</v>
      </c>
      <c r="AF22" s="7" t="str">
        <f>IF('PM-ORDER'!G22="ZEBRA",INDEX($C$35:$S$54,AA22,Z22),"")</f>
        <v/>
      </c>
      <c r="AG22" s="1" t="str">
        <f t="shared" ca="1" si="2"/>
        <v>RL-MAN-BSMD</v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>
        <f ca="1">'PM-ORDER'!O23</f>
        <v>26</v>
      </c>
      <c r="Y23" s="7">
        <f ca="1">'PM-ORDER'!P23</f>
        <v>112</v>
      </c>
      <c r="Z23" s="7">
        <f t="shared" ca="1" si="0"/>
        <v>2</v>
      </c>
      <c r="AA23" s="7">
        <f t="shared" ca="1" si="1"/>
        <v>16</v>
      </c>
      <c r="AC23" s="7" t="str">
        <f ca="1">IF('PM-ORDER'!G23="ROLLER",INDEX($C$7:$S$26,AA23,Z23),"")</f>
        <v>RL-MAN-BSMD</v>
      </c>
      <c r="AF23" s="7" t="str">
        <f>IF('PM-ORDER'!G23="ZEBRA",INDEX($C$35:$S$54,AA23,Z23),"")</f>
        <v/>
      </c>
      <c r="AG23" s="1" t="str">
        <f t="shared" ca="1" si="2"/>
        <v>RL-MAN-BSMD</v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>
        <f ca="1">'PM-ORDER'!O24</f>
        <v>26</v>
      </c>
      <c r="Y24" s="7">
        <f ca="1">'PM-ORDER'!P24</f>
        <v>112</v>
      </c>
      <c r="Z24" s="7">
        <f t="shared" ca="1" si="0"/>
        <v>2</v>
      </c>
      <c r="AA24" s="7">
        <f t="shared" ca="1" si="1"/>
        <v>16</v>
      </c>
      <c r="AC24" s="7" t="str">
        <f ca="1">IF('PM-ORDER'!G24="ROLLER",INDEX($C$7:$S$26,AA24,Z24),"")</f>
        <v>RL-MAN-BSMD</v>
      </c>
      <c r="AF24" s="7" t="str">
        <f>IF('PM-ORDER'!G24="ZEBRA",INDEX($C$35:$S$54,AA24,Z24),"")</f>
        <v/>
      </c>
      <c r="AG24" s="1" t="str">
        <f t="shared" ca="1" si="2"/>
        <v>RL-MAN-BSMD</v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>
        <f ca="1">'PM-ORDER'!O25</f>
        <v>52</v>
      </c>
      <c r="Y25" s="7">
        <f ca="1">'PM-ORDER'!P25</f>
        <v>112.5</v>
      </c>
      <c r="Z25" s="7">
        <f t="shared" ca="1" si="0"/>
        <v>6</v>
      </c>
      <c r="AA25" s="7">
        <f t="shared" ca="1" si="1"/>
        <v>16</v>
      </c>
      <c r="AC25" s="7" t="str">
        <f ca="1">IF('PM-ORDER'!G25="ROLLER",INDEX($C$7:$S$26,AA25,Z25),"")</f>
        <v>RL-MAN-BSMD</v>
      </c>
      <c r="AF25" s="7" t="str">
        <f>IF('PM-ORDER'!G25="ZEBRA",INDEX($C$35:$S$54,AA25,Z25),"")</f>
        <v/>
      </c>
      <c r="AG25" s="1" t="str">
        <f t="shared" ca="1" si="2"/>
        <v>RL-MAN-BSMD</v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>
        <f ca="1">'PM-ORDER'!O26</f>
        <v>52.25</v>
      </c>
      <c r="Y26" s="7">
        <f ca="1">'PM-ORDER'!P26</f>
        <v>112.5</v>
      </c>
      <c r="Z26" s="7">
        <f t="shared" ca="1" si="0"/>
        <v>6</v>
      </c>
      <c r="AA26" s="7">
        <f t="shared" ca="1" si="1"/>
        <v>16</v>
      </c>
      <c r="AC26" s="7" t="str">
        <f ca="1">IF('PM-ORDER'!G26="ROLLER",INDEX($C$7:$S$26,AA26,Z26),"")</f>
        <v>RL-MAN-BSMD</v>
      </c>
      <c r="AF26" s="7" t="str">
        <f>IF('PM-ORDER'!G26="ZEBRA",INDEX($C$35:$S$54,AA26,Z26),"")</f>
        <v/>
      </c>
      <c r="AG26" s="1" t="str">
        <f t="shared" ca="1" si="2"/>
        <v>RL-MAN-BSMD</v>
      </c>
    </row>
    <row r="27" spans="1:33" ht="21" customHeight="1">
      <c r="W27" s="1">
        <f t="shared" si="3"/>
        <v>23</v>
      </c>
      <c r="X27" s="7">
        <f ca="1">'PM-ORDER'!O27</f>
        <v>56</v>
      </c>
      <c r="Y27" s="7">
        <f ca="1">'PM-ORDER'!P27</f>
        <v>112.5</v>
      </c>
      <c r="Z27" s="7">
        <f t="shared" ca="1" si="0"/>
        <v>7</v>
      </c>
      <c r="AA27" s="7">
        <f t="shared" ca="1" si="1"/>
        <v>16</v>
      </c>
      <c r="AC27" s="7" t="str">
        <f ca="1">IF('PM-ORDER'!G27="ROLLER",INDEX($C$7:$S$26,AA27,Z27),"")</f>
        <v>RL-MAN-BSMD</v>
      </c>
      <c r="AF27" s="7" t="str">
        <f>IF('PM-ORDER'!G27="ZEBRA",INDEX($C$35:$S$54,AA27,Z27),"")</f>
        <v/>
      </c>
      <c r="AG27" s="1" t="str">
        <f t="shared" ca="1" si="2"/>
        <v>RL-MAN-BSMD</v>
      </c>
    </row>
    <row r="28" spans="1:33" ht="21" customHeight="1">
      <c r="W28" s="1">
        <f t="shared" si="3"/>
        <v>24</v>
      </c>
      <c r="X28" s="7">
        <f ca="1">'PM-ORDER'!O28</f>
        <v>51.25</v>
      </c>
      <c r="Y28" s="7">
        <f ca="1">'PM-ORDER'!P28</f>
        <v>112.5</v>
      </c>
      <c r="Z28" s="7">
        <f t="shared" ca="1" si="0"/>
        <v>6</v>
      </c>
      <c r="AA28" s="7">
        <f t="shared" ca="1" si="1"/>
        <v>16</v>
      </c>
      <c r="AC28" s="7" t="str">
        <f ca="1">IF('PM-ORDER'!G28="ROLLER",INDEX($C$7:$S$26,AA28,Z28),"")</f>
        <v>RL-MAN-BSMD</v>
      </c>
      <c r="AF28" s="7" t="str">
        <f>IF('PM-ORDER'!G28="ZEBRA",INDEX($C$35:$S$54,AA28,Z28),"")</f>
        <v/>
      </c>
      <c r="AG28" s="1" t="str">
        <f t="shared" ca="1" si="2"/>
        <v>RL-MAN-BSMD</v>
      </c>
    </row>
    <row r="29" spans="1:33" ht="21" customHeight="1">
      <c r="B29" s="389" t="s">
        <v>93</v>
      </c>
      <c r="C29" s="389"/>
      <c r="D29" s="389"/>
      <c r="E29" s="389"/>
      <c r="F29" s="389"/>
      <c r="G29" s="389"/>
      <c r="H29" s="389"/>
      <c r="I29" s="389"/>
      <c r="J29" s="389"/>
      <c r="K29" s="389"/>
      <c r="L29" s="389"/>
      <c r="M29" s="389"/>
      <c r="N29" s="389"/>
      <c r="O29" s="389"/>
      <c r="P29" s="389"/>
      <c r="Q29" s="389"/>
      <c r="R29" s="389"/>
      <c r="S29" s="389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9"/>
      <c r="C30" s="389"/>
      <c r="D30" s="389"/>
      <c r="E30" s="389"/>
      <c r="F30" s="389"/>
      <c r="G30" s="389"/>
      <c r="H30" s="389"/>
      <c r="I30" s="389"/>
      <c r="J30" s="389"/>
      <c r="K30" s="389"/>
      <c r="L30" s="389"/>
      <c r="M30" s="389"/>
      <c r="N30" s="389"/>
      <c r="O30" s="389"/>
      <c r="P30" s="389"/>
      <c r="Q30" s="389"/>
      <c r="R30" s="389"/>
      <c r="S30" s="389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90"/>
      <c r="C31" s="390"/>
      <c r="D31" s="390"/>
      <c r="E31" s="390"/>
      <c r="F31" s="390"/>
      <c r="G31" s="390"/>
      <c r="H31" s="390"/>
      <c r="I31" s="390"/>
      <c r="J31" s="390"/>
      <c r="K31" s="390"/>
      <c r="L31" s="390"/>
      <c r="M31" s="390"/>
      <c r="N31" s="390"/>
      <c r="O31" s="390"/>
      <c r="P31" s="390"/>
      <c r="Q31" s="390"/>
      <c r="R31" s="390"/>
      <c r="S31" s="390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7"/>
      <c r="T11" s="367"/>
      <c r="U11" s="367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7"/>
      <c r="T14" s="367"/>
      <c r="U14" s="367"/>
      <c r="W14" s="367"/>
      <c r="X14" s="367"/>
      <c r="Y14" s="367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7"/>
      <c r="T20" s="367"/>
      <c r="U20" s="367"/>
      <c r="W20" s="367"/>
      <c r="X20" s="367"/>
      <c r="Y20" s="367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3" t="s">
        <v>90</v>
      </c>
      <c r="I82" s="373"/>
      <c r="J82" s="373" t="s">
        <v>440</v>
      </c>
      <c r="K82" s="373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3" t="s">
        <v>88</v>
      </c>
      <c r="F84" s="373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opLeftCell="O5" zoomScale="85" zoomScaleNormal="85" workbookViewId="0">
      <selection activeCell="AN23" sqref="AN23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4" t="s">
        <v>214</v>
      </c>
      <c r="V1" s="374"/>
      <c r="AG1" s="376" t="s">
        <v>218</v>
      </c>
      <c r="AH1" s="377"/>
      <c r="AI1" s="377"/>
      <c r="AJ1" s="377"/>
      <c r="AK1" s="377"/>
      <c r="AL1" s="377"/>
      <c r="AM1" s="377"/>
      <c r="AN1" s="377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45986</v>
      </c>
      <c r="H2" s="223"/>
      <c r="U2" s="374"/>
      <c r="V2" s="374"/>
      <c r="AG2" s="378"/>
      <c r="AH2" s="379"/>
      <c r="AI2" s="379"/>
      <c r="AJ2" s="379"/>
      <c r="AK2" s="379"/>
      <c r="AL2" s="379"/>
      <c r="AM2" s="379"/>
      <c r="AN2" s="379"/>
      <c r="AO2" s="294"/>
    </row>
    <row r="3" spans="2:41" ht="15" customHeight="1">
      <c r="C3" s="223" t="s">
        <v>160</v>
      </c>
      <c r="G3" s="226"/>
      <c r="I3" s="34">
        <v>0</v>
      </c>
      <c r="U3" s="375"/>
      <c r="V3" s="375"/>
      <c r="AG3" s="380"/>
      <c r="AH3" s="381"/>
      <c r="AI3" s="381"/>
      <c r="AJ3" s="381"/>
      <c r="AK3" s="381"/>
      <c r="AL3" s="381"/>
      <c r="AM3" s="381"/>
      <c r="AN3" s="381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BS 111825EG-3REV1</v>
      </c>
      <c r="D5" s="229">
        <f ca="1">IF('CALCULATOR SHEET'!D13&lt;&gt;"",'CALCULATOR SHEET'!$T$9,"")</f>
        <v>45986</v>
      </c>
      <c r="E5" s="230" t="str">
        <f ca="1">IF(D5&lt;&gt;"","BAJA SHADES","")</f>
        <v>BAJA SHADES</v>
      </c>
      <c r="F5" s="231" t="str">
        <f>IF(C5&lt;&gt;"",'CALCULATOR SHEET'!$D$9,"")</f>
        <v>SELENE MORA MONEDA NACIONAL</v>
      </c>
      <c r="G5" s="231" t="str">
        <f>IF('CALCULATOR SHEET'!D13&lt;&gt;"",'CALCULATOR SHEET'!D13,"")</f>
        <v>ROLLER</v>
      </c>
      <c r="H5" s="231" t="str">
        <f ca="1">IF(Q5="CCL",BOMS!AG5,"")</f>
        <v>RL-MAN-BSMD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FL LONGBEACH SAND</v>
      </c>
      <c r="M5" s="231" t="str">
        <f>IF(C5&lt;&gt;"",'CALCULATOR SHEET'!O13,"")</f>
        <v>STANDARD ROLL</v>
      </c>
      <c r="N5" s="231" t="str">
        <f>IF(C5&lt;&gt;"",'CALCULATOR SHEET'!H13,"")</f>
        <v>ENTRADA A</v>
      </c>
      <c r="O5" s="233">
        <f ca="1">IF(D5&lt;&gt;"",'CALCULATOR SHEET'!I13,"")</f>
        <v>47</v>
      </c>
      <c r="P5" s="233">
        <f ca="1">IF(E5&lt;&gt;"",'CALCULATOR SHEET'!J13,"")</f>
        <v>116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 ca="1"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>BUENOS AIRES TIJUANA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>BS 111825EG-3REV1</v>
      </c>
      <c r="D6" s="229">
        <f ca="1">IF('CALCULATOR SHEET'!D14&lt;&gt;"",'CALCULATOR SHEET'!$T$9,"")</f>
        <v>45986</v>
      </c>
      <c r="E6" s="230" t="str">
        <f t="shared" ref="E6:E69" ca="1" si="0">IF(D6&lt;&gt;"","BAJA SHADES","")</f>
        <v>BAJA SHADES</v>
      </c>
      <c r="F6" s="231" t="str">
        <f>IF(C6&lt;&gt;"",'CALCULATOR SHEET'!$D$9,"")</f>
        <v>SELENE MORA MONEDA NACIONAL</v>
      </c>
      <c r="G6" s="231" t="str">
        <f>IF('CALCULATOR SHEET'!D14&lt;&gt;"",'CALCULATOR SHEET'!D14,"")</f>
        <v>ROLLER</v>
      </c>
      <c r="H6" s="231" t="str">
        <f ca="1">IF(Q6="CCL",BOMS!AG6,"")</f>
        <v>RL-MAN-BSMD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>FL LONGBEACH SAND</v>
      </c>
      <c r="M6" s="231" t="str">
        <f>IF(C6&lt;&gt;"",'CALCULATOR SHEET'!O14,"")</f>
        <v>STANDARD ROLL</v>
      </c>
      <c r="N6" s="231" t="str">
        <f>IF(C6&lt;&gt;"",'CALCULATOR SHEET'!H14,"")</f>
        <v>ENTRADA B</v>
      </c>
      <c r="O6" s="233">
        <f ca="1">IF(D6&lt;&gt;"",'CALCULATOR SHEET'!I14,"")</f>
        <v>40.5</v>
      </c>
      <c r="P6" s="233">
        <f ca="1">IF(E6&lt;&gt;"",'CALCULATOR SHEET'!J14,"")</f>
        <v>116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R</v>
      </c>
      <c r="S6" s="230" t="str">
        <f ca="1"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>BUENOS AIRES TIJUANA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>BS 111825EG-3REV1</v>
      </c>
      <c r="D7" s="229">
        <f ca="1">IF('CALCULATOR SHEET'!D15&lt;&gt;"",'CALCULATOR SHEET'!$T$9,"")</f>
        <v>45986</v>
      </c>
      <c r="E7" s="230" t="str">
        <f t="shared" ca="1" si="0"/>
        <v>BAJA SHADES</v>
      </c>
      <c r="F7" s="231" t="str">
        <f>IF(C7&lt;&gt;"",'CALCULATOR SHEET'!$D$9,"")</f>
        <v>SELENE MORA MONEDA NACIONAL</v>
      </c>
      <c r="G7" s="231" t="str">
        <f>IF('CALCULATOR SHEET'!D15&lt;&gt;"",'CALCULATOR SHEET'!D15,"")</f>
        <v>ROLLER</v>
      </c>
      <c r="H7" s="231" t="str">
        <f ca="1">IF(Q7="CCL",BOMS!AG7,"")</f>
        <v>RL-MAN-BSMD</v>
      </c>
      <c r="I7" s="230">
        <v>1</v>
      </c>
      <c r="J7" s="231" t="str">
        <f>IF(C7&lt;&gt;"",'CALCULATOR SHEET'!K15,"")</f>
        <v>METAL CHAIN</v>
      </c>
      <c r="K7" s="231" t="str">
        <f>IF(J7=GENERAL!$H$6,GENERAL!$H$6,IF(J7=GENERAL!$H$7,GENERAL!$H$7,IF('PM-ORDER'!J7=GENERAL!$H$8,GENERAL!$H$8,"")))</f>
        <v>METAL CHAIN</v>
      </c>
      <c r="L7" s="231" t="str">
        <f>IF(C7&lt;&gt;"",'CALCULATOR SHEET'!G15,"")</f>
        <v>FL LONGBEACH SAND</v>
      </c>
      <c r="M7" s="231" t="str">
        <f>IF(C7&lt;&gt;"",'CALCULATOR SHEET'!O15,"")</f>
        <v>STANDARD ROLL</v>
      </c>
      <c r="N7" s="231" t="str">
        <f>IF(C7&lt;&gt;"",'CALCULATOR SHEET'!H15,"")</f>
        <v>ENTRADA C</v>
      </c>
      <c r="O7" s="233">
        <f ca="1">IF(D7&lt;&gt;"",'CALCULATOR SHEET'!I15,"")</f>
        <v>47</v>
      </c>
      <c r="P7" s="233">
        <f ca="1">IF(E7&lt;&gt;"",'CALCULATOR SHEET'!J15,"")</f>
        <v>116</v>
      </c>
      <c r="Q7" s="230" t="str">
        <f>IF('CALCULATOR SHEET'!K15=GENERAL!$H$9,GENERAL!$H$9,IF(OR('CALCULATOR SHEET'!K15=GENERAL!$H$6,'CALCULATOR SHEET'!K15=GENERAL!$H$7,'CALCULATOR SHEET'!K15=GENERAL!$H$8),"CCL",""))</f>
        <v>CCL</v>
      </c>
      <c r="R7" s="230" t="str">
        <f>IF(C7&lt;&gt;"",'CALCULATOR SHEET'!M15,"")</f>
        <v>L</v>
      </c>
      <c r="S7" s="230" t="str">
        <f ca="1">IF(D7&lt;&gt;"",'CALCULATOR SHEET'!N15,"")</f>
        <v>INSIDE</v>
      </c>
      <c r="T7" s="232"/>
      <c r="U7" s="246"/>
      <c r="V7" s="246"/>
      <c r="W7" s="230" t="str">
        <f>IF(C7&lt;&gt;"",'CALCULATOR SHEET'!R15,"")</f>
        <v>NO</v>
      </c>
      <c r="X7" s="230"/>
      <c r="Y7" s="230">
        <v>1</v>
      </c>
      <c r="Z7" s="232"/>
      <c r="AA7" s="232" t="str">
        <f>IF(C7&lt;&gt;"",'CALCULATOR SHEET'!$H$9,"")</f>
        <v>BUENOS AIRES TIJUANA</v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>BS 111825EG-3REV1</v>
      </c>
      <c r="D8" s="229">
        <f ca="1">IF('CALCULATOR SHEET'!D16&lt;&gt;"",'CALCULATOR SHEET'!$T$9,"")</f>
        <v>45986</v>
      </c>
      <c r="E8" s="230" t="str">
        <f t="shared" ca="1" si="0"/>
        <v>BAJA SHADES</v>
      </c>
      <c r="F8" s="231" t="str">
        <f>IF(C8&lt;&gt;"",'CALCULATOR SHEET'!$D$9,"")</f>
        <v>SELENE MORA MONEDA NACIONAL</v>
      </c>
      <c r="G8" s="231" t="str">
        <f>IF('CALCULATOR SHEET'!D16&lt;&gt;"",'CALCULATOR SHEET'!D16,"")</f>
        <v>ROLLER</v>
      </c>
      <c r="H8" s="231" t="str">
        <f ca="1">IF(Q8="CCL",BOMS!AG8,"")</f>
        <v>RL-MAN-BSMD</v>
      </c>
      <c r="I8" s="230">
        <v>1</v>
      </c>
      <c r="J8" s="231" t="str">
        <f>IF(C8&lt;&gt;"",'CALCULATOR SHEET'!K16,"")</f>
        <v>METAL CHAIN</v>
      </c>
      <c r="K8" s="231" t="str">
        <f>IF(J8=GENERAL!$H$6,GENERAL!$H$6,IF(J8=GENERAL!$H$7,GENERAL!$H$7,IF('PM-ORDER'!J8=GENERAL!$H$8,GENERAL!$H$8,"")))</f>
        <v>METAL CHAIN</v>
      </c>
      <c r="L8" s="231" t="str">
        <f>IF(C8&lt;&gt;"",'CALCULATOR SHEET'!G16,"")</f>
        <v>FL LONGBEACH SAND</v>
      </c>
      <c r="M8" s="231" t="str">
        <f>IF(C8&lt;&gt;"",'CALCULATOR SHEET'!O16,"")</f>
        <v>STANDARD ROLL</v>
      </c>
      <c r="N8" s="231" t="str">
        <f>IF(C8&lt;&gt;"",'CALCULATOR SHEET'!H16,"")</f>
        <v>COCINA A</v>
      </c>
      <c r="O8" s="233">
        <f ca="1">IF(D8&lt;&gt;"",'CALCULATOR SHEET'!I16,"")</f>
        <v>36</v>
      </c>
      <c r="P8" s="233">
        <f ca="1">IF(E8&lt;&gt;"",'CALCULATOR SHEET'!J16,"")</f>
        <v>117.5</v>
      </c>
      <c r="Q8" s="230" t="str">
        <f>IF('CALCULATOR SHEET'!K16=GENERAL!$H$9,GENERAL!$H$9,IF(OR('CALCULATOR SHEET'!K16=GENERAL!$H$6,'CALCULATOR SHEET'!K16=GENERAL!$H$7,'CALCULATOR SHEET'!K16=GENERAL!$H$8),"CCL",""))</f>
        <v>CCL</v>
      </c>
      <c r="R8" s="230" t="str">
        <f>IF(C8&lt;&gt;"",'CALCULATOR SHEET'!M16,"")</f>
        <v>R</v>
      </c>
      <c r="S8" s="230" t="str">
        <f ca="1">IF(D8&lt;&gt;"",'CALCULATOR SHEET'!N16,"")</f>
        <v>INSIDE</v>
      </c>
      <c r="T8" s="232"/>
      <c r="U8" s="246"/>
      <c r="V8" s="246"/>
      <c r="W8" s="230" t="str">
        <f>IF(C8&lt;&gt;"",'CALCULATOR SHEET'!R16,"")</f>
        <v>NO</v>
      </c>
      <c r="X8" s="230"/>
      <c r="Y8" s="230">
        <v>1</v>
      </c>
      <c r="Z8" s="232"/>
      <c r="AA8" s="232" t="str">
        <f>IF(C8&lt;&gt;"",'CALCULATOR SHEET'!$H$9,"")</f>
        <v>BUENOS AIRES TIJUANA</v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>BS 111825EG-3REV1</v>
      </c>
      <c r="D9" s="229">
        <f ca="1">IF('CALCULATOR SHEET'!D17&lt;&gt;"",'CALCULATOR SHEET'!$T$9,"")</f>
        <v>45986</v>
      </c>
      <c r="E9" s="230" t="str">
        <f t="shared" ca="1" si="0"/>
        <v>BAJA SHADES</v>
      </c>
      <c r="F9" s="231" t="str">
        <f>IF(C9&lt;&gt;"",'CALCULATOR SHEET'!$D$9,"")</f>
        <v>SELENE MORA MONEDA NACIONAL</v>
      </c>
      <c r="G9" s="231" t="str">
        <f>IF('CALCULATOR SHEET'!D17&lt;&gt;"",'CALCULATOR SHEET'!D17,"")</f>
        <v>ROLLER</v>
      </c>
      <c r="H9" s="231" t="str">
        <f ca="1">IF(Q9="CCL",BOMS!AG9,"")</f>
        <v>RL-MAN-BSMD</v>
      </c>
      <c r="I9" s="230">
        <v>1</v>
      </c>
      <c r="J9" s="231" t="str">
        <f>IF(C9&lt;&gt;"",'CALCULATOR SHEET'!K17,"")</f>
        <v>METAL CHAIN</v>
      </c>
      <c r="K9" s="231" t="str">
        <f>IF(J9=GENERAL!$H$6,GENERAL!$H$6,IF(J9=GENERAL!$H$7,GENERAL!$H$7,IF('PM-ORDER'!J9=GENERAL!$H$8,GENERAL!$H$8,"")))</f>
        <v>METAL CHAIN</v>
      </c>
      <c r="L9" s="231" t="str">
        <f>IF(C9&lt;&gt;"",'CALCULATOR SHEET'!G17,"")</f>
        <v>FL LONGBEACH SAND</v>
      </c>
      <c r="M9" s="231" t="str">
        <f>IF(C9&lt;&gt;"",'CALCULATOR SHEET'!O17,"")</f>
        <v>STANDARD ROLL</v>
      </c>
      <c r="N9" s="231" t="str">
        <f>IF(C9&lt;&gt;"",'CALCULATOR SHEET'!H17,"")</f>
        <v>COCINA B</v>
      </c>
      <c r="O9" s="233">
        <f ca="1">IF(D9&lt;&gt;"",'CALCULATOR SHEET'!I17,"")</f>
        <v>32.5</v>
      </c>
      <c r="P9" s="233">
        <f ca="1">IF(E9&lt;&gt;"",'CALCULATOR SHEET'!J17,"")</f>
        <v>117.5</v>
      </c>
      <c r="Q9" s="230" t="str">
        <f>IF('CALCULATOR SHEET'!K17=GENERAL!$H$9,GENERAL!$H$9,IF(OR('CALCULATOR SHEET'!K17=GENERAL!$H$6,'CALCULATOR SHEET'!K17=GENERAL!$H$7,'CALCULATOR SHEET'!K17=GENERAL!$H$8),"CCL",""))</f>
        <v>CCL</v>
      </c>
      <c r="R9" s="230" t="str">
        <f>IF(C9&lt;&gt;"",'CALCULATOR SHEET'!M17,"")</f>
        <v>L</v>
      </c>
      <c r="S9" s="230" t="str">
        <f ca="1">IF(D9&lt;&gt;"",'CALCULATOR SHEET'!N17,"")</f>
        <v>INSIDE</v>
      </c>
      <c r="T9" s="232"/>
      <c r="U9" s="246"/>
      <c r="V9" s="246"/>
      <c r="W9" s="230" t="str">
        <f>IF(C9&lt;&gt;"",'CALCULATOR SHEET'!R17,"")</f>
        <v>NO</v>
      </c>
      <c r="X9" s="230"/>
      <c r="Y9" s="230">
        <v>1</v>
      </c>
      <c r="Z9" s="232"/>
      <c r="AA9" s="232" t="str">
        <f>IF(C9&lt;&gt;"",'CALCULATOR SHEET'!$H$9,"")</f>
        <v>BUENOS AIRES TIJUANA</v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>BS 111825EG-3REV1</v>
      </c>
      <c r="D10" s="229">
        <f ca="1">IF('CALCULATOR SHEET'!D18&lt;&gt;"",'CALCULATOR SHEET'!$T$9,"")</f>
        <v>45986</v>
      </c>
      <c r="E10" s="230" t="str">
        <f t="shared" ca="1" si="0"/>
        <v>BAJA SHADES</v>
      </c>
      <c r="F10" s="231" t="str">
        <f>IF(C10&lt;&gt;"",'CALCULATOR SHEET'!$D$9,"")</f>
        <v>SELENE MORA MONEDA NACIONAL</v>
      </c>
      <c r="G10" s="231" t="str">
        <f>IF('CALCULATOR SHEET'!D18&lt;&gt;"",'CALCULATOR SHEET'!D18,"")</f>
        <v>ROLLER</v>
      </c>
      <c r="H10" s="231" t="str">
        <f ca="1">IF(Q10="CCL",BOMS!AG10,"")</f>
        <v>RL-MAN-BSMD</v>
      </c>
      <c r="I10" s="230">
        <v>1</v>
      </c>
      <c r="J10" s="231" t="str">
        <f>IF(C10&lt;&gt;"",'CALCULATOR SHEET'!K18,"")</f>
        <v>METAL CHAIN</v>
      </c>
      <c r="K10" s="231" t="str">
        <f>IF(J10=GENERAL!$H$6,GENERAL!$H$6,IF(J10=GENERAL!$H$7,GENERAL!$H$7,IF('PM-ORDER'!J10=GENERAL!$H$8,GENERAL!$H$8,"")))</f>
        <v>METAL CHAIN</v>
      </c>
      <c r="L10" s="231" t="str">
        <f>IF(C10&lt;&gt;"",'CALCULATOR SHEET'!G18,"")</f>
        <v>FL LONGBEACH SAND</v>
      </c>
      <c r="M10" s="231" t="str">
        <f>IF(C10&lt;&gt;"",'CALCULATOR SHEET'!O18,"")</f>
        <v>STANDARD ROLL</v>
      </c>
      <c r="N10" s="231" t="str">
        <f>IF(C10&lt;&gt;"",'CALCULATOR SHEET'!H18,"")</f>
        <v>COCINA C</v>
      </c>
      <c r="O10" s="233">
        <f ca="1">IF(D10&lt;&gt;"",'CALCULATOR SHEET'!I18,"")</f>
        <v>39.5</v>
      </c>
      <c r="P10" s="233">
        <f ca="1">IF(E10&lt;&gt;"",'CALCULATOR SHEET'!J18,"")</f>
        <v>117.5</v>
      </c>
      <c r="Q10" s="230" t="str">
        <f>IF('CALCULATOR SHEET'!K18=GENERAL!$H$9,GENERAL!$H$9,IF(OR('CALCULATOR SHEET'!K18=GENERAL!$H$6,'CALCULATOR SHEET'!K18=GENERAL!$H$7,'CALCULATOR SHEET'!K18=GENERAL!$H$8),"CCL",""))</f>
        <v>CCL</v>
      </c>
      <c r="R10" s="230" t="str">
        <f>IF(C10&lt;&gt;"",'CALCULATOR SHEET'!M18,"")</f>
        <v>R</v>
      </c>
      <c r="S10" s="230" t="str">
        <f ca="1">IF(D10&lt;&gt;"",'CALCULATOR SHEET'!N18,"")</f>
        <v>INSIDE</v>
      </c>
      <c r="T10" s="232"/>
      <c r="U10" s="246"/>
      <c r="V10" s="246"/>
      <c r="W10" s="230" t="str">
        <f>IF(C10&lt;&gt;"",'CALCULATOR SHEET'!R18,"")</f>
        <v>NO</v>
      </c>
      <c r="X10" s="230"/>
      <c r="Y10" s="230">
        <v>1</v>
      </c>
      <c r="Z10" s="232"/>
      <c r="AA10" s="232" t="str">
        <f>IF(C10&lt;&gt;"",'CALCULATOR SHEET'!$H$9,"")</f>
        <v>BUENOS AIRES TIJUANA</v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>BS 111825EG-3REV1</v>
      </c>
      <c r="D11" s="229">
        <f ca="1">IF('CALCULATOR SHEET'!D19&lt;&gt;"",'CALCULATOR SHEET'!$T$9,"")</f>
        <v>45986</v>
      </c>
      <c r="E11" s="230" t="str">
        <f t="shared" ca="1" si="0"/>
        <v>BAJA SHADES</v>
      </c>
      <c r="F11" s="231" t="str">
        <f>IF(C11&lt;&gt;"",'CALCULATOR SHEET'!$D$9,"")</f>
        <v>SELENE MORA MONEDA NACIONAL</v>
      </c>
      <c r="G11" s="231" t="str">
        <f>IF('CALCULATOR SHEET'!D19&lt;&gt;"",'CALCULATOR SHEET'!D19,"")</f>
        <v>ROLLER</v>
      </c>
      <c r="H11" s="231" t="str">
        <f ca="1">IF(Q11="CCL",BOMS!AG11,"")</f>
        <v>RL-MAN-BSMD</v>
      </c>
      <c r="I11" s="230">
        <v>1</v>
      </c>
      <c r="J11" s="231" t="str">
        <f>IF(C11&lt;&gt;"",'CALCULATOR SHEET'!K19,"")</f>
        <v>METAL CHAIN</v>
      </c>
      <c r="K11" s="231" t="str">
        <f>IF(J11=GENERAL!$H$6,GENERAL!$H$6,IF(J11=GENERAL!$H$7,GENERAL!$H$7,IF('PM-ORDER'!J11=GENERAL!$H$8,GENERAL!$H$8,"")))</f>
        <v>METAL CHAIN</v>
      </c>
      <c r="L11" s="231" t="str">
        <f>IF(C11&lt;&gt;"",'CALCULATOR SHEET'!G19,"")</f>
        <v>FL LONGBEACH SAND</v>
      </c>
      <c r="M11" s="231" t="str">
        <f>IF(C11&lt;&gt;"",'CALCULATOR SHEET'!O19,"")</f>
        <v>STANDARD ROLL</v>
      </c>
      <c r="N11" s="231" t="str">
        <f>IF(C11&lt;&gt;"",'CALCULATOR SHEET'!H19,"")</f>
        <v>GYM</v>
      </c>
      <c r="O11" s="233">
        <f ca="1">IF(D11&lt;&gt;"",'CALCULATOR SHEET'!I19,"")</f>
        <v>28.5</v>
      </c>
      <c r="P11" s="233">
        <f ca="1">IF(E11&lt;&gt;"",'CALCULATOR SHEET'!J19,"")</f>
        <v>112.5</v>
      </c>
      <c r="Q11" s="230" t="str">
        <f>IF('CALCULATOR SHEET'!K19=GENERAL!$H$9,GENERAL!$H$9,IF(OR('CALCULATOR SHEET'!K19=GENERAL!$H$6,'CALCULATOR SHEET'!K19=GENERAL!$H$7,'CALCULATOR SHEET'!K19=GENERAL!$H$8),"CCL",""))</f>
        <v>CCL</v>
      </c>
      <c r="R11" s="230" t="str">
        <f>IF(C11&lt;&gt;"",'CALCULATOR SHEET'!M19,"")</f>
        <v>R</v>
      </c>
      <c r="S11" s="230" t="str">
        <f ca="1">IF(D11&lt;&gt;"",'CALCULATOR SHEET'!N19,"")</f>
        <v>INSIDE</v>
      </c>
      <c r="T11" s="232"/>
      <c r="U11" s="246"/>
      <c r="V11" s="246"/>
      <c r="W11" s="230" t="str">
        <f>IF(C11&lt;&gt;"",'CALCULATOR SHEET'!R19,"")</f>
        <v>NO</v>
      </c>
      <c r="X11" s="230"/>
      <c r="Y11" s="230">
        <v>1</v>
      </c>
      <c r="Z11" s="232"/>
      <c r="AA11" s="232" t="str">
        <f>IF(C11&lt;&gt;"",'CALCULATOR SHEET'!$H$9,"")</f>
        <v>BUENOS AIRES TIJUANA</v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>BS 111825EG-3REV1</v>
      </c>
      <c r="D12" s="229">
        <f ca="1">IF('CALCULATOR SHEET'!D20&lt;&gt;"",'CALCULATOR SHEET'!$T$9,"")</f>
        <v>45986</v>
      </c>
      <c r="E12" s="230" t="str">
        <f t="shared" ca="1" si="0"/>
        <v>BAJA SHADES</v>
      </c>
      <c r="F12" s="231" t="str">
        <f>IF(C12&lt;&gt;"",'CALCULATOR SHEET'!$D$9,"")</f>
        <v>SELENE MORA MONEDA NACIONAL</v>
      </c>
      <c r="G12" s="231" t="str">
        <f>IF('CALCULATOR SHEET'!D20&lt;&gt;"",'CALCULATOR SHEET'!D20,"")</f>
        <v>ROLLER</v>
      </c>
      <c r="H12" s="231" t="str">
        <f ca="1">IF(Q12="CCL",BOMS!AG12,"")</f>
        <v>RL-MAN-BSMD</v>
      </c>
      <c r="I12" s="230">
        <v>1</v>
      </c>
      <c r="J12" s="231" t="str">
        <f>IF(C12&lt;&gt;"",'CALCULATOR SHEET'!K20,"")</f>
        <v>METAL CHAIN</v>
      </c>
      <c r="K12" s="231" t="str">
        <f>IF(J12=GENERAL!$H$6,GENERAL!$H$6,IF(J12=GENERAL!$H$7,GENERAL!$H$7,IF('PM-ORDER'!J12=GENERAL!$H$8,GENERAL!$H$8,"")))</f>
        <v>METAL CHAIN</v>
      </c>
      <c r="L12" s="231" t="str">
        <f>IF(C12&lt;&gt;"",'CALCULATOR SHEET'!G20,"")</f>
        <v>FL LONGBEACH SAND</v>
      </c>
      <c r="M12" s="231" t="str">
        <f>IF(C12&lt;&gt;"",'CALCULATOR SHEET'!O20,"")</f>
        <v>STANDARD ROLL</v>
      </c>
      <c r="N12" s="231" t="str">
        <f>IF(C12&lt;&gt;"",'CALCULATOR SHEET'!H20,"")</f>
        <v>ESTUDIO</v>
      </c>
      <c r="O12" s="233">
        <f ca="1">IF(D12&lt;&gt;"",'CALCULATOR SHEET'!I20,"")</f>
        <v>58</v>
      </c>
      <c r="P12" s="233">
        <f ca="1">IF(E12&lt;&gt;"",'CALCULATOR SHEET'!J20,"")</f>
        <v>112.5</v>
      </c>
      <c r="Q12" s="230" t="str">
        <f>IF('CALCULATOR SHEET'!K20=GENERAL!$H$9,GENERAL!$H$9,IF(OR('CALCULATOR SHEET'!K20=GENERAL!$H$6,'CALCULATOR SHEET'!K20=GENERAL!$H$7,'CALCULATOR SHEET'!K20=GENERAL!$H$8),"CCL",""))</f>
        <v>CCL</v>
      </c>
      <c r="R12" s="230" t="str">
        <f>IF(C12&lt;&gt;"",'CALCULATOR SHEET'!M20,"")</f>
        <v>L</v>
      </c>
      <c r="S12" s="230" t="str">
        <f ca="1">IF(D12&lt;&gt;"",'CALCULATOR SHEET'!N20,"")</f>
        <v>INSIDE</v>
      </c>
      <c r="T12" s="232"/>
      <c r="U12" s="246"/>
      <c r="V12" s="246"/>
      <c r="W12" s="230" t="str">
        <f>IF(C12&lt;&gt;"",'CALCULATOR SHEET'!R20,"")</f>
        <v>NO</v>
      </c>
      <c r="X12" s="230"/>
      <c r="Y12" s="230">
        <v>1</v>
      </c>
      <c r="Z12" s="232"/>
      <c r="AA12" s="232" t="str">
        <f>IF(C12&lt;&gt;"",'CALCULATOR SHEET'!$H$9,"")</f>
        <v>BUENOS AIRES TIJUANA</v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>BS 111825EG-3REV1</v>
      </c>
      <c r="D13" s="229">
        <f ca="1">IF('CALCULATOR SHEET'!D21&lt;&gt;"",'CALCULATOR SHEET'!$T$9,"")</f>
        <v>45986</v>
      </c>
      <c r="E13" s="230" t="str">
        <f t="shared" ca="1" si="0"/>
        <v>BAJA SHADES</v>
      </c>
      <c r="F13" s="231" t="str">
        <f>IF(C13&lt;&gt;"",'CALCULATOR SHEET'!$D$9,"")</f>
        <v>SELENE MORA MONEDA NACIONAL</v>
      </c>
      <c r="G13" s="231" t="str">
        <f>IF('CALCULATOR SHEET'!D21&lt;&gt;"",'CALCULATOR SHEET'!D21,"")</f>
        <v>ROLLER</v>
      </c>
      <c r="H13" s="231" t="str">
        <f ca="1">IF(Q13="CCL",BOMS!AG13,"")</f>
        <v>RL-MAN-BSMD</v>
      </c>
      <c r="I13" s="230">
        <v>1</v>
      </c>
      <c r="J13" s="231" t="str">
        <f>IF(C13&lt;&gt;"",'CALCULATOR SHEET'!K21,"")</f>
        <v>METAL CHAIN</v>
      </c>
      <c r="K13" s="231" t="str">
        <f>IF(J13=GENERAL!$H$6,GENERAL!$H$6,IF(J13=GENERAL!$H$7,GENERAL!$H$7,IF('PM-ORDER'!J13=GENERAL!$H$8,GENERAL!$H$8,"")))</f>
        <v>METAL CHAIN</v>
      </c>
      <c r="L13" s="231" t="str">
        <f>IF(C13&lt;&gt;"",'CALCULATOR SHEET'!G21,"")</f>
        <v>BO LONGBEACH SILVER</v>
      </c>
      <c r="M13" s="231" t="str">
        <f>IF(C13&lt;&gt;"",'CALCULATOR SHEET'!O21,"")</f>
        <v>STANDARD ROLL</v>
      </c>
      <c r="N13" s="231" t="str">
        <f>IF(C13&lt;&gt;"",'CALCULATOR SHEET'!H21,"")</f>
        <v>NIÑO A</v>
      </c>
      <c r="O13" s="233">
        <f ca="1">IF(D13&lt;&gt;"",'CALCULATOR SHEET'!I21,"")</f>
        <v>35.5</v>
      </c>
      <c r="P13" s="233">
        <f ca="1">IF(E13&lt;&gt;"",'CALCULATOR SHEET'!J21,"")</f>
        <v>112</v>
      </c>
      <c r="Q13" s="230" t="str">
        <f>IF('CALCULATOR SHEET'!K21=GENERAL!$H$9,GENERAL!$H$9,IF(OR('CALCULATOR SHEET'!K21=GENERAL!$H$6,'CALCULATOR SHEET'!K21=GENERAL!$H$7,'CALCULATOR SHEET'!K21=GENERAL!$H$8),"CCL",""))</f>
        <v>CCL</v>
      </c>
      <c r="R13" s="230" t="str">
        <f>IF(C13&lt;&gt;"",'CALCULATOR SHEET'!M21,"")</f>
        <v>L</v>
      </c>
      <c r="S13" s="230" t="str">
        <f ca="1">IF(D13&lt;&gt;"",'CALCULATOR SHEET'!N21,"")</f>
        <v>INSIDE</v>
      </c>
      <c r="T13" s="232"/>
      <c r="U13" s="246"/>
      <c r="V13" s="246"/>
      <c r="W13" s="230" t="str">
        <f>IF(C13&lt;&gt;"",'CALCULATOR SHEET'!R21,"")</f>
        <v>NO</v>
      </c>
      <c r="X13" s="230"/>
      <c r="Y13" s="230">
        <v>1</v>
      </c>
      <c r="Z13" s="232"/>
      <c r="AA13" s="232" t="str">
        <f>IF(C13&lt;&gt;"",'CALCULATOR SHEET'!$H$9,"")</f>
        <v>BUENOS AIRES TIJUANA</v>
      </c>
      <c r="AB13" s="232"/>
      <c r="AC13" s="232"/>
      <c r="AD13" s="234"/>
      <c r="AE13" s="235"/>
      <c r="AF13" s="162"/>
      <c r="AG13" s="253" t="s">
        <v>479</v>
      </c>
      <c r="AH13" s="253"/>
      <c r="AI13" s="252">
        <v>37</v>
      </c>
      <c r="AJ13" s="252">
        <v>6.25</v>
      </c>
      <c r="AK13" s="252">
        <v>6.25</v>
      </c>
      <c r="AL13" s="252">
        <v>6.25</v>
      </c>
      <c r="AM13" s="252">
        <v>6</v>
      </c>
      <c r="AN13" s="253" t="s">
        <v>477</v>
      </c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>BS 111825EG-3REV1</v>
      </c>
      <c r="D14" s="229">
        <f ca="1">IF('CALCULATOR SHEET'!D22&lt;&gt;"",'CALCULATOR SHEET'!$T$9,"")</f>
        <v>45986</v>
      </c>
      <c r="E14" s="230" t="str">
        <f t="shared" ca="1" si="0"/>
        <v>BAJA SHADES</v>
      </c>
      <c r="F14" s="231" t="str">
        <f>IF(C14&lt;&gt;"",'CALCULATOR SHEET'!$D$9,"")</f>
        <v>SELENE MORA MONEDA NACIONAL</v>
      </c>
      <c r="G14" s="231" t="str">
        <f>IF('CALCULATOR SHEET'!D22&lt;&gt;"",'CALCULATOR SHEET'!D22,"")</f>
        <v>ROLLER</v>
      </c>
      <c r="H14" s="231" t="str">
        <f ca="1">IF(Q14="CCL",BOMS!AG14,"")</f>
        <v>RL-MAN-BSMD</v>
      </c>
      <c r="I14" s="230">
        <v>1</v>
      </c>
      <c r="J14" s="231" t="str">
        <f>IF(C14&lt;&gt;"",'CALCULATOR SHEET'!K22,"")</f>
        <v>METAL CHAIN</v>
      </c>
      <c r="K14" s="231" t="str">
        <f>IF(J14=GENERAL!$H$6,GENERAL!$H$6,IF(J14=GENERAL!$H$7,GENERAL!$H$7,IF('PM-ORDER'!J14=GENERAL!$H$8,GENERAL!$H$8,"")))</f>
        <v>METAL CHAIN</v>
      </c>
      <c r="L14" s="231" t="str">
        <f>IF(C14&lt;&gt;"",'CALCULATOR SHEET'!G22,"")</f>
        <v>SC BASIC WHITE</v>
      </c>
      <c r="M14" s="231" t="str">
        <f>IF(C14&lt;&gt;"",'CALCULATOR SHEET'!O22,"")</f>
        <v>STANDARD ROLL</v>
      </c>
      <c r="N14" s="231" t="str">
        <f>IF(C14&lt;&gt;"",'CALCULATOR SHEET'!H22,"")</f>
        <v>NIÑO A</v>
      </c>
      <c r="O14" s="233">
        <f ca="1">IF(D14&lt;&gt;"",'CALCULATOR SHEET'!I22,"")</f>
        <v>35.5</v>
      </c>
      <c r="P14" s="233">
        <f ca="1">IF(E14&lt;&gt;"",'CALCULATOR SHEET'!J22,"")</f>
        <v>112</v>
      </c>
      <c r="Q14" s="230" t="str">
        <f>IF('CALCULATOR SHEET'!K22=GENERAL!$H$9,GENERAL!$H$9,IF(OR('CALCULATOR SHEET'!K22=GENERAL!$H$6,'CALCULATOR SHEET'!K22=GENERAL!$H$7,'CALCULATOR SHEET'!K22=GENERAL!$H$8),"CCL",""))</f>
        <v>CCL</v>
      </c>
      <c r="R14" s="230" t="str">
        <f>IF(C14&lt;&gt;"",'CALCULATOR SHEET'!M22,"")</f>
        <v>L</v>
      </c>
      <c r="S14" s="230" t="str">
        <f ca="1">IF(D14&lt;&gt;"",'CALCULATOR SHEET'!N22,"")</f>
        <v>INSIDE</v>
      </c>
      <c r="T14" s="232"/>
      <c r="U14" s="246"/>
      <c r="V14" s="246"/>
      <c r="W14" s="230" t="str">
        <f>IF(C14&lt;&gt;"",'CALCULATOR SHEET'!R22,"")</f>
        <v>NO</v>
      </c>
      <c r="X14" s="230"/>
      <c r="Y14" s="230">
        <v>1</v>
      </c>
      <c r="Z14" s="232"/>
      <c r="AA14" s="232" t="str">
        <f>IF(C14&lt;&gt;"",'CALCULATOR SHEET'!$H$9,"")</f>
        <v>BUENOS AIRES TIJUANA</v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>BS 111825EG-3REV1</v>
      </c>
      <c r="D15" s="229">
        <f ca="1">IF('CALCULATOR SHEET'!D23&lt;&gt;"",'CALCULATOR SHEET'!$T$9,"")</f>
        <v>45986</v>
      </c>
      <c r="E15" s="230" t="str">
        <f t="shared" ca="1" si="0"/>
        <v>BAJA SHADES</v>
      </c>
      <c r="F15" s="231" t="str">
        <f>IF(C15&lt;&gt;"",'CALCULATOR SHEET'!$D$9,"")</f>
        <v>SELENE MORA MONEDA NACIONAL</v>
      </c>
      <c r="G15" s="231" t="str">
        <f>IF('CALCULATOR SHEET'!D23&lt;&gt;"",'CALCULATOR SHEET'!D23,"")</f>
        <v>ROLLER</v>
      </c>
      <c r="H15" s="231" t="str">
        <f ca="1">IF(Q15="CCL",BOMS!AG15,"")</f>
        <v>RL-MAN-BSMD</v>
      </c>
      <c r="I15" s="230">
        <v>1</v>
      </c>
      <c r="J15" s="231" t="str">
        <f>IF(C15&lt;&gt;"",'CALCULATOR SHEET'!K23,"")</f>
        <v>METAL CHAIN</v>
      </c>
      <c r="K15" s="231" t="str">
        <f>IF(J15=GENERAL!$H$6,GENERAL!$H$6,IF(J15=GENERAL!$H$7,GENERAL!$H$7,IF('PM-ORDER'!J15=GENERAL!$H$8,GENERAL!$H$8,"")))</f>
        <v>METAL CHAIN</v>
      </c>
      <c r="L15" s="231" t="str">
        <f>IF(C15&lt;&gt;"",'CALCULATOR SHEET'!G23,"")</f>
        <v>BO LONGBEACH SILVER</v>
      </c>
      <c r="M15" s="231" t="str">
        <f>IF(C15&lt;&gt;"",'CALCULATOR SHEET'!O23,"")</f>
        <v>STANDARD ROLL</v>
      </c>
      <c r="N15" s="231" t="str">
        <f>IF(C15&lt;&gt;"",'CALCULATOR SHEET'!H23,"")</f>
        <v>NIÑO B</v>
      </c>
      <c r="O15" s="233">
        <f ca="1">IF(D15&lt;&gt;"",'CALCULATOR SHEET'!I23,"")</f>
        <v>35.5</v>
      </c>
      <c r="P15" s="233">
        <f ca="1">IF(E15&lt;&gt;"",'CALCULATOR SHEET'!J23,"")</f>
        <v>112</v>
      </c>
      <c r="Q15" s="230" t="str">
        <f>IF('CALCULATOR SHEET'!K23=GENERAL!$H$9,GENERAL!$H$9,IF(OR('CALCULATOR SHEET'!K23=GENERAL!$H$6,'CALCULATOR SHEET'!K23=GENERAL!$H$7,'CALCULATOR SHEET'!K23=GENERAL!$H$8),"CCL",""))</f>
        <v>CCL</v>
      </c>
      <c r="R15" s="230" t="str">
        <f>IF(C15&lt;&gt;"",'CALCULATOR SHEET'!M23,"")</f>
        <v>R</v>
      </c>
      <c r="S15" s="230" t="str">
        <f ca="1">IF(D15&lt;&gt;"",'CALCULATOR SHEET'!N23,"")</f>
        <v>INSIDE</v>
      </c>
      <c r="T15" s="232"/>
      <c r="U15" s="246"/>
      <c r="V15" s="246"/>
      <c r="W15" s="230" t="str">
        <f>IF(C15&lt;&gt;"",'CALCULATOR SHEET'!R23,"")</f>
        <v>NO</v>
      </c>
      <c r="X15" s="230"/>
      <c r="Y15" s="230">
        <v>1</v>
      </c>
      <c r="Z15" s="232"/>
      <c r="AA15" s="232" t="str">
        <f>IF(C15&lt;&gt;"",'CALCULATOR SHEET'!$H$9,"")</f>
        <v>BUENOS AIRES TIJUANA</v>
      </c>
      <c r="AB15" s="232"/>
      <c r="AC15" s="232"/>
      <c r="AD15" s="234"/>
      <c r="AE15" s="235"/>
      <c r="AF15" s="162"/>
      <c r="AG15" s="253" t="s">
        <v>480</v>
      </c>
      <c r="AH15" s="253"/>
      <c r="AI15" s="252">
        <v>37</v>
      </c>
      <c r="AJ15" s="252">
        <v>6.25</v>
      </c>
      <c r="AK15" s="252">
        <v>6.25</v>
      </c>
      <c r="AL15" s="252">
        <v>6.25</v>
      </c>
      <c r="AM15" s="252">
        <v>6</v>
      </c>
      <c r="AN15" s="253" t="s">
        <v>477</v>
      </c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>BS 111825EG-3REV1</v>
      </c>
      <c r="D16" s="229">
        <f ca="1">IF('CALCULATOR SHEET'!D24&lt;&gt;"",'CALCULATOR SHEET'!$T$9,"")</f>
        <v>45986</v>
      </c>
      <c r="E16" s="230" t="str">
        <f t="shared" ca="1" si="0"/>
        <v>BAJA SHADES</v>
      </c>
      <c r="F16" s="231" t="str">
        <f>IF(C16&lt;&gt;"",'CALCULATOR SHEET'!$D$9,"")</f>
        <v>SELENE MORA MONEDA NACIONAL</v>
      </c>
      <c r="G16" s="231" t="str">
        <f>IF('CALCULATOR SHEET'!D24&lt;&gt;"",'CALCULATOR SHEET'!D24,"")</f>
        <v>ROLLER</v>
      </c>
      <c r="H16" s="231" t="str">
        <f ca="1">IF(Q16="CCL",BOMS!AG16,"")</f>
        <v>RL-MAN-BSMD</v>
      </c>
      <c r="I16" s="230">
        <v>1</v>
      </c>
      <c r="J16" s="231" t="str">
        <f>IF(C16&lt;&gt;"",'CALCULATOR SHEET'!K24,"")</f>
        <v>METAL CHAIN</v>
      </c>
      <c r="K16" s="231" t="str">
        <f>IF(J16=GENERAL!$H$6,GENERAL!$H$6,IF(J16=GENERAL!$H$7,GENERAL!$H$7,IF('PM-ORDER'!J16=GENERAL!$H$8,GENERAL!$H$8,"")))</f>
        <v>METAL CHAIN</v>
      </c>
      <c r="L16" s="231" t="str">
        <f>IF(C16&lt;&gt;"",'CALCULATOR SHEET'!G24,"")</f>
        <v>SC BASIC WHITE</v>
      </c>
      <c r="M16" s="231" t="str">
        <f>IF(C16&lt;&gt;"",'CALCULATOR SHEET'!O24,"")</f>
        <v>STANDARD ROLL</v>
      </c>
      <c r="N16" s="231" t="str">
        <f>IF(C16&lt;&gt;"",'CALCULATOR SHEET'!H24,"")</f>
        <v>NIÑO B</v>
      </c>
      <c r="O16" s="233">
        <f ca="1">IF(D16&lt;&gt;"",'CALCULATOR SHEET'!I24,"")</f>
        <v>35.5</v>
      </c>
      <c r="P16" s="233">
        <f ca="1">IF(E16&lt;&gt;"",'CALCULATOR SHEET'!J24,"")</f>
        <v>112</v>
      </c>
      <c r="Q16" s="230" t="str">
        <f>IF('CALCULATOR SHEET'!K24=GENERAL!$H$9,GENERAL!$H$9,IF(OR('CALCULATOR SHEET'!K24=GENERAL!$H$6,'CALCULATOR SHEET'!K24=GENERAL!$H$7,'CALCULATOR SHEET'!K24=GENERAL!$H$8),"CCL",""))</f>
        <v>CCL</v>
      </c>
      <c r="R16" s="230" t="str">
        <f>IF(C16&lt;&gt;"",'CALCULATOR SHEET'!M24,"")</f>
        <v>R</v>
      </c>
      <c r="S16" s="230" t="str">
        <f ca="1">IF(D16&lt;&gt;"",'CALCULATOR SHEET'!N24,"")</f>
        <v>INSIDE</v>
      </c>
      <c r="T16" s="232"/>
      <c r="U16" s="246"/>
      <c r="V16" s="246"/>
      <c r="W16" s="230" t="str">
        <f>IF(C16&lt;&gt;"",'CALCULATOR SHEET'!R24,"")</f>
        <v>NO</v>
      </c>
      <c r="X16" s="230"/>
      <c r="Y16" s="230">
        <v>1</v>
      </c>
      <c r="Z16" s="232"/>
      <c r="AA16" s="232" t="str">
        <f>IF(C16&lt;&gt;"",'CALCULATOR SHEET'!$H$9,"")</f>
        <v>BUENOS AIRES TIJUANA</v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>BS 111825EG-3REV1</v>
      </c>
      <c r="D17" s="229">
        <f ca="1">IF('CALCULATOR SHEET'!D25&lt;&gt;"",'CALCULATOR SHEET'!$T$9,"")</f>
        <v>45986</v>
      </c>
      <c r="E17" s="230" t="str">
        <f t="shared" ca="1" si="0"/>
        <v>BAJA SHADES</v>
      </c>
      <c r="F17" s="231" t="str">
        <f>IF(C17&lt;&gt;"",'CALCULATOR SHEET'!$D$9,"")</f>
        <v>SELENE MORA MONEDA NACIONAL</v>
      </c>
      <c r="G17" s="231" t="str">
        <f>IF('CALCULATOR SHEET'!D25&lt;&gt;"",'CALCULATOR SHEET'!D25,"")</f>
        <v>ROLLER</v>
      </c>
      <c r="H17" s="231" t="str">
        <f ca="1">IF(Q17="CCL",BOMS!AG17,"")</f>
        <v>RL-MAN-BSMD</v>
      </c>
      <c r="I17" s="230">
        <v>1</v>
      </c>
      <c r="J17" s="231" t="str">
        <f>IF(C17&lt;&gt;"",'CALCULATOR SHEET'!K25,"")</f>
        <v>METAL CHAIN</v>
      </c>
      <c r="K17" s="231" t="str">
        <f>IF(J17=GENERAL!$H$6,GENERAL!$H$6,IF(J17=GENERAL!$H$7,GENERAL!$H$7,IF('PM-ORDER'!J17=GENERAL!$H$8,GENERAL!$H$8,"")))</f>
        <v>METAL CHAIN</v>
      </c>
      <c r="L17" s="231" t="str">
        <f>IF(C17&lt;&gt;"",'CALCULATOR SHEET'!G25,"")</f>
        <v>BO LONGBEACH SILVER</v>
      </c>
      <c r="M17" s="231" t="str">
        <f>IF(C17&lt;&gt;"",'CALCULATOR SHEET'!O25,"")</f>
        <v>STANDARD ROLL</v>
      </c>
      <c r="N17" s="231" t="str">
        <f>IF(C17&lt;&gt;"",'CALCULATOR SHEET'!H25,"")</f>
        <v>NIÑO C</v>
      </c>
      <c r="O17" s="233">
        <f ca="1">IF(D17&lt;&gt;"",'CALCULATOR SHEET'!I25,"")</f>
        <v>25.5</v>
      </c>
      <c r="P17" s="233">
        <f ca="1">IF(E17&lt;&gt;"",'CALCULATOR SHEET'!J25,"")</f>
        <v>112</v>
      </c>
      <c r="Q17" s="230" t="str">
        <f>IF('CALCULATOR SHEET'!K25=GENERAL!$H$9,GENERAL!$H$9,IF(OR('CALCULATOR SHEET'!K25=GENERAL!$H$6,'CALCULATOR SHEET'!K25=GENERAL!$H$7,'CALCULATOR SHEET'!K25=GENERAL!$H$8),"CCL",""))</f>
        <v>CCL</v>
      </c>
      <c r="R17" s="230" t="str">
        <f>IF(C17&lt;&gt;"",'CALCULATOR SHEET'!M25,"")</f>
        <v>L</v>
      </c>
      <c r="S17" s="230" t="str">
        <f ca="1">IF(D17&lt;&gt;"",'CALCULATOR SHEET'!N25,"")</f>
        <v>INSIDE</v>
      </c>
      <c r="T17" s="232"/>
      <c r="U17" s="246"/>
      <c r="V17" s="246"/>
      <c r="W17" s="230" t="str">
        <f>IF(C17&lt;&gt;"",'CALCULATOR SHEET'!R25,"")</f>
        <v>NO</v>
      </c>
      <c r="X17" s="230"/>
      <c r="Y17" s="230">
        <v>1</v>
      </c>
      <c r="Z17" s="232"/>
      <c r="AA17" s="232" t="str">
        <f>IF(C17&lt;&gt;"",'CALCULATOR SHEET'!$H$9,"")</f>
        <v>BUENOS AIRES TIJUANA</v>
      </c>
      <c r="AB17" s="232"/>
      <c r="AC17" s="232"/>
      <c r="AD17" s="234"/>
      <c r="AE17" s="235"/>
      <c r="AF17" s="162"/>
      <c r="AG17" s="253" t="s">
        <v>481</v>
      </c>
      <c r="AH17" s="253"/>
      <c r="AI17" s="252">
        <v>37</v>
      </c>
      <c r="AJ17" s="252">
        <v>6.25</v>
      </c>
      <c r="AK17" s="252">
        <v>6.25</v>
      </c>
      <c r="AL17" s="252">
        <v>6.25</v>
      </c>
      <c r="AM17" s="252">
        <v>6</v>
      </c>
      <c r="AN17" s="253" t="s">
        <v>477</v>
      </c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>BS 111825EG-3REV1</v>
      </c>
      <c r="D18" s="229">
        <f ca="1">IF('CALCULATOR SHEET'!D26&lt;&gt;"",'CALCULATOR SHEET'!$T$9,"")</f>
        <v>45986</v>
      </c>
      <c r="E18" s="230" t="str">
        <f t="shared" ca="1" si="0"/>
        <v>BAJA SHADES</v>
      </c>
      <c r="F18" s="231" t="str">
        <f>IF(C18&lt;&gt;"",'CALCULATOR SHEET'!$D$9,"")</f>
        <v>SELENE MORA MONEDA NACIONAL</v>
      </c>
      <c r="G18" s="231" t="str">
        <f>IF('CALCULATOR SHEET'!D26&lt;&gt;"",'CALCULATOR SHEET'!D26,"")</f>
        <v>ROLLER</v>
      </c>
      <c r="H18" s="231" t="str">
        <f ca="1">IF(Q18="CCL",BOMS!AG18,"")</f>
        <v>RL-MAN-BSMD</v>
      </c>
      <c r="I18" s="230">
        <v>1</v>
      </c>
      <c r="J18" s="231" t="str">
        <f>IF(C18&lt;&gt;"",'CALCULATOR SHEET'!K26,"")</f>
        <v>METAL CHAIN</v>
      </c>
      <c r="K18" s="231" t="str">
        <f>IF(J18=GENERAL!$H$6,GENERAL!$H$6,IF(J18=GENERAL!$H$7,GENERAL!$H$7,IF('PM-ORDER'!J18=GENERAL!$H$8,GENERAL!$H$8,"")))</f>
        <v>METAL CHAIN</v>
      </c>
      <c r="L18" s="231" t="str">
        <f>IF(C18&lt;&gt;"",'CALCULATOR SHEET'!G26,"")</f>
        <v>SC BASIC WHITE</v>
      </c>
      <c r="M18" s="231" t="str">
        <f>IF(C18&lt;&gt;"",'CALCULATOR SHEET'!O26,"")</f>
        <v>STANDARD ROLL</v>
      </c>
      <c r="N18" s="231" t="str">
        <f>IF(C18&lt;&gt;"",'CALCULATOR SHEET'!H26,"")</f>
        <v>NIÑO C</v>
      </c>
      <c r="O18" s="233">
        <f ca="1">IF(D18&lt;&gt;"",'CALCULATOR SHEET'!I26,"")</f>
        <v>25.5</v>
      </c>
      <c r="P18" s="233">
        <f ca="1">IF(E18&lt;&gt;"",'CALCULATOR SHEET'!J26,"")</f>
        <v>112</v>
      </c>
      <c r="Q18" s="230" t="str">
        <f>IF('CALCULATOR SHEET'!K26=GENERAL!$H$9,GENERAL!$H$9,IF(OR('CALCULATOR SHEET'!K26=GENERAL!$H$6,'CALCULATOR SHEET'!K26=GENERAL!$H$7,'CALCULATOR SHEET'!K26=GENERAL!$H$8),"CCL",""))</f>
        <v>CCL</v>
      </c>
      <c r="R18" s="230" t="str">
        <f>IF(C18&lt;&gt;"",'CALCULATOR SHEET'!M26,"")</f>
        <v>L</v>
      </c>
      <c r="S18" s="230" t="str">
        <f ca="1">IF(D18&lt;&gt;"",'CALCULATOR SHEET'!N26,"")</f>
        <v>INSIDE</v>
      </c>
      <c r="T18" s="232"/>
      <c r="U18" s="246"/>
      <c r="V18" s="246"/>
      <c r="W18" s="230" t="str">
        <f>IF(C18&lt;&gt;"",'CALCULATOR SHEET'!R26,"")</f>
        <v>NO</v>
      </c>
      <c r="X18" s="230"/>
      <c r="Y18" s="230">
        <v>1</v>
      </c>
      <c r="Z18" s="232"/>
      <c r="AA18" s="232" t="str">
        <f>IF(C18&lt;&gt;"",'CALCULATOR SHEET'!$H$9,"")</f>
        <v>BUENOS AIRES TIJUANA</v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>BS 111825EG-3REV1</v>
      </c>
      <c r="D19" s="229">
        <f ca="1">IF('CALCULATOR SHEET'!D27&lt;&gt;"",'CALCULATOR SHEET'!$T$9,"")</f>
        <v>45986</v>
      </c>
      <c r="E19" s="230" t="str">
        <f t="shared" ca="1" si="0"/>
        <v>BAJA SHADES</v>
      </c>
      <c r="F19" s="231" t="str">
        <f>IF(C19&lt;&gt;"",'CALCULATOR SHEET'!$D$9,"")</f>
        <v>SELENE MORA MONEDA NACIONAL</v>
      </c>
      <c r="G19" s="231" t="str">
        <f>IF('CALCULATOR SHEET'!D27&lt;&gt;"",'CALCULATOR SHEET'!D27,"")</f>
        <v>ROLLER</v>
      </c>
      <c r="H19" s="231" t="str">
        <f ca="1">IF(Q19="CCL",BOMS!AG19,"")</f>
        <v>RL-MAN-BSMD</v>
      </c>
      <c r="I19" s="230">
        <v>1</v>
      </c>
      <c r="J19" s="231" t="str">
        <f>IF(C19&lt;&gt;"",'CALCULATOR SHEET'!K27,"")</f>
        <v>METAL CHAIN</v>
      </c>
      <c r="K19" s="231" t="str">
        <f>IF(J19=GENERAL!$H$6,GENERAL!$H$6,IF(J19=GENERAL!$H$7,GENERAL!$H$7,IF('PM-ORDER'!J19=GENERAL!$H$8,GENERAL!$H$8,"")))</f>
        <v>METAL CHAIN</v>
      </c>
      <c r="L19" s="231" t="str">
        <f>IF(C19&lt;&gt;"",'CALCULATOR SHEET'!G27,"")</f>
        <v>BO LONGBEACH SILVER</v>
      </c>
      <c r="M19" s="231" t="str">
        <f>IF(C19&lt;&gt;"",'CALCULATOR SHEET'!O27,"")</f>
        <v>STANDARD ROLL</v>
      </c>
      <c r="N19" s="231" t="str">
        <f>IF(C19&lt;&gt;"",'CALCULATOR SHEET'!H27,"")</f>
        <v>NIÑO D</v>
      </c>
      <c r="O19" s="233">
        <f ca="1">IF(D19&lt;&gt;"",'CALCULATOR SHEET'!I27,"")</f>
        <v>27.5</v>
      </c>
      <c r="P19" s="233">
        <f ca="1">IF(E19&lt;&gt;"",'CALCULATOR SHEET'!J27,"")</f>
        <v>112</v>
      </c>
      <c r="Q19" s="230" t="str">
        <f>IF('CALCULATOR SHEET'!K27=GENERAL!$H$9,GENERAL!$H$9,IF(OR('CALCULATOR SHEET'!K27=GENERAL!$H$6,'CALCULATOR SHEET'!K27=GENERAL!$H$7,'CALCULATOR SHEET'!K27=GENERAL!$H$8),"CCL",""))</f>
        <v>CCL</v>
      </c>
      <c r="R19" s="230" t="str">
        <f>IF(C19&lt;&gt;"",'CALCULATOR SHEET'!M27,"")</f>
        <v>R</v>
      </c>
      <c r="S19" s="230" t="str">
        <f ca="1">IF(D19&lt;&gt;"",'CALCULATOR SHEET'!N27,"")</f>
        <v>INSIDE</v>
      </c>
      <c r="T19" s="232"/>
      <c r="U19" s="246"/>
      <c r="V19" s="246"/>
      <c r="W19" s="230" t="str">
        <f>IF(C19&lt;&gt;"",'CALCULATOR SHEET'!R27,"")</f>
        <v>NO</v>
      </c>
      <c r="X19" s="230"/>
      <c r="Y19" s="230">
        <v>1</v>
      </c>
      <c r="Z19" s="232"/>
      <c r="AA19" s="232" t="str">
        <f>IF(C19&lt;&gt;"",'CALCULATOR SHEET'!$H$9,"")</f>
        <v>BUENOS AIRES TIJUANA</v>
      </c>
      <c r="AB19" s="232"/>
      <c r="AC19" s="232"/>
      <c r="AD19" s="234"/>
      <c r="AE19" s="235"/>
      <c r="AF19" s="162"/>
      <c r="AG19" s="253" t="s">
        <v>482</v>
      </c>
      <c r="AH19" s="253"/>
      <c r="AI19" s="252">
        <v>37</v>
      </c>
      <c r="AJ19" s="252">
        <v>6.25</v>
      </c>
      <c r="AK19" s="252">
        <v>6.25</v>
      </c>
      <c r="AL19" s="252">
        <v>6.25</v>
      </c>
      <c r="AM19" s="252">
        <v>6</v>
      </c>
      <c r="AN19" s="253" t="s">
        <v>477</v>
      </c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>BS 111825EG-3REV1</v>
      </c>
      <c r="D20" s="229">
        <f ca="1">IF('CALCULATOR SHEET'!D28&lt;&gt;"",'CALCULATOR SHEET'!$T$9,"")</f>
        <v>45986</v>
      </c>
      <c r="E20" s="230" t="str">
        <f t="shared" ca="1" si="0"/>
        <v>BAJA SHADES</v>
      </c>
      <c r="F20" s="231" t="str">
        <f>IF(C20&lt;&gt;"",'CALCULATOR SHEET'!$D$9,"")</f>
        <v>SELENE MORA MONEDA NACIONAL</v>
      </c>
      <c r="G20" s="231" t="str">
        <f>IF('CALCULATOR SHEET'!D28&lt;&gt;"",'CALCULATOR SHEET'!D28,"")</f>
        <v>ROLLER</v>
      </c>
      <c r="H20" s="231" t="str">
        <f ca="1">IF(Q20="CCL",BOMS!AG20,"")</f>
        <v>RL-MAN-BSMD</v>
      </c>
      <c r="I20" s="230">
        <v>1</v>
      </c>
      <c r="J20" s="231" t="str">
        <f>IF(C20&lt;&gt;"",'CALCULATOR SHEET'!K28,"")</f>
        <v>METAL CHAIN</v>
      </c>
      <c r="K20" s="231" t="str">
        <f>IF(J20=GENERAL!$H$6,GENERAL!$H$6,IF(J20=GENERAL!$H$7,GENERAL!$H$7,IF('PM-ORDER'!J20=GENERAL!$H$8,GENERAL!$H$8,"")))</f>
        <v>METAL CHAIN</v>
      </c>
      <c r="L20" s="231" t="str">
        <f>IF(C20&lt;&gt;"",'CALCULATOR SHEET'!G28,"")</f>
        <v>SC BASIC WHITE</v>
      </c>
      <c r="M20" s="231" t="str">
        <f>IF(C20&lt;&gt;"",'CALCULATOR SHEET'!O28,"")</f>
        <v>STANDARD ROLL</v>
      </c>
      <c r="N20" s="231" t="str">
        <f>IF(C20&lt;&gt;"",'CALCULATOR SHEET'!H28,"")</f>
        <v>NIÑO D</v>
      </c>
      <c r="O20" s="233">
        <f ca="1">IF(D20&lt;&gt;"",'CALCULATOR SHEET'!I28,"")</f>
        <v>27.5</v>
      </c>
      <c r="P20" s="233">
        <f ca="1">IF(E20&lt;&gt;"",'CALCULATOR SHEET'!J28,"")</f>
        <v>112</v>
      </c>
      <c r="Q20" s="230" t="str">
        <f>IF('CALCULATOR SHEET'!K28=GENERAL!$H$9,GENERAL!$H$9,IF(OR('CALCULATOR SHEET'!K28=GENERAL!$H$6,'CALCULATOR SHEET'!K28=GENERAL!$H$7,'CALCULATOR SHEET'!K28=GENERAL!$H$8),"CCL",""))</f>
        <v>CCL</v>
      </c>
      <c r="R20" s="230" t="str">
        <f>IF(C20&lt;&gt;"",'CALCULATOR SHEET'!M28,"")</f>
        <v>R</v>
      </c>
      <c r="S20" s="230" t="str">
        <f ca="1">IF(D20&lt;&gt;"",'CALCULATOR SHEET'!N28,"")</f>
        <v>INSIDE</v>
      </c>
      <c r="T20" s="232"/>
      <c r="U20" s="246"/>
      <c r="V20" s="246"/>
      <c r="W20" s="230" t="str">
        <f>IF(C20&lt;&gt;"",'CALCULATOR SHEET'!R28,"")</f>
        <v>NO</v>
      </c>
      <c r="X20" s="230"/>
      <c r="Y20" s="230">
        <v>1</v>
      </c>
      <c r="Z20" s="232"/>
      <c r="AA20" s="232" t="str">
        <f>IF(C20&lt;&gt;"",'CALCULATOR SHEET'!$H$9,"")</f>
        <v>BUENOS AIRES TIJUANA</v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>BS 111825EG-3REV1</v>
      </c>
      <c r="D21" s="229">
        <f ca="1">IF('CALCULATOR SHEET'!D29&lt;&gt;"",'CALCULATOR SHEET'!$T$9,"")</f>
        <v>45986</v>
      </c>
      <c r="E21" s="230" t="str">
        <f t="shared" ca="1" si="0"/>
        <v>BAJA SHADES</v>
      </c>
      <c r="F21" s="231" t="str">
        <f>IF(C21&lt;&gt;"",'CALCULATOR SHEET'!$D$9,"")</f>
        <v>SELENE MORA MONEDA NACIONAL</v>
      </c>
      <c r="G21" s="231" t="str">
        <f>IF('CALCULATOR SHEET'!D29&lt;&gt;"",'CALCULATOR SHEET'!D29,"")</f>
        <v>ROLLER</v>
      </c>
      <c r="H21" s="231" t="str">
        <f ca="1">IF(Q21="CCL",BOMS!AG21,"")</f>
        <v>RL-MAN-BSMD</v>
      </c>
      <c r="I21" s="230">
        <v>1</v>
      </c>
      <c r="J21" s="231" t="str">
        <f>IF(C21&lt;&gt;"",'CALCULATOR SHEET'!K29,"")</f>
        <v>METAL CHAIN</v>
      </c>
      <c r="K21" s="231" t="str">
        <f>IF(J21=GENERAL!$H$6,GENERAL!$H$6,IF(J21=GENERAL!$H$7,GENERAL!$H$7,IF('PM-ORDER'!J21=GENERAL!$H$8,GENERAL!$H$8,"")))</f>
        <v>METAL CHAIN</v>
      </c>
      <c r="L21" s="231" t="str">
        <f>IF(C21&lt;&gt;"",'CALCULATOR SHEET'!G29,"")</f>
        <v>BO LONBEACH SAMBA</v>
      </c>
      <c r="M21" s="231" t="str">
        <f>IF(C21&lt;&gt;"",'CALCULATOR SHEET'!O29,"")</f>
        <v>STANDARD ROLL</v>
      </c>
      <c r="N21" s="231" t="str">
        <f>IF(C21&lt;&gt;"",'CALCULATOR SHEET'!H29,"")</f>
        <v>NIÑA A</v>
      </c>
      <c r="O21" s="233">
        <f ca="1">IF(D21&lt;&gt;"",'CALCULATOR SHEET'!I29,"")</f>
        <v>28</v>
      </c>
      <c r="P21" s="233">
        <f ca="1">IF(E21&lt;&gt;"",'CALCULATOR SHEET'!J29,"")</f>
        <v>112</v>
      </c>
      <c r="Q21" s="230" t="str">
        <f>IF('CALCULATOR SHEET'!K29=GENERAL!$H$9,GENERAL!$H$9,IF(OR('CALCULATOR SHEET'!K29=GENERAL!$H$6,'CALCULATOR SHEET'!K29=GENERAL!$H$7,'CALCULATOR SHEET'!K29=GENERAL!$H$8),"CCL",""))</f>
        <v>CCL</v>
      </c>
      <c r="R21" s="230" t="str">
        <f>IF(C21&lt;&gt;"",'CALCULATOR SHEET'!M29,"")</f>
        <v>L</v>
      </c>
      <c r="S21" s="230" t="str">
        <f ca="1">IF(D21&lt;&gt;"",'CALCULATOR SHEET'!N29,"")</f>
        <v>INSIDE</v>
      </c>
      <c r="T21" s="232"/>
      <c r="U21" s="246"/>
      <c r="V21" s="246"/>
      <c r="W21" s="230" t="str">
        <f>IF(C21&lt;&gt;"",'CALCULATOR SHEET'!R29,"")</f>
        <v>NO</v>
      </c>
      <c r="X21" s="230"/>
      <c r="Y21" s="230">
        <v>1</v>
      </c>
      <c r="Z21" s="232"/>
      <c r="AA21" s="232" t="str">
        <f>IF(C21&lt;&gt;"",'CALCULATOR SHEET'!$H$9,"")</f>
        <v>BUENOS AIRES TIJUANA</v>
      </c>
      <c r="AB21" s="232"/>
      <c r="AC21" s="232"/>
      <c r="AD21" s="234"/>
      <c r="AE21" s="235"/>
      <c r="AF21" s="162"/>
      <c r="AG21" s="253" t="s">
        <v>483</v>
      </c>
      <c r="AH21" s="253"/>
      <c r="AI21" s="252">
        <v>30</v>
      </c>
      <c r="AJ21" s="252">
        <v>6.25</v>
      </c>
      <c r="AK21" s="252">
        <v>6.25</v>
      </c>
      <c r="AL21" s="252">
        <v>6.25</v>
      </c>
      <c r="AM21" s="252">
        <v>6</v>
      </c>
      <c r="AN21" s="253" t="s">
        <v>494</v>
      </c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>BS 111825EG-3REV1</v>
      </c>
      <c r="D22" s="229">
        <f ca="1">IF('CALCULATOR SHEET'!D30&lt;&gt;"",'CALCULATOR SHEET'!$T$9,"")</f>
        <v>45986</v>
      </c>
      <c r="E22" s="230" t="str">
        <f t="shared" ca="1" si="0"/>
        <v>BAJA SHADES</v>
      </c>
      <c r="F22" s="231" t="str">
        <f>IF(C22&lt;&gt;"",'CALCULATOR SHEET'!$D$9,"")</f>
        <v>SELENE MORA MONEDA NACIONAL</v>
      </c>
      <c r="G22" s="231" t="str">
        <f>IF('CALCULATOR SHEET'!D30&lt;&gt;"",'CALCULATOR SHEET'!D30,"")</f>
        <v>ROLLER</v>
      </c>
      <c r="H22" s="231" t="str">
        <f ca="1">IF(Q22="CCL",BOMS!AG22,"")</f>
        <v>RL-MAN-BSMD</v>
      </c>
      <c r="I22" s="230">
        <v>1</v>
      </c>
      <c r="J22" s="231" t="str">
        <f>IF(C22&lt;&gt;"",'CALCULATOR SHEET'!K30,"")</f>
        <v>METAL CHAIN</v>
      </c>
      <c r="K22" s="231" t="str">
        <f>IF(J22=GENERAL!$H$6,GENERAL!$H$6,IF(J22=GENERAL!$H$7,GENERAL!$H$7,IF('PM-ORDER'!J22=GENERAL!$H$8,GENERAL!$H$8,"")))</f>
        <v>METAL CHAIN</v>
      </c>
      <c r="L22" s="231" t="str">
        <f>IF(C22&lt;&gt;"",'CALCULATOR SHEET'!G30,"")</f>
        <v>SC BASIC WHITE</v>
      </c>
      <c r="M22" s="231" t="str">
        <f>IF(C22&lt;&gt;"",'CALCULATOR SHEET'!O30,"")</f>
        <v>STANDARD ROLL</v>
      </c>
      <c r="N22" s="231" t="str">
        <f>IF(C22&lt;&gt;"",'CALCULATOR SHEET'!H30,"")</f>
        <v>NIÑA A</v>
      </c>
      <c r="O22" s="233">
        <f ca="1">IF(D22&lt;&gt;"",'CALCULATOR SHEET'!I30,"")</f>
        <v>28</v>
      </c>
      <c r="P22" s="233">
        <f ca="1">IF(E22&lt;&gt;"",'CALCULATOR SHEET'!J30,"")</f>
        <v>112</v>
      </c>
      <c r="Q22" s="230" t="str">
        <f>IF('CALCULATOR SHEET'!K30=GENERAL!$H$9,GENERAL!$H$9,IF(OR('CALCULATOR SHEET'!K30=GENERAL!$H$6,'CALCULATOR SHEET'!K30=GENERAL!$H$7,'CALCULATOR SHEET'!K30=GENERAL!$H$8),"CCL",""))</f>
        <v>CCL</v>
      </c>
      <c r="R22" s="230" t="str">
        <f>IF(C22&lt;&gt;"",'CALCULATOR SHEET'!M30,"")</f>
        <v>L</v>
      </c>
      <c r="S22" s="230" t="str">
        <f ca="1">IF(D22&lt;&gt;"",'CALCULATOR SHEET'!N30,"")</f>
        <v>INSIDE</v>
      </c>
      <c r="T22" s="232"/>
      <c r="U22" s="246"/>
      <c r="V22" s="246"/>
      <c r="W22" s="230" t="str">
        <f>IF(C22&lt;&gt;"",'CALCULATOR SHEET'!R30,"")</f>
        <v>NO</v>
      </c>
      <c r="X22" s="230"/>
      <c r="Y22" s="230">
        <v>1</v>
      </c>
      <c r="Z22" s="232"/>
      <c r="AA22" s="232" t="str">
        <f>IF(C22&lt;&gt;"",'CALCULATOR SHEET'!$H$9,"")</f>
        <v>BUENOS AIRES TIJUANA</v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>BS 111825EG-3REV1</v>
      </c>
      <c r="D23" s="229">
        <f ca="1">IF('CALCULATOR SHEET'!D31&lt;&gt;"",'CALCULATOR SHEET'!$T$9,"")</f>
        <v>45986</v>
      </c>
      <c r="E23" s="230" t="str">
        <f t="shared" ca="1" si="0"/>
        <v>BAJA SHADES</v>
      </c>
      <c r="F23" s="231" t="str">
        <f>IF(C23&lt;&gt;"",'CALCULATOR SHEET'!$D$9,"")</f>
        <v>SELENE MORA MONEDA NACIONAL</v>
      </c>
      <c r="G23" s="231" t="str">
        <f>IF('CALCULATOR SHEET'!D31&lt;&gt;"",'CALCULATOR SHEET'!D31,"")</f>
        <v>ROLLER</v>
      </c>
      <c r="H23" s="231" t="str">
        <f ca="1">IF(Q23="CCL",BOMS!AG23,"")</f>
        <v>RL-MAN-BSMD</v>
      </c>
      <c r="I23" s="230">
        <v>1</v>
      </c>
      <c r="J23" s="231" t="str">
        <f>IF(C23&lt;&gt;"",'CALCULATOR SHEET'!K31,"")</f>
        <v>METAL CHAIN</v>
      </c>
      <c r="K23" s="231" t="str">
        <f>IF(J23=GENERAL!$H$6,GENERAL!$H$6,IF(J23=GENERAL!$H$7,GENERAL!$H$7,IF('PM-ORDER'!J23=GENERAL!$H$8,GENERAL!$H$8,"")))</f>
        <v>METAL CHAIN</v>
      </c>
      <c r="L23" s="231" t="str">
        <f>IF(C23&lt;&gt;"",'CALCULATOR SHEET'!G31,"")</f>
        <v>BO LONBEACH SAMBA</v>
      </c>
      <c r="M23" s="231" t="str">
        <f>IF(C23&lt;&gt;"",'CALCULATOR SHEET'!O31,"")</f>
        <v>STANDARD ROLL</v>
      </c>
      <c r="N23" s="231" t="str">
        <f>IF(C23&lt;&gt;"",'CALCULATOR SHEET'!H31,"")</f>
        <v>NIÑA B</v>
      </c>
      <c r="O23" s="233">
        <f ca="1">IF(D23&lt;&gt;"",'CALCULATOR SHEET'!I31,"")</f>
        <v>26</v>
      </c>
      <c r="P23" s="233">
        <f ca="1">IF(E23&lt;&gt;"",'CALCULATOR SHEET'!J31,"")</f>
        <v>112</v>
      </c>
      <c r="Q23" s="230" t="str">
        <f>IF('CALCULATOR SHEET'!K31=GENERAL!$H$9,GENERAL!$H$9,IF(OR('CALCULATOR SHEET'!K31=GENERAL!$H$6,'CALCULATOR SHEET'!K31=GENERAL!$H$7,'CALCULATOR SHEET'!K31=GENERAL!$H$8),"CCL",""))</f>
        <v>CCL</v>
      </c>
      <c r="R23" s="230" t="str">
        <f>IF(C23&lt;&gt;"",'CALCULATOR SHEET'!M31,"")</f>
        <v>R</v>
      </c>
      <c r="S23" s="230" t="str">
        <f ca="1">IF(D23&lt;&gt;"",'CALCULATOR SHEET'!N31,"")</f>
        <v>INSIDE</v>
      </c>
      <c r="T23" s="232"/>
      <c r="U23" s="246"/>
      <c r="V23" s="246"/>
      <c r="W23" s="230" t="str">
        <f>IF(C23&lt;&gt;"",'CALCULATOR SHEET'!R31,"")</f>
        <v>NO</v>
      </c>
      <c r="X23" s="230"/>
      <c r="Y23" s="230">
        <v>1</v>
      </c>
      <c r="Z23" s="232"/>
      <c r="AA23" s="232" t="str">
        <f>IF(C23&lt;&gt;"",'CALCULATOR SHEET'!$H$9,"")</f>
        <v>BUENOS AIRES TIJUANA</v>
      </c>
      <c r="AB23" s="232"/>
      <c r="AC23" s="232"/>
      <c r="AD23" s="234"/>
      <c r="AE23" s="235"/>
      <c r="AF23" s="162"/>
      <c r="AG23" s="253" t="s">
        <v>484</v>
      </c>
      <c r="AH23" s="253"/>
      <c r="AI23" s="252">
        <v>28</v>
      </c>
      <c r="AJ23" s="252">
        <v>6.25</v>
      </c>
      <c r="AK23" s="252">
        <v>6.25</v>
      </c>
      <c r="AL23" s="252">
        <v>6.25</v>
      </c>
      <c r="AM23" s="252">
        <v>6</v>
      </c>
      <c r="AN23" s="253" t="s">
        <v>494</v>
      </c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>BS 111825EG-3REV1</v>
      </c>
      <c r="D24" s="229">
        <f ca="1">IF('CALCULATOR SHEET'!D32&lt;&gt;"",'CALCULATOR SHEET'!$T$9,"")</f>
        <v>45986</v>
      </c>
      <c r="E24" s="230" t="str">
        <f t="shared" ca="1" si="0"/>
        <v>BAJA SHADES</v>
      </c>
      <c r="F24" s="231" t="str">
        <f>IF(C24&lt;&gt;"",'CALCULATOR SHEET'!$D$9,"")</f>
        <v>SELENE MORA MONEDA NACIONAL</v>
      </c>
      <c r="G24" s="231" t="str">
        <f>IF('CALCULATOR SHEET'!D32&lt;&gt;"",'CALCULATOR SHEET'!D32,"")</f>
        <v>ROLLER</v>
      </c>
      <c r="H24" s="231" t="str">
        <f ca="1">IF(Q24="CCL",BOMS!AG24,"")</f>
        <v>RL-MAN-BSMD</v>
      </c>
      <c r="I24" s="230">
        <v>1</v>
      </c>
      <c r="J24" s="231" t="str">
        <f>IF(C24&lt;&gt;"",'CALCULATOR SHEET'!K32,"")</f>
        <v>METAL CHAIN</v>
      </c>
      <c r="K24" s="231" t="str">
        <f>IF(J24=GENERAL!$H$6,GENERAL!$H$6,IF(J24=GENERAL!$H$7,GENERAL!$H$7,IF('PM-ORDER'!J24=GENERAL!$H$8,GENERAL!$H$8,"")))</f>
        <v>METAL CHAIN</v>
      </c>
      <c r="L24" s="231" t="str">
        <f>IF(C24&lt;&gt;"",'CALCULATOR SHEET'!G32,"")</f>
        <v>SC BASIC WHITE</v>
      </c>
      <c r="M24" s="231" t="str">
        <f>IF(C24&lt;&gt;"",'CALCULATOR SHEET'!O32,"")</f>
        <v>STANDARD ROLL</v>
      </c>
      <c r="N24" s="231" t="str">
        <f>IF(C24&lt;&gt;"",'CALCULATOR SHEET'!H32,"")</f>
        <v>NIÑA B</v>
      </c>
      <c r="O24" s="233">
        <f ca="1">IF(D24&lt;&gt;"",'CALCULATOR SHEET'!I32,"")</f>
        <v>26</v>
      </c>
      <c r="P24" s="233">
        <f ca="1">IF(E24&lt;&gt;"",'CALCULATOR SHEET'!J32,"")</f>
        <v>112</v>
      </c>
      <c r="Q24" s="230" t="str">
        <f>IF('CALCULATOR SHEET'!K32=GENERAL!$H$9,GENERAL!$H$9,IF(OR('CALCULATOR SHEET'!K32=GENERAL!$H$6,'CALCULATOR SHEET'!K32=GENERAL!$H$7,'CALCULATOR SHEET'!K32=GENERAL!$H$8),"CCL",""))</f>
        <v>CCL</v>
      </c>
      <c r="R24" s="230" t="str">
        <f>IF(C24&lt;&gt;"",'CALCULATOR SHEET'!M32,"")</f>
        <v>R</v>
      </c>
      <c r="S24" s="230" t="str">
        <f ca="1">IF(D24&lt;&gt;"",'CALCULATOR SHEET'!N32,"")</f>
        <v>INSIDE</v>
      </c>
      <c r="T24" s="232"/>
      <c r="U24" s="246"/>
      <c r="V24" s="246"/>
      <c r="W24" s="230" t="str">
        <f>IF(C24&lt;&gt;"",'CALCULATOR SHEET'!R32,"")</f>
        <v>NO</v>
      </c>
      <c r="X24" s="230"/>
      <c r="Y24" s="230">
        <v>1</v>
      </c>
      <c r="Z24" s="232"/>
      <c r="AA24" s="232" t="str">
        <f>IF(C24&lt;&gt;"",'CALCULATOR SHEET'!$H$9,"")</f>
        <v>BUENOS AIRES TIJUANA</v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>BS 111825EG-3REV1</v>
      </c>
      <c r="D25" s="229">
        <f ca="1">IF('CALCULATOR SHEET'!D33&lt;&gt;"",'CALCULATOR SHEET'!$T$9,"")</f>
        <v>45986</v>
      </c>
      <c r="E25" s="230" t="str">
        <f t="shared" ca="1" si="0"/>
        <v>BAJA SHADES</v>
      </c>
      <c r="F25" s="231" t="str">
        <f>IF(C25&lt;&gt;"",'CALCULATOR SHEET'!$D$9,"")</f>
        <v>SELENE MORA MONEDA NACIONAL</v>
      </c>
      <c r="G25" s="231" t="str">
        <f>IF('CALCULATOR SHEET'!D33&lt;&gt;"",'CALCULATOR SHEET'!D33,"")</f>
        <v>ROLLER</v>
      </c>
      <c r="H25" s="231" t="str">
        <f ca="1">IF(Q25="CCL",BOMS!AG25,"")</f>
        <v>RL-MAN-BSMD</v>
      </c>
      <c r="I25" s="230">
        <v>1</v>
      </c>
      <c r="J25" s="231" t="str">
        <f>IF(C25&lt;&gt;"",'CALCULATOR SHEET'!K33,"")</f>
        <v>METAL CHAIN</v>
      </c>
      <c r="K25" s="231" t="str">
        <f>IF(J25=GENERAL!$H$6,GENERAL!$H$6,IF(J25=GENERAL!$H$7,GENERAL!$H$7,IF('PM-ORDER'!J25=GENERAL!$H$8,GENERAL!$H$8,"")))</f>
        <v>METAL CHAIN</v>
      </c>
      <c r="L25" s="231" t="str">
        <f>IF(C25&lt;&gt;"",'CALCULATOR SHEET'!G33,"")</f>
        <v>SC BASIC WHITE</v>
      </c>
      <c r="M25" s="231" t="str">
        <f>IF(C25&lt;&gt;"",'CALCULATOR SHEET'!O33,"")</f>
        <v>STANDARD ROLL</v>
      </c>
      <c r="N25" s="231" t="str">
        <f>IF(C25&lt;&gt;"",'CALCULATOR SHEET'!H33,"")</f>
        <v>REC PRINCIPAL A</v>
      </c>
      <c r="O25" s="233">
        <f ca="1">IF(D25&lt;&gt;"",'CALCULATOR SHEET'!I33,"")</f>
        <v>52</v>
      </c>
      <c r="P25" s="233">
        <f ca="1">IF(E25&lt;&gt;"",'CALCULATOR SHEET'!J33,"")</f>
        <v>112.5</v>
      </c>
      <c r="Q25" s="230" t="str">
        <f>IF('CALCULATOR SHEET'!K33=GENERAL!$H$9,GENERAL!$H$9,IF(OR('CALCULATOR SHEET'!K33=GENERAL!$H$6,'CALCULATOR SHEET'!K33=GENERAL!$H$7,'CALCULATOR SHEET'!K33=GENERAL!$H$8),"CCL",""))</f>
        <v>CCL</v>
      </c>
      <c r="R25" s="230" t="str">
        <f>IF(C25&lt;&gt;"",'CALCULATOR SHEET'!M33,"")</f>
        <v>L</v>
      </c>
      <c r="S25" s="230" t="str">
        <f ca="1">IF(D25&lt;&gt;"",'CALCULATOR SHEET'!N33,"")</f>
        <v>INSIDE</v>
      </c>
      <c r="T25" s="232"/>
      <c r="U25" s="246"/>
      <c r="V25" s="246"/>
      <c r="W25" s="230" t="str">
        <f>IF(C25&lt;&gt;"",'CALCULATOR SHEET'!R33,"")</f>
        <v>NO</v>
      </c>
      <c r="X25" s="230"/>
      <c r="Y25" s="230">
        <v>1</v>
      </c>
      <c r="Z25" s="232"/>
      <c r="AA25" s="232" t="str">
        <f>IF(C25&lt;&gt;"",'CALCULATOR SHEET'!$H$9,"")</f>
        <v>BUENOS AIRES TIJUANA</v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>BS 111825EG-3REV1</v>
      </c>
      <c r="D26" s="229">
        <f ca="1">IF('CALCULATOR SHEET'!D34&lt;&gt;"",'CALCULATOR SHEET'!$T$9,"")</f>
        <v>45986</v>
      </c>
      <c r="E26" s="230" t="str">
        <f t="shared" ca="1" si="0"/>
        <v>BAJA SHADES</v>
      </c>
      <c r="F26" s="231" t="str">
        <f>IF(C26&lt;&gt;"",'CALCULATOR SHEET'!$D$9,"")</f>
        <v>SELENE MORA MONEDA NACIONAL</v>
      </c>
      <c r="G26" s="231" t="str">
        <f>IF('CALCULATOR SHEET'!D34&lt;&gt;"",'CALCULATOR SHEET'!D34,"")</f>
        <v>ROLLER</v>
      </c>
      <c r="H26" s="231" t="str">
        <f ca="1">IF(Q26="CCL",BOMS!AG26,"")</f>
        <v>RL-MAN-BSMD</v>
      </c>
      <c r="I26" s="230">
        <v>1</v>
      </c>
      <c r="J26" s="231" t="str">
        <f>IF(C26&lt;&gt;"",'CALCULATOR SHEET'!K34,"")</f>
        <v>METAL CHAIN</v>
      </c>
      <c r="K26" s="231" t="str">
        <f>IF(J26=GENERAL!$H$6,GENERAL!$H$6,IF(J26=GENERAL!$H$7,GENERAL!$H$7,IF('PM-ORDER'!J26=GENERAL!$H$8,GENERAL!$H$8,"")))</f>
        <v>METAL CHAIN</v>
      </c>
      <c r="L26" s="231" t="str">
        <f>IF(C26&lt;&gt;"",'CALCULATOR SHEET'!G34,"")</f>
        <v>SC BASIC WHITE</v>
      </c>
      <c r="M26" s="231" t="str">
        <f>IF(C26&lt;&gt;"",'CALCULATOR SHEET'!O34,"")</f>
        <v>STANDARD ROLL</v>
      </c>
      <c r="N26" s="231" t="str">
        <f>IF(C26&lt;&gt;"",'CALCULATOR SHEET'!H34,"")</f>
        <v>REC PRINCIPAL B</v>
      </c>
      <c r="O26" s="233">
        <f ca="1">IF(D26&lt;&gt;"",'CALCULATOR SHEET'!I34,"")</f>
        <v>52.25</v>
      </c>
      <c r="P26" s="233">
        <f ca="1">IF(E26&lt;&gt;"",'CALCULATOR SHEET'!J34,"")</f>
        <v>112.5</v>
      </c>
      <c r="Q26" s="230" t="str">
        <f>IF('CALCULATOR SHEET'!K34=GENERAL!$H$9,GENERAL!$H$9,IF(OR('CALCULATOR SHEET'!K34=GENERAL!$H$6,'CALCULATOR SHEET'!K34=GENERAL!$H$7,'CALCULATOR SHEET'!K34=GENERAL!$H$8),"CCL",""))</f>
        <v>CCL</v>
      </c>
      <c r="R26" s="230" t="str">
        <f>IF(C26&lt;&gt;"",'CALCULATOR SHEET'!M34,"")</f>
        <v>R</v>
      </c>
      <c r="S26" s="230" t="str">
        <f ca="1">IF(D26&lt;&gt;"",'CALCULATOR SHEET'!N34,"")</f>
        <v>INSIDE</v>
      </c>
      <c r="T26" s="232"/>
      <c r="U26" s="246"/>
      <c r="V26" s="246"/>
      <c r="W26" s="230" t="str">
        <f>IF(C26&lt;&gt;"",'CALCULATOR SHEET'!R34,"")</f>
        <v>NO</v>
      </c>
      <c r="X26" s="230"/>
      <c r="Y26" s="230">
        <v>1</v>
      </c>
      <c r="Z26" s="232"/>
      <c r="AA26" s="232" t="str">
        <f>IF(C26&lt;&gt;"",'CALCULATOR SHEET'!$H$9,"")</f>
        <v>BUENOS AIRES TIJUANA</v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>BS 111825EG-3REV1</v>
      </c>
      <c r="D27" s="229">
        <f ca="1">IF('CALCULATOR SHEET'!D35&lt;&gt;"",'CALCULATOR SHEET'!$T$9,"")</f>
        <v>45986</v>
      </c>
      <c r="E27" s="230" t="str">
        <f t="shared" ca="1" si="0"/>
        <v>BAJA SHADES</v>
      </c>
      <c r="F27" s="231" t="str">
        <f>IF(C27&lt;&gt;"",'CALCULATOR SHEET'!$D$9,"")</f>
        <v>SELENE MORA MONEDA NACIONAL</v>
      </c>
      <c r="G27" s="231" t="str">
        <f>IF('CALCULATOR SHEET'!D35&lt;&gt;"",'CALCULATOR SHEET'!D35,"")</f>
        <v>ROLLER</v>
      </c>
      <c r="H27" s="231" t="str">
        <f ca="1">IF(Q27="CCL",BOMS!AG27,"")</f>
        <v>RL-MAN-BSMD</v>
      </c>
      <c r="I27" s="230">
        <v>1</v>
      </c>
      <c r="J27" s="231" t="str">
        <f>IF(C27&lt;&gt;"",'CALCULATOR SHEET'!K35,"")</f>
        <v>METAL CHAIN</v>
      </c>
      <c r="K27" s="231" t="str">
        <f>IF(J27=GENERAL!$H$6,GENERAL!$H$6,IF(J27=GENERAL!$H$7,GENERAL!$H$7,IF('PM-ORDER'!J27=GENERAL!$H$8,GENERAL!$H$8,"")))</f>
        <v>METAL CHAIN</v>
      </c>
      <c r="L27" s="231" t="str">
        <f>IF(C27&lt;&gt;"",'CALCULATOR SHEET'!G35,"")</f>
        <v>SC BASIC WHITE</v>
      </c>
      <c r="M27" s="231" t="str">
        <f>IF(C27&lt;&gt;"",'CALCULATOR SHEET'!O35,"")</f>
        <v>STANDARD ROLL</v>
      </c>
      <c r="N27" s="231" t="str">
        <f>IF(C27&lt;&gt;"",'CALCULATOR SHEET'!H35,"")</f>
        <v>REC PRINCIPAL C</v>
      </c>
      <c r="O27" s="233">
        <f ca="1">IF(D27&lt;&gt;"",'CALCULATOR SHEET'!I35,"")</f>
        <v>56</v>
      </c>
      <c r="P27" s="233">
        <f ca="1">IF(E27&lt;&gt;"",'CALCULATOR SHEET'!J35,"")</f>
        <v>112.5</v>
      </c>
      <c r="Q27" s="230" t="str">
        <f>IF('CALCULATOR SHEET'!K35=GENERAL!$H$9,GENERAL!$H$9,IF(OR('CALCULATOR SHEET'!K35=GENERAL!$H$6,'CALCULATOR SHEET'!K35=GENERAL!$H$7,'CALCULATOR SHEET'!K35=GENERAL!$H$8),"CCL",""))</f>
        <v>CCL</v>
      </c>
      <c r="R27" s="230" t="str">
        <f>IF(C27&lt;&gt;"",'CALCULATOR SHEET'!M35,"")</f>
        <v>L</v>
      </c>
      <c r="S27" s="230" t="str">
        <f ca="1">IF(D27&lt;&gt;"",'CALCULATOR SHEET'!N35,"")</f>
        <v>INSIDE</v>
      </c>
      <c r="T27" s="232"/>
      <c r="U27" s="246"/>
      <c r="V27" s="246"/>
      <c r="W27" s="230" t="str">
        <f>IF(C27&lt;&gt;"",'CALCULATOR SHEET'!R35,"")</f>
        <v>NO</v>
      </c>
      <c r="X27" s="230"/>
      <c r="Y27" s="230">
        <v>1</v>
      </c>
      <c r="Z27" s="232"/>
      <c r="AA27" s="232" t="str">
        <f>IF(C27&lt;&gt;"",'CALCULATOR SHEET'!$H$9,"")</f>
        <v>BUENOS AIRES TIJUANA</v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>BS 111825EG-3REV1</v>
      </c>
      <c r="D28" s="229">
        <f ca="1">IF('CALCULATOR SHEET'!D36&lt;&gt;"",'CALCULATOR SHEET'!$T$9,"")</f>
        <v>45986</v>
      </c>
      <c r="E28" s="230" t="str">
        <f t="shared" ca="1" si="0"/>
        <v>BAJA SHADES</v>
      </c>
      <c r="F28" s="231" t="str">
        <f>IF(C28&lt;&gt;"",'CALCULATOR SHEET'!$D$9,"")</f>
        <v>SELENE MORA MONEDA NACIONAL</v>
      </c>
      <c r="G28" s="231" t="str">
        <f>IF('CALCULATOR SHEET'!D36&lt;&gt;"",'CALCULATOR SHEET'!D36,"")</f>
        <v>ROLLER</v>
      </c>
      <c r="H28" s="231" t="str">
        <f ca="1">IF(Q28="CCL",BOMS!AG28,"")</f>
        <v>RL-MAN-BSMD</v>
      </c>
      <c r="I28" s="230">
        <v>1</v>
      </c>
      <c r="J28" s="231" t="str">
        <f>IF(C28&lt;&gt;"",'CALCULATOR SHEET'!K36,"")</f>
        <v>METAL CHAIN</v>
      </c>
      <c r="K28" s="231" t="str">
        <f>IF(J28=GENERAL!$H$6,GENERAL!$H$6,IF(J28=GENERAL!$H$7,GENERAL!$H$7,IF('PM-ORDER'!J28=GENERAL!$H$8,GENERAL!$H$8,"")))</f>
        <v>METAL CHAIN</v>
      </c>
      <c r="L28" s="231" t="str">
        <f>IF(C28&lt;&gt;"",'CALCULATOR SHEET'!G36,"")</f>
        <v>SC BASIC WHITE</v>
      </c>
      <c r="M28" s="231" t="str">
        <f>IF(C28&lt;&gt;"",'CALCULATOR SHEET'!O36,"")</f>
        <v>STANDARD ROLL</v>
      </c>
      <c r="N28" s="231" t="str">
        <f>IF(C28&lt;&gt;"",'CALCULATOR SHEET'!H36,"")</f>
        <v>REC PRINCIPAL D</v>
      </c>
      <c r="O28" s="233">
        <f ca="1">IF(D28&lt;&gt;"",'CALCULATOR SHEET'!I36,"")</f>
        <v>51.25</v>
      </c>
      <c r="P28" s="233">
        <f ca="1">IF(E28&lt;&gt;"",'CALCULATOR SHEET'!J36,"")</f>
        <v>112.5</v>
      </c>
      <c r="Q28" s="230" t="str">
        <f>IF('CALCULATOR SHEET'!K36=GENERAL!$H$9,GENERAL!$H$9,IF(OR('CALCULATOR SHEET'!K36=GENERAL!$H$6,'CALCULATOR SHEET'!K36=GENERAL!$H$7,'CALCULATOR SHEET'!K36=GENERAL!$H$8),"CCL",""))</f>
        <v>CCL</v>
      </c>
      <c r="R28" s="230" t="str">
        <f>IF(C28&lt;&gt;"",'CALCULATOR SHEET'!M36,"")</f>
        <v>R</v>
      </c>
      <c r="S28" s="230" t="str">
        <f ca="1">IF(D28&lt;&gt;"",'CALCULATOR SHEET'!N36,"")</f>
        <v>INSIDE</v>
      </c>
      <c r="T28" s="232"/>
      <c r="U28" s="246"/>
      <c r="V28" s="246"/>
      <c r="W28" s="230" t="str">
        <f>IF(C28&lt;&gt;"",'CALCULATOR SHEET'!R36,"")</f>
        <v>NO</v>
      </c>
      <c r="X28" s="230"/>
      <c r="Y28" s="230">
        <v>1</v>
      </c>
      <c r="Z28" s="232"/>
      <c r="AA28" s="232" t="str">
        <f>IF(C28&lt;&gt;"",'CALCULATOR SHEET'!$H$9,"")</f>
        <v>BUENOS AIRES TIJUANA</v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2" t="s">
        <v>104</v>
      </c>
      <c r="D2" s="382"/>
      <c r="F2" s="382" t="s">
        <v>89</v>
      </c>
      <c r="G2" s="382"/>
      <c r="I2" s="382" t="s">
        <v>93</v>
      </c>
      <c r="J2" s="382"/>
    </row>
    <row r="3" spans="3:10">
      <c r="C3" s="382"/>
      <c r="D3" s="382"/>
      <c r="F3" s="382"/>
      <c r="G3" s="382"/>
      <c r="I3" s="382"/>
      <c r="J3" s="382"/>
    </row>
    <row r="4" spans="3:10">
      <c r="C4" s="382"/>
      <c r="D4" s="382"/>
      <c r="F4" s="382"/>
      <c r="G4" s="382"/>
      <c r="I4" s="382"/>
      <c r="J4" s="382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4" t="s">
        <v>60</v>
      </c>
      <c r="BC4" s="384"/>
      <c r="BD4" s="384"/>
      <c r="BE4" s="384"/>
      <c r="BF4" s="384"/>
      <c r="BG4" s="384"/>
      <c r="BH4" s="384"/>
      <c r="BI4" s="384"/>
      <c r="BJ4" s="384"/>
      <c r="BK4" s="384"/>
      <c r="BL4" s="384"/>
      <c r="BM4" s="384"/>
      <c r="BN4" s="384"/>
      <c r="BO4" s="384"/>
      <c r="BP4" s="384"/>
      <c r="BQ4" s="384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47</v>
      </c>
      <c r="AK7" s="36">
        <f>'CALCULATOR SHEET'!J13</f>
        <v>116</v>
      </c>
      <c r="AL7" s="36">
        <f>IF(AJ7=0,"",MATCH(CEILING(AJ7,6),$D$4:$Z$4,0))</f>
        <v>5</v>
      </c>
      <c r="AM7" s="36">
        <f>IF(AK7=0,"",MATCH(CEILING(AK7,6),$C$7:$C$28,0))</f>
        <v>17</v>
      </c>
      <c r="AN7" s="57">
        <f>IF(AL7="","",INDEX($D$7:$Z$28,AM7,AL7))</f>
        <v>158</v>
      </c>
      <c r="AO7" s="58"/>
      <c r="AP7" s="57">
        <f>IF(AJ7&gt;0,HLOOKUP(CEILING(AJ7,6),$D$30:$Z$31,2,0),"")</f>
        <v>62</v>
      </c>
      <c r="AQ7" s="57">
        <f>IF(AJ7&gt;0,HLOOKUP(CEILING(AJ7,6),$D$33:$Z$34,2,0),"")</f>
        <v>56</v>
      </c>
      <c r="AR7" s="59">
        <f>IF(AJ7&gt;0,HLOOKUP(CEILING(AJ7,6),$D$36:$Z$37,2,0))</f>
        <v>30</v>
      </c>
      <c r="AS7" s="57">
        <f>IF(AL7="","",INDEX($AX$6:$BT$27,AM7,AL7))</f>
        <v>550</v>
      </c>
      <c r="AT7" s="37">
        <f>IF(AK7&gt;0,VLOOKUP(CEILING(AK7,6),$AA$7:$AB$28,2,0),"")</f>
        <v>100</v>
      </c>
      <c r="AU7" s="109">
        <f>IF(AK7&gt;0,VLOOKUP(CEILING(AK7,6),$AA$7:$AC$28,3,0),"")</f>
        <v>13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40.5</v>
      </c>
      <c r="AK8" s="36">
        <f>'CALCULATOR SHEET'!J14</f>
        <v>116</v>
      </c>
      <c r="AL8" s="36">
        <f t="shared" ref="AL8:AL71" si="0">IF(AJ8=0,"",MATCH(CEILING(AJ8,6),$D$4:$Z$4,0))</f>
        <v>4</v>
      </c>
      <c r="AM8" s="36">
        <f t="shared" ref="AM8:AM71" si="1">IF(AK8=0,"",MATCH(CEILING(AK8,6),$C$7:$C$28,0))</f>
        <v>17</v>
      </c>
      <c r="AN8" s="57">
        <f t="shared" ref="AN8:AN71" si="2">IF(AL8="","",INDEX($D$7:$Z$28,AM8,AL8))</f>
        <v>146</v>
      </c>
      <c r="AO8" s="58"/>
      <c r="AP8" s="57">
        <f t="shared" ref="AP8:AP71" si="3">IF(AJ8&gt;0,HLOOKUP(CEILING(AJ8,6),$D$30:$Z$31,2,0),"")</f>
        <v>59</v>
      </c>
      <c r="AQ8" s="57">
        <f t="shared" ref="AQ8:AQ71" si="4">IF(AJ8&gt;0,HLOOKUP(CEILING(AJ8,6),$D$33:$Z$34,2,0),"")</f>
        <v>50</v>
      </c>
      <c r="AR8" s="59">
        <f t="shared" ref="AR8:AR71" si="5">IF(AJ8&gt;0,HLOOKUP(CEILING(AJ8,6),$D$36:$Z$37,2,0))</f>
        <v>26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100</v>
      </c>
      <c r="AU8" s="109">
        <f t="shared" ref="AU8:AU71" si="8">IF(AK8&gt;0,VLOOKUP(CEILING(AK8,6),$AA$7:$AC$28,3,0),"")</f>
        <v>13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47</v>
      </c>
      <c r="AK9" s="36">
        <f>'CALCULATOR SHEET'!J15</f>
        <v>116</v>
      </c>
      <c r="AL9" s="36">
        <f t="shared" si="0"/>
        <v>5</v>
      </c>
      <c r="AM9" s="36">
        <f t="shared" si="1"/>
        <v>17</v>
      </c>
      <c r="AN9" s="57">
        <f t="shared" si="2"/>
        <v>158</v>
      </c>
      <c r="AO9" s="58"/>
      <c r="AP9" s="57">
        <f t="shared" si="3"/>
        <v>62</v>
      </c>
      <c r="AQ9" s="57">
        <f t="shared" si="4"/>
        <v>56</v>
      </c>
      <c r="AR9" s="59">
        <f t="shared" si="5"/>
        <v>30</v>
      </c>
      <c r="AS9" s="57">
        <f t="shared" si="6"/>
        <v>550</v>
      </c>
      <c r="AT9" s="37">
        <f t="shared" si="7"/>
        <v>100</v>
      </c>
      <c r="AU9" s="109">
        <f t="shared" si="8"/>
        <v>13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36</v>
      </c>
      <c r="AK10" s="36">
        <f>'CALCULATOR SHEET'!J16</f>
        <v>117.5</v>
      </c>
      <c r="AL10" s="36">
        <f t="shared" si="0"/>
        <v>3</v>
      </c>
      <c r="AM10" s="36">
        <f t="shared" si="1"/>
        <v>17</v>
      </c>
      <c r="AN10" s="57">
        <f t="shared" si="2"/>
        <v>134</v>
      </c>
      <c r="AO10" s="58"/>
      <c r="AP10" s="57">
        <f t="shared" si="3"/>
        <v>57</v>
      </c>
      <c r="AQ10" s="57">
        <f t="shared" si="4"/>
        <v>45</v>
      </c>
      <c r="AR10" s="59">
        <f t="shared" si="5"/>
        <v>22</v>
      </c>
      <c r="AS10" s="57">
        <f t="shared" si="6"/>
        <v>550</v>
      </c>
      <c r="AT10" s="37">
        <f t="shared" si="7"/>
        <v>100</v>
      </c>
      <c r="AU10" s="109">
        <f t="shared" si="8"/>
        <v>13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32.5</v>
      </c>
      <c r="AK11" s="36">
        <f>'CALCULATOR SHEET'!J17</f>
        <v>117.5</v>
      </c>
      <c r="AL11" s="36">
        <f t="shared" si="0"/>
        <v>3</v>
      </c>
      <c r="AM11" s="36">
        <f t="shared" si="1"/>
        <v>17</v>
      </c>
      <c r="AN11" s="57">
        <f t="shared" si="2"/>
        <v>134</v>
      </c>
      <c r="AO11" s="58"/>
      <c r="AP11" s="57">
        <f t="shared" si="3"/>
        <v>57</v>
      </c>
      <c r="AQ11" s="57">
        <f t="shared" si="4"/>
        <v>45</v>
      </c>
      <c r="AR11" s="59">
        <f t="shared" si="5"/>
        <v>22</v>
      </c>
      <c r="AS11" s="57">
        <f t="shared" si="6"/>
        <v>550</v>
      </c>
      <c r="AT11" s="37">
        <f t="shared" si="7"/>
        <v>100</v>
      </c>
      <c r="AU11" s="109">
        <f t="shared" si="8"/>
        <v>13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39.5</v>
      </c>
      <c r="AK12" s="36">
        <f>'CALCULATOR SHEET'!J18</f>
        <v>117.5</v>
      </c>
      <c r="AL12" s="36">
        <f t="shared" si="0"/>
        <v>4</v>
      </c>
      <c r="AM12" s="36">
        <f t="shared" si="1"/>
        <v>17</v>
      </c>
      <c r="AN12" s="57">
        <f t="shared" si="2"/>
        <v>146</v>
      </c>
      <c r="AO12" s="58"/>
      <c r="AP12" s="57">
        <f t="shared" si="3"/>
        <v>59</v>
      </c>
      <c r="AQ12" s="57">
        <f t="shared" si="4"/>
        <v>50</v>
      </c>
      <c r="AR12" s="59">
        <f t="shared" si="5"/>
        <v>26</v>
      </c>
      <c r="AS12" s="57">
        <f t="shared" si="6"/>
        <v>550</v>
      </c>
      <c r="AT12" s="37">
        <f t="shared" si="7"/>
        <v>100</v>
      </c>
      <c r="AU12" s="109">
        <f t="shared" si="8"/>
        <v>13</v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28.5</v>
      </c>
      <c r="AK13" s="36">
        <f>'CALCULATOR SHEET'!J19</f>
        <v>112.5</v>
      </c>
      <c r="AL13" s="36">
        <f t="shared" si="0"/>
        <v>2</v>
      </c>
      <c r="AM13" s="36">
        <f t="shared" si="1"/>
        <v>16</v>
      </c>
      <c r="AN13" s="57">
        <f t="shared" si="2"/>
        <v>117</v>
      </c>
      <c r="AO13" s="58"/>
      <c r="AP13" s="57">
        <f t="shared" si="3"/>
        <v>54</v>
      </c>
      <c r="AQ13" s="57">
        <f t="shared" si="4"/>
        <v>40</v>
      </c>
      <c r="AR13" s="59">
        <f t="shared" si="5"/>
        <v>19</v>
      </c>
      <c r="AS13" s="57">
        <f t="shared" si="6"/>
        <v>550</v>
      </c>
      <c r="AT13" s="37">
        <f t="shared" si="7"/>
        <v>95</v>
      </c>
      <c r="AU13" s="109">
        <f t="shared" si="8"/>
        <v>13</v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58</v>
      </c>
      <c r="AK14" s="36">
        <f>'CALCULATOR SHEET'!J20</f>
        <v>112.5</v>
      </c>
      <c r="AL14" s="36">
        <f t="shared" si="0"/>
        <v>7</v>
      </c>
      <c r="AM14" s="36">
        <f t="shared" si="1"/>
        <v>16</v>
      </c>
      <c r="AN14" s="57">
        <f t="shared" si="2"/>
        <v>177</v>
      </c>
      <c r="AO14" s="58"/>
      <c r="AP14" s="57">
        <f t="shared" si="3"/>
        <v>68</v>
      </c>
      <c r="AQ14" s="57">
        <f t="shared" si="4"/>
        <v>70</v>
      </c>
      <c r="AR14" s="59">
        <f t="shared" si="5"/>
        <v>37</v>
      </c>
      <c r="AS14" s="57">
        <f t="shared" si="6"/>
        <v>550</v>
      </c>
      <c r="AT14" s="37">
        <f t="shared" si="7"/>
        <v>95</v>
      </c>
      <c r="AU14" s="109">
        <f t="shared" si="8"/>
        <v>13</v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35.5</v>
      </c>
      <c r="AK15" s="36">
        <f>'CALCULATOR SHEET'!J21</f>
        <v>112</v>
      </c>
      <c r="AL15" s="36">
        <f t="shared" si="0"/>
        <v>3</v>
      </c>
      <c r="AM15" s="36">
        <f t="shared" si="1"/>
        <v>16</v>
      </c>
      <c r="AN15" s="57">
        <f t="shared" si="2"/>
        <v>131</v>
      </c>
      <c r="AO15" s="58"/>
      <c r="AP15" s="57">
        <f t="shared" si="3"/>
        <v>57</v>
      </c>
      <c r="AQ15" s="57">
        <f t="shared" si="4"/>
        <v>45</v>
      </c>
      <c r="AR15" s="59">
        <f t="shared" si="5"/>
        <v>22</v>
      </c>
      <c r="AS15" s="57">
        <f t="shared" si="6"/>
        <v>550</v>
      </c>
      <c r="AT15" s="37">
        <f t="shared" si="7"/>
        <v>95</v>
      </c>
      <c r="AU15" s="109">
        <f t="shared" si="8"/>
        <v>13</v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35.5</v>
      </c>
      <c r="AK16" s="36">
        <f>'CALCULATOR SHEET'!J22</f>
        <v>112</v>
      </c>
      <c r="AL16" s="36">
        <f t="shared" si="0"/>
        <v>3</v>
      </c>
      <c r="AM16" s="36">
        <f t="shared" si="1"/>
        <v>16</v>
      </c>
      <c r="AN16" s="57">
        <f t="shared" si="2"/>
        <v>131</v>
      </c>
      <c r="AO16" s="58"/>
      <c r="AP16" s="57">
        <f t="shared" si="3"/>
        <v>57</v>
      </c>
      <c r="AQ16" s="57">
        <f t="shared" si="4"/>
        <v>45</v>
      </c>
      <c r="AR16" s="59">
        <f t="shared" si="5"/>
        <v>22</v>
      </c>
      <c r="AS16" s="57">
        <f t="shared" si="6"/>
        <v>550</v>
      </c>
      <c r="AT16" s="37">
        <f t="shared" si="7"/>
        <v>95</v>
      </c>
      <c r="AU16" s="109">
        <f t="shared" si="8"/>
        <v>13</v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35.5</v>
      </c>
      <c r="AK17" s="36">
        <f>'CALCULATOR SHEET'!J23</f>
        <v>112</v>
      </c>
      <c r="AL17" s="36">
        <f t="shared" si="0"/>
        <v>3</v>
      </c>
      <c r="AM17" s="36">
        <f t="shared" si="1"/>
        <v>16</v>
      </c>
      <c r="AN17" s="57">
        <f t="shared" si="2"/>
        <v>131</v>
      </c>
      <c r="AO17" s="58"/>
      <c r="AP17" s="57">
        <f t="shared" si="3"/>
        <v>57</v>
      </c>
      <c r="AQ17" s="57">
        <f t="shared" si="4"/>
        <v>45</v>
      </c>
      <c r="AR17" s="59">
        <f t="shared" si="5"/>
        <v>22</v>
      </c>
      <c r="AS17" s="57">
        <f t="shared" si="6"/>
        <v>550</v>
      </c>
      <c r="AT17" s="37">
        <f t="shared" si="7"/>
        <v>95</v>
      </c>
      <c r="AU17" s="109">
        <f t="shared" si="8"/>
        <v>13</v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35.5</v>
      </c>
      <c r="AK18" s="36">
        <f>'CALCULATOR SHEET'!J24</f>
        <v>112</v>
      </c>
      <c r="AL18" s="36">
        <f t="shared" si="0"/>
        <v>3</v>
      </c>
      <c r="AM18" s="36">
        <f t="shared" si="1"/>
        <v>16</v>
      </c>
      <c r="AN18" s="57">
        <f t="shared" si="2"/>
        <v>131</v>
      </c>
      <c r="AO18" s="58"/>
      <c r="AP18" s="57">
        <f t="shared" si="3"/>
        <v>57</v>
      </c>
      <c r="AQ18" s="57">
        <f t="shared" si="4"/>
        <v>45</v>
      </c>
      <c r="AR18" s="59">
        <f t="shared" si="5"/>
        <v>22</v>
      </c>
      <c r="AS18" s="57">
        <f t="shared" si="6"/>
        <v>550</v>
      </c>
      <c r="AT18" s="37">
        <f t="shared" si="7"/>
        <v>95</v>
      </c>
      <c r="AU18" s="109">
        <f t="shared" si="8"/>
        <v>13</v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25.5</v>
      </c>
      <c r="AK19" s="36">
        <f>'CALCULATOR SHEET'!J25</f>
        <v>112</v>
      </c>
      <c r="AL19" s="36">
        <f t="shared" si="0"/>
        <v>2</v>
      </c>
      <c r="AM19" s="36">
        <f t="shared" si="1"/>
        <v>16</v>
      </c>
      <c r="AN19" s="57">
        <f t="shared" si="2"/>
        <v>117</v>
      </c>
      <c r="AO19" s="58"/>
      <c r="AP19" s="57">
        <f t="shared" si="3"/>
        <v>54</v>
      </c>
      <c r="AQ19" s="57">
        <f t="shared" si="4"/>
        <v>40</v>
      </c>
      <c r="AR19" s="59">
        <f t="shared" si="5"/>
        <v>19</v>
      </c>
      <c r="AS19" s="57">
        <f t="shared" si="6"/>
        <v>550</v>
      </c>
      <c r="AT19" s="37">
        <f t="shared" si="7"/>
        <v>95</v>
      </c>
      <c r="AU19" s="109">
        <f t="shared" si="8"/>
        <v>13</v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25.5</v>
      </c>
      <c r="AK20" s="36">
        <f>'CALCULATOR SHEET'!J26</f>
        <v>112</v>
      </c>
      <c r="AL20" s="36">
        <f t="shared" si="0"/>
        <v>2</v>
      </c>
      <c r="AM20" s="36">
        <f t="shared" si="1"/>
        <v>16</v>
      </c>
      <c r="AN20" s="57">
        <f t="shared" si="2"/>
        <v>117</v>
      </c>
      <c r="AO20" s="58"/>
      <c r="AP20" s="57">
        <f t="shared" si="3"/>
        <v>54</v>
      </c>
      <c r="AQ20" s="57">
        <f t="shared" si="4"/>
        <v>40</v>
      </c>
      <c r="AR20" s="59">
        <f t="shared" si="5"/>
        <v>19</v>
      </c>
      <c r="AS20" s="57">
        <f t="shared" si="6"/>
        <v>550</v>
      </c>
      <c r="AT20" s="37">
        <f t="shared" si="7"/>
        <v>95</v>
      </c>
      <c r="AU20" s="109">
        <f t="shared" si="8"/>
        <v>13</v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27.5</v>
      </c>
      <c r="AK21" s="36">
        <f>'CALCULATOR SHEET'!J27</f>
        <v>112</v>
      </c>
      <c r="AL21" s="36">
        <f t="shared" si="0"/>
        <v>2</v>
      </c>
      <c r="AM21" s="36">
        <f t="shared" si="1"/>
        <v>16</v>
      </c>
      <c r="AN21" s="57">
        <f t="shared" si="2"/>
        <v>117</v>
      </c>
      <c r="AO21" s="58"/>
      <c r="AP21" s="57">
        <f t="shared" si="3"/>
        <v>54</v>
      </c>
      <c r="AQ21" s="57">
        <f t="shared" si="4"/>
        <v>40</v>
      </c>
      <c r="AR21" s="59">
        <f t="shared" si="5"/>
        <v>19</v>
      </c>
      <c r="AS21" s="57">
        <f t="shared" si="6"/>
        <v>550</v>
      </c>
      <c r="AT21" s="37">
        <f t="shared" si="7"/>
        <v>95</v>
      </c>
      <c r="AU21" s="109">
        <f t="shared" si="8"/>
        <v>13</v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27.5</v>
      </c>
      <c r="AK22" s="36">
        <f>'CALCULATOR SHEET'!J28</f>
        <v>112</v>
      </c>
      <c r="AL22" s="36">
        <f t="shared" si="0"/>
        <v>2</v>
      </c>
      <c r="AM22" s="36">
        <f t="shared" si="1"/>
        <v>16</v>
      </c>
      <c r="AN22" s="57">
        <f t="shared" si="2"/>
        <v>117</v>
      </c>
      <c r="AO22" s="58"/>
      <c r="AP22" s="57">
        <f t="shared" si="3"/>
        <v>54</v>
      </c>
      <c r="AQ22" s="57">
        <f t="shared" si="4"/>
        <v>40</v>
      </c>
      <c r="AR22" s="59">
        <f t="shared" si="5"/>
        <v>19</v>
      </c>
      <c r="AS22" s="57">
        <f t="shared" si="6"/>
        <v>550</v>
      </c>
      <c r="AT22" s="37">
        <f t="shared" si="7"/>
        <v>95</v>
      </c>
      <c r="AU22" s="109">
        <f t="shared" si="8"/>
        <v>13</v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28</v>
      </c>
      <c r="AK23" s="36">
        <f>'CALCULATOR SHEET'!J29</f>
        <v>112</v>
      </c>
      <c r="AL23" s="36">
        <f t="shared" si="0"/>
        <v>2</v>
      </c>
      <c r="AM23" s="36">
        <f t="shared" si="1"/>
        <v>16</v>
      </c>
      <c r="AN23" s="57">
        <f t="shared" si="2"/>
        <v>117</v>
      </c>
      <c r="AO23" s="58"/>
      <c r="AP23" s="57">
        <f t="shared" si="3"/>
        <v>54</v>
      </c>
      <c r="AQ23" s="57">
        <f t="shared" si="4"/>
        <v>40</v>
      </c>
      <c r="AR23" s="59">
        <f t="shared" si="5"/>
        <v>19</v>
      </c>
      <c r="AS23" s="57">
        <f t="shared" si="6"/>
        <v>550</v>
      </c>
      <c r="AT23" s="37">
        <f t="shared" si="7"/>
        <v>95</v>
      </c>
      <c r="AU23" s="109">
        <f t="shared" si="8"/>
        <v>13</v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28</v>
      </c>
      <c r="AK24" s="36">
        <f>'CALCULATOR SHEET'!J30</f>
        <v>112</v>
      </c>
      <c r="AL24" s="36">
        <f t="shared" si="0"/>
        <v>2</v>
      </c>
      <c r="AM24" s="36">
        <f t="shared" si="1"/>
        <v>16</v>
      </c>
      <c r="AN24" s="57">
        <f t="shared" si="2"/>
        <v>117</v>
      </c>
      <c r="AO24" s="58"/>
      <c r="AP24" s="57">
        <f t="shared" si="3"/>
        <v>54</v>
      </c>
      <c r="AQ24" s="57">
        <f t="shared" si="4"/>
        <v>40</v>
      </c>
      <c r="AR24" s="59">
        <f t="shared" si="5"/>
        <v>19</v>
      </c>
      <c r="AS24" s="57">
        <f t="shared" si="6"/>
        <v>550</v>
      </c>
      <c r="AT24" s="37">
        <f t="shared" si="7"/>
        <v>95</v>
      </c>
      <c r="AU24" s="109">
        <f t="shared" si="8"/>
        <v>13</v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26</v>
      </c>
      <c r="AK25" s="36">
        <f>'CALCULATOR SHEET'!J31</f>
        <v>112</v>
      </c>
      <c r="AL25" s="36">
        <f t="shared" si="0"/>
        <v>2</v>
      </c>
      <c r="AM25" s="36">
        <f t="shared" si="1"/>
        <v>16</v>
      </c>
      <c r="AN25" s="57">
        <f t="shared" si="2"/>
        <v>117</v>
      </c>
      <c r="AO25" s="58"/>
      <c r="AP25" s="57">
        <f t="shared" si="3"/>
        <v>54</v>
      </c>
      <c r="AQ25" s="57">
        <f t="shared" si="4"/>
        <v>40</v>
      </c>
      <c r="AR25" s="59">
        <f t="shared" si="5"/>
        <v>19</v>
      </c>
      <c r="AS25" s="57">
        <f t="shared" si="6"/>
        <v>550</v>
      </c>
      <c r="AT25" s="37">
        <f t="shared" si="7"/>
        <v>95</v>
      </c>
      <c r="AU25" s="109">
        <f t="shared" si="8"/>
        <v>13</v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26</v>
      </c>
      <c r="AK26" s="36">
        <f>'CALCULATOR SHEET'!J32</f>
        <v>112</v>
      </c>
      <c r="AL26" s="36">
        <f t="shared" si="0"/>
        <v>2</v>
      </c>
      <c r="AM26" s="36">
        <f t="shared" si="1"/>
        <v>16</v>
      </c>
      <c r="AN26" s="57">
        <f t="shared" si="2"/>
        <v>117</v>
      </c>
      <c r="AO26" s="58"/>
      <c r="AP26" s="57">
        <f t="shared" si="3"/>
        <v>54</v>
      </c>
      <c r="AQ26" s="57">
        <f t="shared" si="4"/>
        <v>40</v>
      </c>
      <c r="AR26" s="59">
        <f t="shared" si="5"/>
        <v>19</v>
      </c>
      <c r="AS26" s="57">
        <f t="shared" si="6"/>
        <v>550</v>
      </c>
      <c r="AT26" s="37">
        <f t="shared" si="7"/>
        <v>95</v>
      </c>
      <c r="AU26" s="109">
        <f t="shared" si="8"/>
        <v>13</v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52</v>
      </c>
      <c r="AK27" s="36">
        <f>'CALCULATOR SHEET'!J33</f>
        <v>112.5</v>
      </c>
      <c r="AL27" s="36">
        <f t="shared" si="0"/>
        <v>6</v>
      </c>
      <c r="AM27" s="36">
        <f t="shared" si="1"/>
        <v>16</v>
      </c>
      <c r="AN27" s="57">
        <f t="shared" si="2"/>
        <v>166</v>
      </c>
      <c r="AO27" s="58"/>
      <c r="AP27" s="57">
        <f t="shared" si="3"/>
        <v>65</v>
      </c>
      <c r="AQ27" s="57">
        <f t="shared" si="4"/>
        <v>65</v>
      </c>
      <c r="AR27" s="59">
        <f t="shared" si="5"/>
        <v>33</v>
      </c>
      <c r="AS27" s="57">
        <f t="shared" si="6"/>
        <v>550</v>
      </c>
      <c r="AT27" s="37">
        <f t="shared" si="7"/>
        <v>95</v>
      </c>
      <c r="AU27" s="109">
        <f t="shared" si="8"/>
        <v>13</v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52.25</v>
      </c>
      <c r="AK28" s="36">
        <f>'CALCULATOR SHEET'!J34</f>
        <v>112.5</v>
      </c>
      <c r="AL28" s="36">
        <f t="shared" si="0"/>
        <v>6</v>
      </c>
      <c r="AM28" s="36">
        <f t="shared" si="1"/>
        <v>16</v>
      </c>
      <c r="AN28" s="57">
        <f t="shared" si="2"/>
        <v>166</v>
      </c>
      <c r="AO28" s="58"/>
      <c r="AP28" s="57">
        <f t="shared" si="3"/>
        <v>65</v>
      </c>
      <c r="AQ28" s="57">
        <f t="shared" si="4"/>
        <v>65</v>
      </c>
      <c r="AR28" s="59">
        <f t="shared" si="5"/>
        <v>33</v>
      </c>
      <c r="AS28" s="57">
        <f t="shared" si="6"/>
        <v>550</v>
      </c>
      <c r="AT28" s="37">
        <f t="shared" si="7"/>
        <v>95</v>
      </c>
      <c r="AU28" s="109">
        <f t="shared" si="8"/>
        <v>13</v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56</v>
      </c>
      <c r="AK29" s="36">
        <f>'CALCULATOR SHEET'!J35</f>
        <v>112.5</v>
      </c>
      <c r="AL29" s="36">
        <f t="shared" si="0"/>
        <v>7</v>
      </c>
      <c r="AM29" s="36">
        <f t="shared" si="1"/>
        <v>16</v>
      </c>
      <c r="AN29" s="57">
        <f t="shared" si="2"/>
        <v>177</v>
      </c>
      <c r="AO29" s="58"/>
      <c r="AP29" s="57">
        <f t="shared" si="3"/>
        <v>68</v>
      </c>
      <c r="AQ29" s="57">
        <f t="shared" si="4"/>
        <v>70</v>
      </c>
      <c r="AR29" s="59">
        <f t="shared" si="5"/>
        <v>37</v>
      </c>
      <c r="AS29" s="57">
        <f t="shared" si="6"/>
        <v>550</v>
      </c>
      <c r="AT29" s="37">
        <f t="shared" si="7"/>
        <v>95</v>
      </c>
      <c r="AU29" s="109">
        <f t="shared" si="8"/>
        <v>13</v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51.25</v>
      </c>
      <c r="AK30" s="36">
        <f>'CALCULATOR SHEET'!J36</f>
        <v>112.5</v>
      </c>
      <c r="AL30" s="36">
        <f t="shared" si="0"/>
        <v>6</v>
      </c>
      <c r="AM30" s="36">
        <f t="shared" si="1"/>
        <v>16</v>
      </c>
      <c r="AN30" s="57">
        <f t="shared" si="2"/>
        <v>166</v>
      </c>
      <c r="AO30" s="58"/>
      <c r="AP30" s="57">
        <f t="shared" si="3"/>
        <v>65</v>
      </c>
      <c r="AQ30" s="57">
        <f t="shared" si="4"/>
        <v>65</v>
      </c>
      <c r="AR30" s="59">
        <f t="shared" si="5"/>
        <v>33</v>
      </c>
      <c r="AS30" s="57">
        <f t="shared" si="6"/>
        <v>550</v>
      </c>
      <c r="AT30" s="37">
        <f t="shared" si="7"/>
        <v>95</v>
      </c>
      <c r="AU30" s="109">
        <f t="shared" si="8"/>
        <v>13</v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</v>
      </c>
      <c r="AK7" s="53">
        <f>'CALCULATOR SHEET'!J13</f>
        <v>116</v>
      </c>
      <c r="AL7" s="53">
        <f>IF(AJ7=0,"",MATCH(CEILING(AJ7,6),$D$4:$Z$4,0))</f>
        <v>5</v>
      </c>
      <c r="AM7" s="53">
        <f>IF(AK7=0,"",MATCH(CEILING(AK7,6),$C$7:$C$28,0))</f>
        <v>17</v>
      </c>
      <c r="AN7" s="54">
        <f>IF(AL7="","",INDEX($D$7:$Z$28,AM7,AL7))</f>
        <v>169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40.5</v>
      </c>
      <c r="AK8" s="53">
        <f>'CALCULATOR SHEET'!J14</f>
        <v>116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156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47</v>
      </c>
      <c r="AK9" s="53">
        <f>'CALCULATOR SHEET'!J15</f>
        <v>116</v>
      </c>
      <c r="AL9" s="53">
        <f t="shared" si="0"/>
        <v>5</v>
      </c>
      <c r="AM9" s="53">
        <f t="shared" si="1"/>
        <v>17</v>
      </c>
      <c r="AN9" s="54">
        <f t="shared" si="2"/>
        <v>169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36</v>
      </c>
      <c r="AK10" s="53">
        <f>'CALCULATOR SHEET'!J16</f>
        <v>117.5</v>
      </c>
      <c r="AL10" s="53">
        <f t="shared" si="0"/>
        <v>3</v>
      </c>
      <c r="AM10" s="53">
        <f t="shared" si="1"/>
        <v>17</v>
      </c>
      <c r="AN10" s="54">
        <f t="shared" si="2"/>
        <v>143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32.5</v>
      </c>
      <c r="AK11" s="53">
        <f>'CALCULATOR SHEET'!J17</f>
        <v>117.5</v>
      </c>
      <c r="AL11" s="53">
        <f t="shared" si="0"/>
        <v>3</v>
      </c>
      <c r="AM11" s="53">
        <f t="shared" si="1"/>
        <v>17</v>
      </c>
      <c r="AN11" s="54">
        <f t="shared" si="2"/>
        <v>143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39.5</v>
      </c>
      <c r="AK12" s="53">
        <f>'CALCULATOR SHEET'!J18</f>
        <v>117.5</v>
      </c>
      <c r="AL12" s="53">
        <f t="shared" si="0"/>
        <v>4</v>
      </c>
      <c r="AM12" s="53">
        <f t="shared" si="1"/>
        <v>17</v>
      </c>
      <c r="AN12" s="54">
        <f t="shared" si="2"/>
        <v>156</v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28.5</v>
      </c>
      <c r="AK13" s="53">
        <f>'CALCULATOR SHEET'!J19</f>
        <v>112.5</v>
      </c>
      <c r="AL13" s="53">
        <f t="shared" si="0"/>
        <v>2</v>
      </c>
      <c r="AM13" s="53">
        <f t="shared" si="1"/>
        <v>16</v>
      </c>
      <c r="AN13" s="54">
        <f t="shared" si="2"/>
        <v>124</v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58</v>
      </c>
      <c r="AK14" s="53">
        <f>'CALCULATOR SHEET'!J20</f>
        <v>112.5</v>
      </c>
      <c r="AL14" s="53">
        <f t="shared" si="0"/>
        <v>7</v>
      </c>
      <c r="AM14" s="53">
        <f t="shared" si="1"/>
        <v>16</v>
      </c>
      <c r="AN14" s="54">
        <f t="shared" si="2"/>
        <v>191</v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35.5</v>
      </c>
      <c r="AK15" s="53">
        <f>'CALCULATOR SHEET'!J21</f>
        <v>112</v>
      </c>
      <c r="AL15" s="53">
        <f t="shared" si="0"/>
        <v>3</v>
      </c>
      <c r="AM15" s="53">
        <f t="shared" si="1"/>
        <v>16</v>
      </c>
      <c r="AN15" s="54">
        <f t="shared" si="2"/>
        <v>139</v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35.5</v>
      </c>
      <c r="AK16" s="53">
        <f>'CALCULATOR SHEET'!J22</f>
        <v>112</v>
      </c>
      <c r="AL16" s="53">
        <f t="shared" si="0"/>
        <v>3</v>
      </c>
      <c r="AM16" s="53">
        <f t="shared" si="1"/>
        <v>16</v>
      </c>
      <c r="AN16" s="54">
        <f t="shared" si="2"/>
        <v>139</v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35.5</v>
      </c>
      <c r="AK17" s="53">
        <f>'CALCULATOR SHEET'!J23</f>
        <v>112</v>
      </c>
      <c r="AL17" s="53">
        <f t="shared" si="0"/>
        <v>3</v>
      </c>
      <c r="AM17" s="53">
        <f t="shared" si="1"/>
        <v>16</v>
      </c>
      <c r="AN17" s="54">
        <f t="shared" si="2"/>
        <v>139</v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35.5</v>
      </c>
      <c r="AK18" s="53">
        <f>'CALCULATOR SHEET'!J24</f>
        <v>112</v>
      </c>
      <c r="AL18" s="53">
        <f t="shared" si="0"/>
        <v>3</v>
      </c>
      <c r="AM18" s="53">
        <f t="shared" si="1"/>
        <v>16</v>
      </c>
      <c r="AN18" s="54">
        <f t="shared" si="2"/>
        <v>139</v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25.5</v>
      </c>
      <c r="AK19" s="53">
        <f>'CALCULATOR SHEET'!J25</f>
        <v>112</v>
      </c>
      <c r="AL19" s="53">
        <f t="shared" si="0"/>
        <v>2</v>
      </c>
      <c r="AM19" s="53">
        <f t="shared" si="1"/>
        <v>16</v>
      </c>
      <c r="AN19" s="54">
        <f t="shared" si="2"/>
        <v>124</v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25.5</v>
      </c>
      <c r="AK20" s="53">
        <f>'CALCULATOR SHEET'!J26</f>
        <v>112</v>
      </c>
      <c r="AL20" s="53">
        <f t="shared" si="0"/>
        <v>2</v>
      </c>
      <c r="AM20" s="53">
        <f t="shared" si="1"/>
        <v>16</v>
      </c>
      <c r="AN20" s="54">
        <f t="shared" si="2"/>
        <v>124</v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27.5</v>
      </c>
      <c r="AK21" s="53">
        <f>'CALCULATOR SHEET'!J27</f>
        <v>112</v>
      </c>
      <c r="AL21" s="53">
        <f t="shared" si="0"/>
        <v>2</v>
      </c>
      <c r="AM21" s="53">
        <f t="shared" si="1"/>
        <v>16</v>
      </c>
      <c r="AN21" s="54">
        <f t="shared" si="2"/>
        <v>124</v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27.5</v>
      </c>
      <c r="AK22" s="53">
        <f>'CALCULATOR SHEET'!J28</f>
        <v>112</v>
      </c>
      <c r="AL22" s="53">
        <f t="shared" si="0"/>
        <v>2</v>
      </c>
      <c r="AM22" s="53">
        <f t="shared" si="1"/>
        <v>16</v>
      </c>
      <c r="AN22" s="54">
        <f t="shared" si="2"/>
        <v>124</v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28</v>
      </c>
      <c r="AK23" s="53">
        <f>'CALCULATOR SHEET'!J29</f>
        <v>112</v>
      </c>
      <c r="AL23" s="53">
        <f t="shared" si="0"/>
        <v>2</v>
      </c>
      <c r="AM23" s="53">
        <f t="shared" si="1"/>
        <v>16</v>
      </c>
      <c r="AN23" s="54">
        <f t="shared" si="2"/>
        <v>124</v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28</v>
      </c>
      <c r="AK24" s="53">
        <f>'CALCULATOR SHEET'!J30</f>
        <v>112</v>
      </c>
      <c r="AL24" s="53">
        <f t="shared" si="0"/>
        <v>2</v>
      </c>
      <c r="AM24" s="53">
        <f t="shared" si="1"/>
        <v>16</v>
      </c>
      <c r="AN24" s="54">
        <f t="shared" si="2"/>
        <v>124</v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26</v>
      </c>
      <c r="AK25" s="53">
        <f>'CALCULATOR SHEET'!J31</f>
        <v>112</v>
      </c>
      <c r="AL25" s="53">
        <f t="shared" si="0"/>
        <v>2</v>
      </c>
      <c r="AM25" s="53">
        <f t="shared" si="1"/>
        <v>16</v>
      </c>
      <c r="AN25" s="54">
        <f t="shared" si="2"/>
        <v>124</v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26</v>
      </c>
      <c r="AK26" s="53">
        <f>'CALCULATOR SHEET'!J32</f>
        <v>112</v>
      </c>
      <c r="AL26" s="53">
        <f t="shared" si="0"/>
        <v>2</v>
      </c>
      <c r="AM26" s="53">
        <f t="shared" si="1"/>
        <v>16</v>
      </c>
      <c r="AN26" s="54">
        <f t="shared" si="2"/>
        <v>124</v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112.5</v>
      </c>
      <c r="AL27" s="53">
        <f t="shared" si="0"/>
        <v>6</v>
      </c>
      <c r="AM27" s="53">
        <f t="shared" si="1"/>
        <v>16</v>
      </c>
      <c r="AN27" s="54">
        <f t="shared" si="2"/>
        <v>178</v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52.25</v>
      </c>
      <c r="AK28" s="53">
        <f>'CALCULATOR SHEET'!J34</f>
        <v>112.5</v>
      </c>
      <c r="AL28" s="53">
        <f t="shared" si="0"/>
        <v>6</v>
      </c>
      <c r="AM28" s="53">
        <f t="shared" si="1"/>
        <v>16</v>
      </c>
      <c r="AN28" s="54">
        <f t="shared" si="2"/>
        <v>178</v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56</v>
      </c>
      <c r="AK29" s="53">
        <f>'CALCULATOR SHEET'!J35</f>
        <v>112.5</v>
      </c>
      <c r="AL29" s="53">
        <f t="shared" si="0"/>
        <v>7</v>
      </c>
      <c r="AM29" s="53">
        <f t="shared" si="1"/>
        <v>16</v>
      </c>
      <c r="AN29" s="54">
        <f t="shared" si="2"/>
        <v>191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51.25</v>
      </c>
      <c r="AK30" s="53">
        <f>'CALCULATOR SHEET'!J36</f>
        <v>112.5</v>
      </c>
      <c r="AL30" s="53">
        <f t="shared" si="0"/>
        <v>6</v>
      </c>
      <c r="AM30" s="53">
        <f t="shared" si="1"/>
        <v>16</v>
      </c>
      <c r="AN30" s="54">
        <f t="shared" si="2"/>
        <v>178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3">
        <v>44656</v>
      </c>
      <c r="Y1" s="383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47</v>
      </c>
      <c r="AK7" s="53">
        <f>'CALCULATOR SHEET'!J13</f>
        <v>116</v>
      </c>
      <c r="AL7" s="53">
        <f t="shared" ref="AL7:AL70" si="0">IF(AJ7=0,"",MATCH(CEILING(AJ7,6),$D$4:$Z$4,0))</f>
        <v>5</v>
      </c>
      <c r="AM7" s="53">
        <f>IF(AK7=0,"",MATCH(CEILING(AK7,6),$C$7:$C$28,0))</f>
        <v>17</v>
      </c>
      <c r="AN7" s="54">
        <f t="shared" ref="AN7:AN70" si="1">IF(AL7="","",INDEX($D$7:$Z$28,AM7,AL7))</f>
        <v>194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40.5</v>
      </c>
      <c r="AK8" s="53">
        <f>'CALCULATOR SHEET'!J14</f>
        <v>116</v>
      </c>
      <c r="AL8" s="53">
        <f t="shared" si="0"/>
        <v>4</v>
      </c>
      <c r="AM8" s="53">
        <f t="shared" ref="AM8:AM71" si="2">IF(AK8=0,"",MATCH(CEILING(AK8,6),$C$7:$C$28,0))</f>
        <v>17</v>
      </c>
      <c r="AN8" s="54">
        <f t="shared" si="1"/>
        <v>178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47</v>
      </c>
      <c r="AK9" s="53">
        <f>'CALCULATOR SHEET'!J15</f>
        <v>116</v>
      </c>
      <c r="AL9" s="53">
        <f t="shared" si="0"/>
        <v>5</v>
      </c>
      <c r="AM9" s="53">
        <f t="shared" si="2"/>
        <v>17</v>
      </c>
      <c r="AN9" s="54">
        <f t="shared" si="1"/>
        <v>194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36</v>
      </c>
      <c r="AK10" s="53">
        <f>'CALCULATOR SHEET'!J16</f>
        <v>117.5</v>
      </c>
      <c r="AL10" s="53">
        <f t="shared" si="0"/>
        <v>3</v>
      </c>
      <c r="AM10" s="53">
        <f t="shared" si="2"/>
        <v>17</v>
      </c>
      <c r="AN10" s="54">
        <f t="shared" si="1"/>
        <v>161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32.5</v>
      </c>
      <c r="AK11" s="53">
        <f>'CALCULATOR SHEET'!J17</f>
        <v>117.5</v>
      </c>
      <c r="AL11" s="53">
        <f t="shared" si="0"/>
        <v>3</v>
      </c>
      <c r="AM11" s="53">
        <f t="shared" si="2"/>
        <v>17</v>
      </c>
      <c r="AN11" s="54">
        <f t="shared" si="1"/>
        <v>161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39.5</v>
      </c>
      <c r="AK12" s="53">
        <f>'CALCULATOR SHEET'!J18</f>
        <v>117.5</v>
      </c>
      <c r="AL12" s="53">
        <f t="shared" si="0"/>
        <v>4</v>
      </c>
      <c r="AM12" s="53">
        <f t="shared" si="2"/>
        <v>17</v>
      </c>
      <c r="AN12" s="54">
        <f t="shared" si="1"/>
        <v>178</v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28.5</v>
      </c>
      <c r="AK13" s="53">
        <f>'CALCULATOR SHEET'!J19</f>
        <v>112.5</v>
      </c>
      <c r="AL13" s="53">
        <f t="shared" si="0"/>
        <v>2</v>
      </c>
      <c r="AM13" s="53">
        <f t="shared" si="2"/>
        <v>16</v>
      </c>
      <c r="AN13" s="54">
        <f t="shared" si="1"/>
        <v>139</v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58</v>
      </c>
      <c r="AK14" s="53">
        <f>'CALCULATOR SHEET'!J20</f>
        <v>112.5</v>
      </c>
      <c r="AL14" s="53">
        <f t="shared" si="0"/>
        <v>7</v>
      </c>
      <c r="AM14" s="53">
        <f t="shared" si="2"/>
        <v>16</v>
      </c>
      <c r="AN14" s="54">
        <f t="shared" si="1"/>
        <v>220</v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35.5</v>
      </c>
      <c r="AK15" s="53">
        <f>'CALCULATOR SHEET'!J21</f>
        <v>112</v>
      </c>
      <c r="AL15" s="53">
        <f t="shared" si="0"/>
        <v>3</v>
      </c>
      <c r="AM15" s="53">
        <f t="shared" si="2"/>
        <v>16</v>
      </c>
      <c r="AN15" s="54">
        <f t="shared" si="1"/>
        <v>157</v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35.5</v>
      </c>
      <c r="AK16" s="53">
        <f>'CALCULATOR SHEET'!J22</f>
        <v>112</v>
      </c>
      <c r="AL16" s="53">
        <f t="shared" si="0"/>
        <v>3</v>
      </c>
      <c r="AM16" s="53">
        <f t="shared" si="2"/>
        <v>16</v>
      </c>
      <c r="AN16" s="54">
        <f t="shared" si="1"/>
        <v>157</v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35.5</v>
      </c>
      <c r="AK17" s="53">
        <f>'CALCULATOR SHEET'!J23</f>
        <v>112</v>
      </c>
      <c r="AL17" s="53">
        <f t="shared" si="0"/>
        <v>3</v>
      </c>
      <c r="AM17" s="53">
        <f t="shared" si="2"/>
        <v>16</v>
      </c>
      <c r="AN17" s="54">
        <f t="shared" si="1"/>
        <v>157</v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35.5</v>
      </c>
      <c r="AK18" s="53">
        <f>'CALCULATOR SHEET'!J24</f>
        <v>112</v>
      </c>
      <c r="AL18" s="53">
        <f t="shared" si="0"/>
        <v>3</v>
      </c>
      <c r="AM18" s="53">
        <f t="shared" si="2"/>
        <v>16</v>
      </c>
      <c r="AN18" s="54">
        <f t="shared" si="1"/>
        <v>157</v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25.5</v>
      </c>
      <c r="AK19" s="53">
        <f>'CALCULATOR SHEET'!J25</f>
        <v>112</v>
      </c>
      <c r="AL19" s="53">
        <f t="shared" si="0"/>
        <v>2</v>
      </c>
      <c r="AM19" s="53">
        <f t="shared" si="2"/>
        <v>16</v>
      </c>
      <c r="AN19" s="54">
        <f t="shared" si="1"/>
        <v>139</v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25.5</v>
      </c>
      <c r="AK20" s="53">
        <f>'CALCULATOR SHEET'!J26</f>
        <v>112</v>
      </c>
      <c r="AL20" s="53">
        <f t="shared" si="0"/>
        <v>2</v>
      </c>
      <c r="AM20" s="53">
        <f t="shared" si="2"/>
        <v>16</v>
      </c>
      <c r="AN20" s="54">
        <f t="shared" si="1"/>
        <v>139</v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27.5</v>
      </c>
      <c r="AK21" s="53">
        <f>'CALCULATOR SHEET'!J27</f>
        <v>112</v>
      </c>
      <c r="AL21" s="53">
        <f t="shared" si="0"/>
        <v>2</v>
      </c>
      <c r="AM21" s="53">
        <f t="shared" si="2"/>
        <v>16</v>
      </c>
      <c r="AN21" s="54">
        <f t="shared" si="1"/>
        <v>139</v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27.5</v>
      </c>
      <c r="AK22" s="53">
        <f>'CALCULATOR SHEET'!J28</f>
        <v>112</v>
      </c>
      <c r="AL22" s="53">
        <f t="shared" si="0"/>
        <v>2</v>
      </c>
      <c r="AM22" s="53">
        <f t="shared" si="2"/>
        <v>16</v>
      </c>
      <c r="AN22" s="54">
        <f t="shared" si="1"/>
        <v>139</v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28</v>
      </c>
      <c r="AK23" s="53">
        <f>'CALCULATOR SHEET'!J29</f>
        <v>112</v>
      </c>
      <c r="AL23" s="53">
        <f t="shared" si="0"/>
        <v>2</v>
      </c>
      <c r="AM23" s="53">
        <f t="shared" si="2"/>
        <v>16</v>
      </c>
      <c r="AN23" s="54">
        <f t="shared" si="1"/>
        <v>139</v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28</v>
      </c>
      <c r="AK24" s="53">
        <f>'CALCULATOR SHEET'!J30</f>
        <v>112</v>
      </c>
      <c r="AL24" s="53">
        <f t="shared" si="0"/>
        <v>2</v>
      </c>
      <c r="AM24" s="53">
        <f t="shared" si="2"/>
        <v>16</v>
      </c>
      <c r="AN24" s="54">
        <f t="shared" si="1"/>
        <v>139</v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26</v>
      </c>
      <c r="AK25" s="53">
        <f>'CALCULATOR SHEET'!J31</f>
        <v>112</v>
      </c>
      <c r="AL25" s="53">
        <f t="shared" si="0"/>
        <v>2</v>
      </c>
      <c r="AM25" s="53">
        <f t="shared" si="2"/>
        <v>16</v>
      </c>
      <c r="AN25" s="54">
        <f t="shared" si="1"/>
        <v>139</v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26</v>
      </c>
      <c r="AK26" s="53">
        <f>'CALCULATOR SHEET'!J32</f>
        <v>112</v>
      </c>
      <c r="AL26" s="53">
        <f t="shared" si="0"/>
        <v>2</v>
      </c>
      <c r="AM26" s="53">
        <f t="shared" si="2"/>
        <v>16</v>
      </c>
      <c r="AN26" s="54">
        <f t="shared" si="1"/>
        <v>139</v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52</v>
      </c>
      <c r="AK27" s="53">
        <f>'CALCULATOR SHEET'!J33</f>
        <v>112.5</v>
      </c>
      <c r="AL27" s="53">
        <f t="shared" si="0"/>
        <v>6</v>
      </c>
      <c r="AM27" s="53">
        <f t="shared" si="2"/>
        <v>16</v>
      </c>
      <c r="AN27" s="54">
        <f t="shared" si="1"/>
        <v>205</v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52.25</v>
      </c>
      <c r="AK28" s="53">
        <f>'CALCULATOR SHEET'!J34</f>
        <v>112.5</v>
      </c>
      <c r="AL28" s="53">
        <f t="shared" si="0"/>
        <v>6</v>
      </c>
      <c r="AM28" s="53">
        <f t="shared" si="2"/>
        <v>16</v>
      </c>
      <c r="AN28" s="54">
        <f t="shared" si="1"/>
        <v>205</v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56</v>
      </c>
      <c r="AK29" s="53">
        <f>'CALCULATOR SHEET'!J35</f>
        <v>112.5</v>
      </c>
      <c r="AL29" s="53">
        <f t="shared" si="0"/>
        <v>7</v>
      </c>
      <c r="AM29" s="53">
        <f t="shared" si="2"/>
        <v>16</v>
      </c>
      <c r="AN29" s="54">
        <f t="shared" si="1"/>
        <v>220</v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51.25</v>
      </c>
      <c r="AK30" s="53">
        <f>'CALCULATOR SHEET'!J36</f>
        <v>112.5</v>
      </c>
      <c r="AL30" s="53">
        <f t="shared" si="0"/>
        <v>6</v>
      </c>
      <c r="AM30" s="53">
        <f t="shared" si="2"/>
        <v>16</v>
      </c>
      <c r="AN30" s="54">
        <f t="shared" si="1"/>
        <v>205</v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2025-11-24T19:38:58Z</cp:lastPrinted>
  <dcterms:created xsi:type="dcterms:W3CDTF">2016-09-27T19:33:28Z</dcterms:created>
  <dcterms:modified xsi:type="dcterms:W3CDTF">2025-11-25T22:49:08Z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