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2 DICIEMBRE 25\PO BS 121825EG-1 MARA ZULEY\"/>
    </mc:Choice>
  </mc:AlternateContent>
  <xr:revisionPtr revIDLastSave="0" documentId="8_{721A4633-B14D-4990-9206-12D45FB19559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15" i="5" l="1"/>
  <c r="BD18" i="5"/>
  <c r="BD17" i="5"/>
  <c r="BD16" i="5"/>
  <c r="BD15" i="5"/>
  <c r="BB16" i="5"/>
  <c r="BB15" i="5"/>
  <c r="BB17" i="5"/>
  <c r="AZ17" i="5"/>
  <c r="AY17" i="5"/>
  <c r="BH17" i="5" s="1"/>
  <c r="AX17" i="5"/>
  <c r="BG17" i="5" s="1"/>
  <c r="AT17" i="5"/>
  <c r="AS17" i="5"/>
  <c r="AK17" i="5"/>
  <c r="AH17" i="5"/>
  <c r="AG17" i="5"/>
  <c r="AJ17" i="5" s="1"/>
  <c r="AF17" i="5"/>
  <c r="AE17" i="5"/>
  <c r="B17" i="5"/>
  <c r="O7" i="5"/>
  <c r="J16" i="5"/>
  <c r="AC7" i="5"/>
  <c r="J15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AE19" i="5"/>
  <c r="AF19" i="5"/>
  <c r="AG19" i="5"/>
  <c r="AH19" i="5"/>
  <c r="AK19" i="5"/>
  <c r="AL19" i="5" s="1"/>
  <c r="AS19" i="5"/>
  <c r="AT19" i="5"/>
  <c r="AX19" i="5"/>
  <c r="AY19" i="5"/>
  <c r="BH19" i="5" s="1"/>
  <c r="AZ19" i="5"/>
  <c r="BB19" i="5"/>
  <c r="BD19" i="5"/>
  <c r="BG19" i="5"/>
  <c r="BI19" i="5" s="1"/>
  <c r="W19" i="5" s="1"/>
  <c r="AE20" i="5"/>
  <c r="AF20" i="5"/>
  <c r="AG20" i="5"/>
  <c r="AH20" i="5"/>
  <c r="AJ20" i="5"/>
  <c r="AK20" i="5"/>
  <c r="AS20" i="5"/>
  <c r="AT20" i="5"/>
  <c r="AU20" i="5" s="1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J23" i="5" l="1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4" i="5" l="1"/>
  <c r="BA24" i="5" s="1"/>
  <c r="BF24" i="5" s="1"/>
  <c r="AN24" i="5"/>
  <c r="AO24" i="5"/>
  <c r="BE24" i="5" s="1"/>
  <c r="BC23" i="5"/>
  <c r="BC21" i="5"/>
  <c r="BC19" i="5"/>
  <c r="AW17" i="5"/>
  <c r="BC17" i="5"/>
  <c r="AO20" i="5"/>
  <c r="BE20" i="5" s="1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N18" i="5"/>
  <c r="AO18" i="5" s="1"/>
  <c r="BE18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W18" i="5" l="1"/>
  <c r="BC18" i="5"/>
  <c r="BF20" i="5"/>
  <c r="BJ20" i="5" s="1"/>
  <c r="AQ17" i="5"/>
  <c r="BA17" i="5"/>
  <c r="BF17" i="5" s="1"/>
  <c r="AO16" i="5"/>
  <c r="AP18" i="5"/>
  <c r="BA18" i="5" s="1"/>
  <c r="AW16" i="5"/>
  <c r="AW15" i="5"/>
  <c r="BJ24" i="5"/>
  <c r="T24" i="5"/>
  <c r="AQ23" i="5"/>
  <c r="BA23" i="5"/>
  <c r="BF23" i="5" s="1"/>
  <c r="AO15" i="5"/>
  <c r="AP15" i="5"/>
  <c r="BJ19" i="5"/>
  <c r="T19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F18" i="5" l="1"/>
  <c r="BJ18" i="5" s="1"/>
  <c r="BJ17" i="5"/>
  <c r="T17" i="5"/>
  <c r="AQ18" i="5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T18" i="5" l="1"/>
  <c r="AB18" i="5" s="1"/>
  <c r="AC18" i="5" s="1"/>
  <c r="Z17" i="5"/>
  <c r="AA17" i="5" s="1"/>
  <c r="AB17" i="5"/>
  <c r="AC17" i="5" s="1"/>
  <c r="Z23" i="5"/>
  <c r="AA23" i="5" s="1"/>
  <c r="AB23" i="5"/>
  <c r="AC23" i="5" s="1"/>
  <c r="F83" i="10"/>
  <c r="E83" i="10"/>
  <c r="G83" i="10"/>
  <c r="H83" i="10" s="1"/>
  <c r="I83" i="10" s="1"/>
  <c r="Z18" i="5" l="1"/>
  <c r="AA18" i="5" s="1"/>
  <c r="F81" i="10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BA15" i="5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D043A00F-6486-4F00-A19B-B33779701C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78D7E9B5-9FD2-4F69-A2BD-6BEB760AE3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623AB362-5C32-4E16-BD71-274BF717B3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5791218-D4D6-4671-80D2-41E763DF60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A171A61-0A51-4CA4-847D-812142D930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2B8290E-9E55-4BA0-A6C4-52331967DB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90751717-047E-4A5F-A13D-00C99C59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7E7EDFD4-39E8-4100-A057-E842136DF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5CA13B1-6FDE-4CA7-9830-7E395A77B9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DD5A1BB-CC65-4D0F-82A3-60482D88C2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F06AE096-DDCF-426A-9EFA-A2C121602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D04B3D9-CB29-4F9A-88EE-5988A1B84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B8AABD7-E949-4AD6-BB4E-C105A424D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6B9674B-52DD-41AC-94B8-02E27A183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<sst xmlns="http://schemas.openxmlformats.org/spreadsheetml/2006/main" count="9389" uniqueCount="756">
  <si>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</si>
  <si>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</si>
  <si>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</si>
  <si>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</si>
  <si>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</si>
  <si>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</si>
  <si>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</si>
  <si>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</si>
  <si>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</si>
  <si>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</si>
  <si>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</si>
  <si>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</si>
  <si>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</si>
  <si>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</si>
  <si>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</si>
  <si>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</si>
  <si>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</si>
  <si>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</si>
  <si>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</si>
  <si>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</si>
  <si>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</si>
  <si>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</si>
  <si>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</si>
  <si>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</si>
  <si>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</si>
  <si>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</si>
  <si>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</si>
  <si>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</si>
  <si>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</si>
  <si>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</si>
  <si>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</si>
  <si>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</si>
  <si>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</si>
  <si>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</si>
  <si>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</si>
  <si>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</si>
  <si>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</si>
  <si>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</si>
  <si>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</si>
  <si>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</si>
  <si>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</si>
  <si>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</si>
  <si>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</si>
  <si>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</si>
  <si>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</si>
  <si>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</si>
  <si>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</si>
  <si>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</si>
  <si>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</si>
  <si>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</si>
  <si>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</si>
  <si>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</si>
  <si>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</si>
  <si>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</si>
  <si>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</si>
  <si>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</si>
  <si>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</si>
  <si>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</si>
  <si>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</si>
  <si>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</si>
  <si>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</si>
  <si>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</si>
  <si>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</si>
  <si>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</si>
  <si>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</si>
  <si>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</si>
  <si>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</si>
  <si>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</si>
  <si>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</si>
  <si>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</si>
  <si>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</si>
  <si>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</si>
  <si>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</si>
  <si>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</si>
  <si>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</si>
  <si>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</si>
  <si>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</si>
  <si>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</si>
  <si>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</si>
  <si>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</si>
  <si>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</si>
  <si>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</si>
  <si>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</si>
  <si>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</si>
  <si>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</si>
  <si>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</si>
  <si>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</si>
  <si>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</si>
  <si>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</si>
  <si>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</si>
  <si>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</si>
  <si>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</si>
  <si>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</si>
  <si>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</si>
  <si>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</si>
  <si>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</si>
  <si>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</si>
  <si>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</si>
  <si>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</si>
  <si>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</si>
  <si>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</si>
  <si>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</si>
  <si>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</si>
  <si>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</si>
  <si>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</si>
  <si>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</si>
  <si>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</si>
  <si>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</si>
  <si>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</si>
  <si>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</si>
  <si>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</si>
  <si>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</si>
  <si>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</si>
  <si>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</si>
  <si>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</si>
  <si>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</si>
  <si>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</si>
  <si>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</si>
  <si>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</si>
  <si>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</si>
  <si>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</si>
  <si>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</si>
  <si>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</si>
  <si>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</si>
  <si>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</si>
  <si>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</si>
  <si>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</si>
  <si>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</si>
  <si>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</si>
  <si>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</si>
  <si>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</si>
  <si>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</si>
  <si>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</si>
  <si>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</si>
  <si>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</si>
  <si>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</si>
  <si>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</si>
  <si>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</si>
  <si>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</si>
  <si>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</si>
  <si>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</si>
  <si>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</si>
  <si>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</si>
  <si>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</si>
  <si>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</si>
  <si>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</si>
  <si>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</si>
  <si>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</si>
  <si>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</si>
  <si>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</si>
  <si>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</si>
  <si>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</si>
  <si>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</si>
  <si>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</si>
  <si>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</si>
  <si>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</si>
  <si>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</si>
  <si>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</si>
  <si>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</si>
  <si>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</si>
  <si>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</si>
  <si>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</si>
  <si>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</si>
  <si>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</si>
  <si>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</si>
  <si>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</si>
  <si>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</si>
  <si>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</si>
  <si>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</si>
  <si>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</si>
  <si>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</si>
  <si>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</si>
  <si>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</si>
  <si>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</si>
  <si>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</si>
  <si>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</si>
  <si>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</si>
  <si>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</si>
  <si>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</si>
  <si>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</si>
  <si>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</si>
  <si>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</si>
  <si>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</si>
  <si>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</si>
  <si>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</si>
  <si>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</si>
  <si>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</si>
  <si>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</si>
  <si>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</si>
  <si>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</si>
  <si>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</si>
  <si>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</si>
  <si>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</si>
  <si>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</si>
  <si>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</si>
  <si>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</si>
  <si>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</si>
  <si>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</si>
  <si>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</si>
  <si>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</si>
  <si>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</si>
  <si>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</si>
  <si>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</si>
  <si>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</si>
  <si>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</si>
  <si>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</si>
  <si>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</si>
  <si>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</si>
  <si>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</si>
  <si>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</si>
  <si>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</si>
  <si>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</si>
  <si>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</si>
  <si>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</si>
  <si>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</si>
  <si>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</si>
  <si>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</si>
  <si>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</si>
  <si>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</si>
  <si>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</si>
  <si>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</si>
  <si>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</si>
  <si>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</si>
  <si>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</si>
  <si>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</si>
  <si>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</si>
  <si>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</si>
  <si>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</si>
  <si>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</si>
  <si>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</si>
  <si>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</si>
  <si>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</si>
  <si>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</si>
  <si>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</si>
  <si>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</si>
  <si>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</si>
  <si>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</si>
  <si>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</si>
  <si>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</si>
  <si>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</si>
  <si>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</si>
  <si>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</si>
  <si>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</si>
  <si>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</si>
  <si>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</si>
  <si>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</si>
  <si>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</si>
  <si>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</si>
  <si>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</si>
  <si>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</si>
  <si>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</si>
  <si>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</si>
  <si>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</si>
  <si>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</si>
  <si>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</si>
  <si>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</si>
  <si>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</si>
  <si>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</si>
  <si>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</si>
  <si>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</si>
  <si>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</si>
  <si>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</si>
  <si>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</si>
  <si>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</si>
  <si>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</si>
  <si>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</si>
  <si>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</si>
  <si>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</si>
  <si>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</si>
  <si>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</si>
  <si>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</si>
  <si>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</si>
  <si>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</si>
  <si>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</si>
  <si>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</si>
  <si>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</si>
  <si>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</si>
  <si>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</si>
  <si>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</si>
  <si>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</si>
  <si>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</si>
  <si>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</si>
  <si>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</si>
  <si>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</si>
  <si>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</si>
  <si>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</si>
  <si>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</si>
  <si>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</si>
  <si>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</si>
  <si>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</si>
  <si>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</si>
  <si>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</si>
  <si>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</si>
  <si>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</si>
  <si>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</si>
  <si>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</si>
  <si>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</si>
  <si>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</si>
  <si>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</si>
  <si>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</si>
  <si>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</si>
  <si>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</si>
  <si>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</si>
  <si>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</si>
  <si>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</si>
  <si>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</si>
  <si>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</si>
  <si>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</si>
  <si>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</si>
  <si>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</si>
  <si>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</si>
  <si>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</si>
  <si>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</si>
  <si>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</si>
  <si>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</si>
  <si>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</si>
  <si>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</si>
  <si>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</si>
  <si>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</si>
  <si>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</si>
  <si>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</si>
  <si>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</si>
  <si>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</si>
  <si>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</si>
  <si>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</si>
  <si>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</si>
  <si>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</si>
  <si>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</si>
  <si>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</si>
  <si>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</si>
  <si>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</si>
  <si>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</si>
  <si>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</si>
  <si>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</si>
  <si>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</si>
  <si>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</si>
  <si>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</si>
  <si>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</si>
  <si>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</si>
  <si>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</si>
  <si>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</si>
  <si>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</si>
  <si>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</si>
  <si>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</si>
  <si>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</si>
  <si>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</si>
  <si>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</si>
  <si>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</si>
  <si>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</si>
  <si>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</si>
  <si>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</si>
  <si>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</si>
  <si>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</si>
  <si>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</si>
  <si>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</si>
  <si>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</si>
  <si>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</si>
  <si>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</si>
  <si>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</si>
  <si>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</si>
  <si>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</si>
  <si>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</si>
  <si>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</si>
  <si>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</si>
  <si>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</si>
  <si>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</si>
  <si>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</si>
  <si>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</si>
  <si>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</si>
  <si>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</si>
  <si>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</si>
  <si>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</si>
  <si>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</si>
  <si>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</si>
  <si>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</si>
  <si>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</si>
  <si>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</si>
  <si>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</si>
  <si>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</si>
  <si>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</si>
  <si>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</si>
  <si>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</si>
  <si>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</si>
  <si>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</si>
  <si>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</si>
  <si>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</si>
  <si>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</si>
  <si>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</si>
  <si>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</si>
  <si>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</si>
  <si>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</si>
  <si>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</si>
  <si>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</si>
  <si>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</si>
  <si>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</si>
  <si>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</si>
  <si>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</si>
  <si>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</si>
  <si>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</si>
  <si>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</si>
  <si>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</si>
  <si>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</si>
  <si>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</si>
  <si>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</si>
  <si>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</si>
  <si>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</si>
  <si>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</si>
  <si>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</si>
  <si>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</si>
  <si>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</si>
  <si>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</si>
  <si>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</si>
  <si>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</si>
  <si>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</si>
  <si>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</si>
  <si>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</si>
  <si>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</si>
  <si>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</si>
  <si>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</si>
  <si>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</si>
  <si>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</si>
  <si>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</si>
  <si>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</si>
  <si>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</si>
  <si>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</si>
  <si>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</si>
  <si>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</si>
  <si>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</si>
  <si>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</si>
  <si>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</si>
  <si>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</si>
  <si>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</si>
  <si>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</si>
  <si>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</si>
  <si>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</si>
  <si>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</si>
  <si>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</si>
  <si>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</si>
  <si>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</si>
  <si>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</si>
  <si>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</si>
  <si>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</si>
  <si>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</si>
  <si>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</si>
  <si>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</si>
  <si>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</si>
  <si>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</si>
  <si>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</si>
  <si>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</si>
  <si>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</si>
  <si>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</si>
  <si>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</si>
  <si>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</si>
  <si>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</si>
  <si>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</si>
  <si>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</si>
  <si>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</si>
  <si>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</si>
  <si>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</si>
  <si>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</si>
  <si>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</si>
  <si>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</si>
  <si>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</si>
  <si>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</si>
  <si>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</si>
  <si>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</si>
  <si>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</si>
  <si>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</si>
  <si>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</si>
  <si>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</si>
  <si>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</si>
  <si>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</si>
  <si>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</si>
  <si>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</si>
  <si>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</si>
  <si>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</si>
  <si>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</si>
  <si>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</si>
  <si>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</si>
  <si>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</si>
  <si>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</si>
  <si>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</si>
  <si>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</si>
  <si>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</si>
  <si>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</si>
  <si>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</si>
  <si>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</si>
  <si>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</si>
  <si>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</si>
  <si>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</si>
  <si>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</si>
  <si>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</si>
  <si>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</si>
  <si>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</si>
  <si>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</si>
  <si>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</si>
  <si>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</si>
  <si>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</si>
  <si>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</si>
  <si>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</si>
  <si>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</si>
  <si>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</si>
  <si>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</si>
  <si>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</si>
  <si>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</si>
  <si>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</si>
  <si>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</si>
  <si>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</si>
  <si>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</si>
  <si>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</si>
  <si>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</si>
  <si>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</si>
  <si>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</si>
  <si>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</si>
  <si>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</si>
  <si>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</si>
  <si>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</si>
  <si>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</si>
  <si>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</si>
  <si>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</si>
  <si>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</si>
  <si>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</si>
  <si>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</si>
  <si>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</si>
  <si>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</si>
  <si>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</si>
  <si>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</si>
  <si>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</si>
  <si>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</si>
  <si>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</si>
  <si>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</si>
  <si>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</si>
  <si>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</si>
  <si>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</si>
  <si>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</si>
  <si>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</si>
  <si>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</si>
  <si>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</si>
  <si>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</si>
  <si>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</si>
  <si>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</si>
  <si>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</si>
  <si>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</si>
  <si>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</si>
  <si>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</si>
  <si>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</si>
  <si>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</si>
  <si>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</si>
  <si>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</si>
  <si>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</si>
  <si>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</si>
  <si>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</si>
  <si>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</si>
  <si>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</si>
  <si>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</si>
  <si>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</si>
  <si>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</si>
  <si>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</si>
  <si>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</si>
  <si>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</si>
  <si>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</si>
  <si>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</si>
  <si>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</si>
  <si>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</si>
  <si>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</si>
  <si>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</si>
  <si>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</si>
  <si>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</si>
  <si>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</si>
  <si>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</si>
  <si>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</si>
  <si>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</si>
  <si>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</si>
  <si>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</si>
  <si>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</si>
  <si>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</si>
  <si>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</si>
  <si>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</si>
  <si>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</si>
  <si>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</si>
  <si>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</si>
  <si>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</si>
  <si>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</si>
  <si>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</si>
  <si>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</si>
  <si>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</si>
  <si>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</si>
  <si>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</si>
  <si>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</si>
  <si>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</si>
  <si>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</si>
  <si>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</si>
  <si>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</si>
  <si>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</si>
  <si>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</si>
  <si>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</si>
  <si>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</si>
  <si>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</si>
  <si>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</si>
  <si>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</si>
  <si>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</si>
  <si>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</si>
  <si>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</si>
  <si>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</si>
  <si>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</si>
  <si>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</si>
  <si>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</si>
  <si>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</si>
  <si>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</si>
  <si>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</si>
  <si>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</si>
  <si>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</si>
  <si>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</si>
  <si>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</si>
  <si>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</si>
  <si>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</si>
  <si>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</si>
  <si>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</si>
  <si>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</si>
  <si>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</si>
  <si>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</si>
  <si>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</si>
  <si>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</si>
  <si>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</si>
  <si>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</si>
  <si>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</si>
  <si>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</si>
  <si>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</si>
  <si>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</si>
  <si>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</si>
  <si>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</si>
  <si>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</si>
  <si>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</si>
  <si>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</si>
  <si>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</si>
  <si>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</si>
  <si>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</si>
  <si>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</si>
  <si>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</si>
  <si>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</si>
  <si>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</si>
  <si>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</si>
  <si>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</si>
  <si>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</si>
  <si>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</si>
  <si>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</si>
  <si>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</si>
  <si>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</si>
  <si>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</si>
  <si>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</si>
  <si>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</si>
  <si>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</si>
  <si>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</si>
  <si>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</si>
  <si>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</si>
  <si>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</si>
  <si>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</si>
  <si>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</si>
  <si>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</si>
  <si>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</si>
  <si>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</si>
  <si>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</si>
  <si>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</si>
  <si>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</si>
  <si>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</si>
  <si>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</si>
  <si>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</si>
  <si>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</si>
  <si>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</si>
  <si>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</si>
  <si>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</si>
  <si>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</si>
  <si>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</si>
  <si>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</si>
  <si>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</si>
  <si>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</si>
  <si>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</si>
  <si>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</si>
  <si>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</si>
  <si>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</si>
  <si>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</si>
  <si>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</si>
  <si>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</si>
  <si>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</si>
  <si>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</si>
  <si>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</si>
  <si>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</si>
  <si>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</si>
  <si>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</si>
  <si>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</si>
  <si>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</si>
  <si>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</si>
  <si>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</si>
  <si>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</si>
  <si>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</si>
  <si>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</si>
  <si>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</si>
  <si>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</si>
  <si>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</si>
  <si>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</si>
  <si>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</si>
  <si>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</si>
  <si>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</si>
  <si>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</si>
  <si>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</si>
  <si>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</si>
  <si>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</si>
  <si>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</si>
  <si>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</si>
  <si>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</si>
  <si>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</si>
  <si>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</si>
  <si>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</si>
  <si>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</si>
  <si>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</si>
  <si>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</si>
  <si>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</si>
  <si>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</si>
  <si>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</si>
  <si>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</si>
  <si>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</si>
  <si>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</si>
  <si>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</si>
  <si>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</si>
  <si>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</si>
  <si>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</si>
  <si>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</si>
  <si>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</si>
  <si>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</si>
  <si>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</si>
  <si>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</si>
  <si>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</si>
  <si>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</si>
  <si>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</si>
  <si>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</si>
  <si>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</si>
  <si>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</si>
  <si>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</si>
  <si>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</si>
  <si>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</si>
  <si>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</si>
  <si>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</si>
  <si>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</si>
  <si>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</si>
  <si>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</si>
  <si>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</si>
  <si>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</si>
  <si>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</si>
  <si>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</si>
  <si>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</si>
  <si>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BLACK OUT</t>
  </si>
  <si>
    <t>TERGAL</t>
  </si>
  <si>
    <t>MARA ZULEY</t>
  </si>
  <si>
    <t>TIJUANA</t>
  </si>
  <si>
    <t>VENTANA</t>
  </si>
  <si>
    <t>BS 121825EG-1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</si>
</sst>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44" fontId="20" fillId="23" borderId="23" xfId="1" applyFont="1" applyFill="1" applyBorder="1" applyProtection="1">
      <protection hidden="1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A31" zoomScale="70" zoomScaleNormal="70" workbookViewId="0">
      <selection activeCell="AA18" sqref="AA18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121825EG-1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MARA ZULEY</v>
      </c>
      <c r="L4" s="340"/>
      <c r="N4" s="340" t="str">
        <f>'FILL QUOTE-CALCULATIONS'!O6</f>
        <v>TIJUANA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MARA ZULEY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46009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HARDWARE</v>
      </c>
      <c r="Q10" s="909"/>
      <c r="R10" s="909"/>
      <c r="S10" s="909"/>
      <c r="T10" s="352" t="str">
        <f>'FILL QUOTE-CALCULATIONS'!T12</f>
        <v>DRAPERIES</v>
      </c>
      <c r="U10" s="352" t="str">
        <f>'FILL QUOTE-CALCULATIONS'!W12</f>
        <v>HARDWARE</v>
      </c>
      <c r="V10" s="909" t="str">
        <f>'FILL QUOTE-CALCULATIONS'!AB12</f>
        <v>TOTALS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BOD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LINE-VTLUX</v>
      </c>
      <c r="I12" s="360" t="str">
        <f>IF(OR(C12&lt;1,C12=""),"",IF('FILL QUOTE-CALCULATIONS'!$S$4="INGLES",'FILL QUOTE-CALCULATIONS'!I15,VLOOKUP('FILL QUOTE-CALCULATIONS'!I15,'DROP LIST'!$M$15:$N$18,2,0)))</f>
        <v>BO-VTX-DEC. MATT</v>
      </c>
      <c r="J12" s="360" t="str">
        <f>'FILL QUOTE-CALCULATIONS'!J15</f>
        <v/>
      </c>
      <c r="K12" s="360" t="str">
        <f>IF(OR(C12&lt;1,C12=""),"",'FILL QUOTE-CALCULATIONS'!K15)</f>
        <v>BLACK OUT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VENTANA</v>
      </c>
      <c r="N12" s="362">
        <f>IF(OR(C12&lt;1,C12=""),"",'FILL QUOTE-CALCULATIONS'!N15)</f>
        <v>44.5</v>
      </c>
      <c r="O12" s="362">
        <f>IF(OR(C12&lt;1,C12=""),"",'FILL QUOTE-CALCULATIONS'!O15)</f>
        <v>98.25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285.60000000000002</v>
      </c>
      <c r="U12" s="364">
        <f>IF(OR(C12&lt;1,C12=""),"",'FILL QUOTE-CALCULATIONS'!W15)</f>
        <v>59.650000000000006</v>
      </c>
      <c r="V12" s="365">
        <f>IF(OR(C12&lt;1,C12=""),"",IF('FILL QUOTE-CALCULATIONS'!$S$3="DOLLARS",'FILL QUOTE-CALCULATIONS'!AB15,'FILL QUOTE-CALCULATIONS'!AB15*'FILL QUOTE-CALCULATIONS'!$AC$4))</f>
        <v>345.25</v>
      </c>
      <c r="W12" s="366">
        <f>IF(OR(C12&lt;1,C12=""),"",IF('FILL QUOTE-CALCULATIONS'!$S$3="DOLLARS",'FILL QUOTE-CALCULATIONS'!AC15,'FILL QUOTE-CALCULATIONS'!AC15*'FILL QUOTE-CALCULATIONS'!$AC$4))</f>
        <v>345.25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SHEER</v>
      </c>
      <c r="J13" s="360" t="str">
        <f>'FILL QUOTE-CALCULATIONS'!J16</f>
        <v/>
      </c>
      <c r="K13" s="360" t="str">
        <f>IF(OR(C13&lt;1,C13=""),"",'FILL QUOTE-CALCULATIONS'!K16)</f>
        <v>TERGAL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VENTANA</v>
      </c>
      <c r="N13" s="362">
        <f>IF(OR(C13&lt;1,C13=""),"",'FILL QUOTE-CALCULATIONS'!N16)</f>
        <v>44.5</v>
      </c>
      <c r="O13" s="362">
        <f>IF(OR(C13&lt;1,C13=""),"",'FILL QUOTE-CALCULATIONS'!O16)</f>
        <v>98.25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135.85</v>
      </c>
      <c r="U13" s="364">
        <f>IF(OR(C13&lt;1,C13=""),"",'FILL QUOTE-CALCULATIONS'!W16)</f>
        <v>59.650000000000006</v>
      </c>
      <c r="V13" s="365">
        <f>IF(OR(C13&lt;1,C13=""),"",IF('FILL QUOTE-CALCULATIONS'!$S$3="DOLLARS",'FILL QUOTE-CALCULATIONS'!AB16,'FILL QUOTE-CALCULATIONS'!AB16*'FILL QUOTE-CALCULATIONS'!$AC$4))</f>
        <v>195.5</v>
      </c>
      <c r="W13" s="366">
        <f>IF(OR(C13&lt;1,C13=""),"",IF('FILL QUOTE-CALCULATIONS'!$S$3="DOLLARS",'FILL QUOTE-CALCULATIONS'!AC16,'FILL QUOTE-CALCULATIONS'!AC16*'FILL QUOTE-CALCULATIONS'!$AC$4))</f>
        <v>195.5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540.75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0.488969024503005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264.40999999999997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276.34000000000003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10" t="str">
        <f>'FILL QUOTE-CALCULATIONS'!AB76</f>
        <v>ESAU GOMEZ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285.60000000000002</v>
      </c>
      <c r="D19" s="109">
        <f>'FILL QUOTE-CALCULATIONS'!BF16</f>
        <v>135.85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2</v>
      </c>
      <c r="D24" s="73" t="str">
        <f>'FILL QUOTE-CALCULATIONS'!AN16</f>
        <v>N/A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571.20000000000005</v>
      </c>
      <c r="D29" s="119" t="str">
        <f>E19</f>
        <v/>
      </c>
      <c r="E29" s="119" t="str">
        <f>E19</f>
        <v/>
      </c>
      <c r="F29" s="119">
        <f>D19*2</f>
        <v>271.7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2</v>
      </c>
      <c r="D24" s="73" t="str">
        <f>'FILL QUOTE-CALCULATIONS'!AN16</f>
        <v>N/A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C2" sqref="AC2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755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724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752</v>
      </c>
      <c r="L6" s="214"/>
      <c r="O6" s="907" t="s">
        <v>753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752</v>
      </c>
      <c r="L9" s="214"/>
      <c r="O9" s="907"/>
      <c r="P9" s="214"/>
      <c r="Q9" s="214"/>
      <c r="R9" s="211"/>
      <c r="S9" s="213" t="s">
        <v>749</v>
      </c>
      <c r="T9" s="214"/>
      <c r="AC9" s="221">
        <v>46009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DRAPERIES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HARDWARE</v>
      </c>
      <c r="Q12" s="916"/>
      <c r="R12" s="916"/>
      <c r="S12" s="917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20" t="str">
        <f>IF(S4="INGLES","TOTALS","TOTALES")</f>
        <v>TOTALS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132</v>
      </c>
      <c r="F15" s="179" t="s">
        <v>136</v>
      </c>
      <c r="G15" s="671">
        <v>2</v>
      </c>
      <c r="H15" s="906" t="s">
        <v>663</v>
      </c>
      <c r="I15" s="906" t="s">
        <v>675</v>
      </c>
      <c r="J15" s="179" t="str">
        <f t="shared" ref="J15" si="0">IF(OR(C15="",C15&lt;1),"",IF(H15="C.O.M.",CEILING(AQ15,0.5),""))</f>
        <v/>
      </c>
      <c r="K15" s="672" t="s">
        <v>750</v>
      </c>
      <c r="L15" s="179" t="s">
        <v>122</v>
      </c>
      <c r="M15" s="672" t="s">
        <v>754</v>
      </c>
      <c r="N15" s="673">
        <v>44.5</v>
      </c>
      <c r="O15" s="673">
        <v>98.25</v>
      </c>
      <c r="P15" s="197" t="s">
        <v>266</v>
      </c>
      <c r="Q15" s="178" t="s">
        <v>737</v>
      </c>
      <c r="R15" s="176" t="s">
        <v>289</v>
      </c>
      <c r="S15" s="179" t="s">
        <v>289</v>
      </c>
      <c r="T15" s="895">
        <f t="shared" ref="T15:T62" si="1">IF(E15="",0,IF(OR(C15&lt;1,C15=""),"",BF15))</f>
        <v>285.60000000000002</v>
      </c>
      <c r="U15" s="668">
        <v>0.4</v>
      </c>
      <c r="V15" s="669">
        <v>0.5</v>
      </c>
      <c r="W15" s="896">
        <f t="shared" ref="W15:W62" si="2">IF(OR(C15&lt;1,C15=""),"",BI15)</f>
        <v>59.650000000000006</v>
      </c>
      <c r="X15" s="694">
        <v>0.4</v>
      </c>
      <c r="Y15" s="690">
        <v>0.45</v>
      </c>
      <c r="Z15" s="667">
        <f>T15*IF($L$4="RESIDENCIAL",1-U15,1-V15)+W15*IF($L$4="RESIDENCIAL",1-X15,1-Y15)</f>
        <v>175.60750000000002</v>
      </c>
      <c r="AA15" s="659">
        <f>IF(E15="",0,IF(OR(C15&lt;1,C15=""),"",IF($S$3="PESOS",Z15*C15*$AC$4,Z15*C15)))</f>
        <v>175.60750000000002</v>
      </c>
      <c r="AB15" s="895">
        <f t="shared" ref="AB15:AB62" si="3">IF(E15="",0,IF(OR(C15&lt;1,C15=""),"",T15+W15))</f>
        <v>345.25</v>
      </c>
      <c r="AC15" s="896">
        <f>IF(E15="",0,IF(OR(C15&lt;1,C15=""),"",IF($S$3="PESOS",AB15*C15*$AC$4, AB15*C15)))</f>
        <v>345.25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2.2250000000000001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103.72499999999999</v>
      </c>
      <c r="AJ15" s="307">
        <f t="shared" ref="AJ15:AJ62" si="9">IF(C15="","",O15+AG15+AH15)</f>
        <v>115.25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1.9208333333333332</v>
      </c>
      <c r="AN15" s="309">
        <f t="shared" ref="AN15:AN62" si="13">IF(C15="","",IF(AL15="RAILROAD","N/A",IF(AK15&lt;60,CEILING(AM15,0.5),CEILING(AM15,0.25))))</f>
        <v>2</v>
      </c>
      <c r="AO15" s="309">
        <f t="shared" ref="AO15:AO62" si="14">IF(C15="","",IF(AL15="VERTICAL",AN15*AK15/54,CEILING(AI15/54,0.5)))</f>
        <v>2</v>
      </c>
      <c r="AP15" s="308">
        <f t="shared" ref="AP15:AP62" si="15">IF(C15="","",IF(AL15="VERTICAL",CEILING(AN15*AJ15/36/0.93,0.25),CEILING(AI15/36/0.93,0.25)))</f>
        <v>7</v>
      </c>
      <c r="AQ15" s="310">
        <f t="shared" ref="AQ15:AQ62" si="16">IF(C15="","",AP15*C15)</f>
        <v>7</v>
      </c>
      <c r="AR15" s="306">
        <f t="shared" ref="AR15:AR62" si="17">IF(C15="","",CEILING(AI15,1))</f>
        <v>104</v>
      </c>
      <c r="AS15" s="308">
        <f t="shared" ref="AS15:AS62" si="18">IF(C15="","",O15+(2*$AG$3)+2+1)</f>
        <v>109.25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6.5</v>
      </c>
      <c r="AW15" s="310">
        <f t="shared" ref="AW15:AW62" si="22">IF(C15="","",AV15*C15)</f>
        <v>6.5</v>
      </c>
      <c r="AX15" s="311">
        <f t="shared" ref="AX15:AX62" si="23">IF(C15="","",N15/12/(1-$AX$13))</f>
        <v>4.0307971014492754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908">
        <f>IF(C15="","",IF(H15="STOCK",VLOOKUP(I15,'COST - SELL'!$B$26:$G$29,6,0),IF(H15="LINE-ATELIER",VLOOKUP(I15,'COST - SELL'!$J$26:$Q$29,8,0),IF(H15="LINE-VTLUX",VLOOKUP(I15,'COST - SELL'!$B$36:$I$51,8,0),0))))-5</f>
        <v>35.400000000000006</v>
      </c>
      <c r="BA15" s="313">
        <f t="shared" ref="BA15:BA62" si="25">IF(C15="","",AP15*AZ15)</f>
        <v>247.80000000000004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37.800000000000004</v>
      </c>
      <c r="BF15" s="313">
        <f>IF(C15="","",CEILING(BA15+BC15+BE15,0.05))</f>
        <v>285.60000000000002</v>
      </c>
      <c r="BG15" s="316">
        <f>IF(C15="","",IF(Q15="N/A",0,VLOOKUP(Q15,'COST - SELL'!$B$80:$I$91,8,0)*'FILL QUOTE-CALCULATIONS'!AX15))</f>
        <v>50.384963768115945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59.650000000000006</v>
      </c>
      <c r="BJ15" s="316">
        <f t="shared" ref="BJ15:BJ62" si="29">IF(C15="","",BF15+BI15)</f>
        <v>345.25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272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323</v>
      </c>
      <c r="J16" s="179" t="str">
        <f t="shared" ref="J16" si="30">IF(OR(C16="",C16&lt;1),"",IF(H16="C.O.M.",CEILING(AQ16,0.5),""))</f>
        <v/>
      </c>
      <c r="K16" s="672" t="s">
        <v>751</v>
      </c>
      <c r="L16" s="179" t="s">
        <v>122</v>
      </c>
      <c r="M16" s="672" t="s">
        <v>754</v>
      </c>
      <c r="N16" s="673">
        <v>44.5</v>
      </c>
      <c r="O16" s="673">
        <v>98.25</v>
      </c>
      <c r="P16" s="197" t="s">
        <v>266</v>
      </c>
      <c r="Q16" s="178" t="s">
        <v>737</v>
      </c>
      <c r="R16" s="176" t="s">
        <v>289</v>
      </c>
      <c r="S16" s="179" t="s">
        <v>289</v>
      </c>
      <c r="T16" s="895">
        <f t="shared" si="1"/>
        <v>135.85</v>
      </c>
      <c r="U16" s="668">
        <v>0.4</v>
      </c>
      <c r="V16" s="669">
        <v>0.5</v>
      </c>
      <c r="W16" s="896">
        <f t="shared" si="2"/>
        <v>59.650000000000006</v>
      </c>
      <c r="X16" s="694">
        <v>0.4</v>
      </c>
      <c r="Y16" s="690">
        <v>0.45</v>
      </c>
      <c r="Z16" s="667">
        <f>IF(E16="",0,T16*IF($L$4="RESIDENCIAL",1-U16,1-V16)+W16*IF($L$4="RESIDENCIAL",1-X16,1-Y16))</f>
        <v>100.7325</v>
      </c>
      <c r="AA16" s="659">
        <f>IF(E16="",0,IF(OR(C16&lt;1,C16=""),"",IF($S$3="PESOS",Z16*C16*$AC$4, Z16*C16)))</f>
        <v>100.7325</v>
      </c>
      <c r="AB16" s="895">
        <f t="shared" si="3"/>
        <v>195.5</v>
      </c>
      <c r="AC16" s="896">
        <f>IF(E16="",0,IF(OR(C16&lt;1,C16=""),"",IF($S$3="PESOS",AB16*C16*$AC$4, AB16*C16)))</f>
        <v>195.5</v>
      </c>
      <c r="AD16" s="181"/>
      <c r="AE16" s="883">
        <f t="shared" si="4"/>
        <v>12.5</v>
      </c>
      <c r="AF16" s="883">
        <f t="shared" si="5"/>
        <v>2.2250000000000001</v>
      </c>
      <c r="AG16" s="883">
        <f t="shared" si="6"/>
        <v>9</v>
      </c>
      <c r="AH16" s="884">
        <f t="shared" si="7"/>
        <v>8</v>
      </c>
      <c r="AI16" s="317">
        <f t="shared" si="8"/>
        <v>103.72499999999999</v>
      </c>
      <c r="AJ16" s="304">
        <f t="shared" si="9"/>
        <v>115.25</v>
      </c>
      <c r="AK16" s="304">
        <f t="shared" si="10"/>
        <v>118</v>
      </c>
      <c r="AL16" s="318" t="str">
        <f t="shared" si="11"/>
        <v>RAILROAD</v>
      </c>
      <c r="AM16" s="318">
        <f t="shared" si="12"/>
        <v>0.87902542372881354</v>
      </c>
      <c r="AN16" s="319" t="str">
        <f t="shared" si="13"/>
        <v>N/A</v>
      </c>
      <c r="AO16" s="319">
        <f t="shared" si="14"/>
        <v>2</v>
      </c>
      <c r="AP16" s="318">
        <f t="shared" si="15"/>
        <v>3.25</v>
      </c>
      <c r="AQ16" s="320">
        <f t="shared" si="16"/>
        <v>3.25</v>
      </c>
      <c r="AR16" s="306">
        <f t="shared" si="17"/>
        <v>104</v>
      </c>
      <c r="AS16" s="308">
        <f t="shared" si="18"/>
        <v>109.25</v>
      </c>
      <c r="AT16" s="308">
        <f t="shared" si="19"/>
        <v>54</v>
      </c>
      <c r="AU16" s="308" t="str">
        <f t="shared" si="20"/>
        <v>VERTICAL</v>
      </c>
      <c r="AV16" s="308">
        <f t="shared" si="21"/>
        <v>6.5</v>
      </c>
      <c r="AW16" s="310">
        <f t="shared" si="22"/>
        <v>6.5</v>
      </c>
      <c r="AX16" s="321">
        <f t="shared" si="23"/>
        <v>4.0307971014492754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103.35000000000001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32.5</v>
      </c>
      <c r="BF16" s="313">
        <f t="shared" ref="BF16:BF62" si="31">IF(C16="","",CEILING(BA16+BC16+BE16,0.05))</f>
        <v>135.85</v>
      </c>
      <c r="BG16" s="316">
        <f>IF(C16="","",IF(Q16="N/A",0,VLOOKUP(Q16,'COST - SELL'!$B$80:$I$91,8,0)*'FILL QUOTE-CALCULATIONS'!AX16))</f>
        <v>50.384963768115945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9.25</v>
      </c>
      <c r="BI16" s="316">
        <f t="shared" si="28"/>
        <v>59.650000000000006</v>
      </c>
      <c r="BJ16" s="316">
        <f t="shared" si="29"/>
        <v>195.5</v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6"/>
      <c r="I17" s="906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2">IF(E17="",0,IF(OR(C17&lt;1,C17=""),"",BF17))</f>
        <v>0</v>
      </c>
      <c r="U17" s="668">
        <v>0.4</v>
      </c>
      <c r="V17" s="669">
        <v>0.5</v>
      </c>
      <c r="W17" s="896" t="str">
        <f t="shared" ref="W17" si="33">IF(OR(C17&lt;1,C17=""),"",BI17)</f>
        <v/>
      </c>
      <c r="X17" s="694">
        <v>0.4</v>
      </c>
      <c r="Y17" s="690">
        <v>0.45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4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5">IF(C17="","",$AG$6+$AG$7+$AG$8)</f>
        <v/>
      </c>
      <c r="AF17" s="883" t="str">
        <f t="shared" ref="AF17" si="36">IF(C17="","",N17*$AF$13)</f>
        <v/>
      </c>
      <c r="AG17" s="883" t="str">
        <f t="shared" ref="AG17" si="37">IF(C17="","",$AG$3*2+1)</f>
        <v/>
      </c>
      <c r="AH17" s="884" t="str">
        <f t="shared" ref="AH17" si="38">IF(C17="","",$AG$4*2)</f>
        <v/>
      </c>
      <c r="AI17" s="317" t="str">
        <f t="shared" ref="AI17" si="39">IF(C17="","",N17*G17+AE17+AF17)</f>
        <v/>
      </c>
      <c r="AJ17" s="304" t="str">
        <f t="shared" ref="AJ17" si="40">IF(C17="","",O17+AG17+AH17)</f>
        <v/>
      </c>
      <c r="AK17" s="304" t="str">
        <f t="shared" ref="AK17" si="41">IF(C17="","",IF(OR(F17="SHEER",F17="STAT. SHEER"),118,54))</f>
        <v/>
      </c>
      <c r="AL17" s="318" t="str">
        <f t="shared" ref="AL17" si="42">IF(C17="","",IF(AK17&lt;65,"VERTICAL",IF(AJ17&gt;AK17,"VERTICAL","RAILROAD")))</f>
        <v/>
      </c>
      <c r="AM17" s="318" t="str">
        <f t="shared" ref="AM17" si="43">IF(C17="","",AI17/AK17)</f>
        <v/>
      </c>
      <c r="AN17" s="319" t="str">
        <f t="shared" ref="AN17" si="44">IF(C17="","",IF(AL17="RAILROAD","N/A",IF(AK17&lt;60,CEILING(AM17,0.5),CEILING(AM17,0.25))))</f>
        <v/>
      </c>
      <c r="AO17" s="319" t="str">
        <f t="shared" ref="AO17" si="45">IF(C17="","",IF(AL17="VERTICAL",AN17*AK17/54,CEILING(AI17/54,0.5)))</f>
        <v/>
      </c>
      <c r="AP17" s="318" t="str">
        <f t="shared" ref="AP17" si="46">IF(C17="","",IF(AL17="VERTICAL",CEILING(AN17*AJ17/36/0.93,0.25),CEILING(AI17/36/0.93,0.25)))</f>
        <v/>
      </c>
      <c r="AQ17" s="320" t="str">
        <f t="shared" ref="AQ17" si="47">IF(C17="","",AP17*C17)</f>
        <v/>
      </c>
      <c r="AR17" s="306" t="str">
        <f t="shared" ref="AR17" si="48">IF(C17="","",CEILING(AI17,1))</f>
        <v/>
      </c>
      <c r="AS17" s="308" t="str">
        <f t="shared" ref="AS17" si="49">IF(C17="","",O17+(2*$AG$3)+2+1)</f>
        <v/>
      </c>
      <c r="AT17" s="308" t="str">
        <f t="shared" ref="AT17" si="50">IF(C17="","",IF(OR(L17="3-PASS WW",L17="3-PASS IV-EC"),110,54))</f>
        <v/>
      </c>
      <c r="AU17" s="308" t="str">
        <f t="shared" ref="AU17" si="51">IF(C17="","",IF(AT17&gt;AS17,"RAILROAD","VERTICAL"))</f>
        <v/>
      </c>
      <c r="AV17" s="308" t="str">
        <f t="shared" ref="AV17" si="52">IF(C17="","",IF(AU17="RAILROAD",CEILING(AR17/36/0.94,0.1),CEILING(CEILING(AR17/AT17,0.25)*AS17/36/0.94,0.1)))</f>
        <v/>
      </c>
      <c r="AW17" s="310" t="str">
        <f t="shared" ref="AW17" si="53">IF(C17="","",AV17*C17)</f>
        <v/>
      </c>
      <c r="AX17" s="321" t="str">
        <f t="shared" ref="AX17" si="54">IF(C17="","",N17/12/(1-$AX$13))</f>
        <v/>
      </c>
      <c r="AY17" s="308" t="str">
        <f t="shared" ref="AY17" si="55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6">IF(C17="","",AP17*AZ17)</f>
        <v/>
      </c>
      <c r="BB17" s="314" t="str">
        <f>IF(C17="","",IF(L17="N/A",0,VLOOKUP(L17,'COST - SELL'!$B$60:$I$63,8,0)))</f>
        <v/>
      </c>
      <c r="BC17" s="313" t="str">
        <f t="shared" ref="BC17" si="57">IF(C17="","",IF(BB17=0,0,BB17*AV17))</f>
        <v/>
      </c>
      <c r="BD17" s="315" t="str">
        <f>IF(C17="","",IF(H17="C.O.M.",VLOOKUP(F17,'COST - SELL'!$J$11:$N$19,5,0),VLOOKUP(F17,'COST - SELL'!$B$11:$H$19,7,0)))</f>
        <v/>
      </c>
      <c r="BE17" s="315" t="str">
        <f t="shared" ref="BE17" si="58">IF(C17="","",BD17*AO17)</f>
        <v/>
      </c>
      <c r="BF17" s="313" t="str">
        <f t="shared" ref="BF17" si="59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60">IF(C17="","",CEILING(BG17+BH17,0.05))</f>
        <v/>
      </c>
      <c r="BJ17" s="316" t="str">
        <f t="shared" ref="BJ17" si="61">IF(C17="","",BF17+BI17)</f>
        <v/>
      </c>
    </row>
    <row r="18" spans="2:62" x14ac:dyDescent="0.25">
      <c r="B18" s="231">
        <f t="shared" ref="B18:B62" si="62">1+B17</f>
        <v>4</v>
      </c>
      <c r="C18" s="180"/>
      <c r="D18" s="178"/>
      <c r="E18" s="179"/>
      <c r="F18" s="179"/>
      <c r="G18" s="671"/>
      <c r="H18" s="906"/>
      <c r="I18" s="906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0.45</v>
      </c>
      <c r="Z18" s="667">
        <f t="shared" ref="Z18:Z62" si="63">IF(E18="",0,T18*IF($L$4="RESIDENCIAL",1-U18,1-V18)+W18*IF($L$4="RESIDENCIAL",1-X18,1-Y18))</f>
        <v>0</v>
      </c>
      <c r="AA18" s="659">
        <f t="shared" ref="AA18:AA62" si="64">IF(E18="",0,IF(OR(C18&lt;1,C18=""),"",IF($S$3="PESOS",Z18*C18*$AC$4, Z18*C18)))</f>
        <v>0</v>
      </c>
      <c r="AB18" s="895">
        <f t="shared" si="3"/>
        <v>0</v>
      </c>
      <c r="AC18" s="896">
        <f t="shared" ref="AC18:AC62" si="65">IF(E18="",0,IF(OR(C18&lt;1,C18=""),"",IF($S$3="PESOS",AB18*C18*$AC$4, AB18*C18)))</f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2"/>
        <v>5</v>
      </c>
      <c r="C19" s="180"/>
      <c r="D19" s="178"/>
      <c r="E19" s="179"/>
      <c r="F19" s="179"/>
      <c r="G19" s="671"/>
      <c r="H19" s="906"/>
      <c r="I19" s="906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3"/>
        <v>0</v>
      </c>
      <c r="AA19" s="659">
        <f t="shared" si="64"/>
        <v>0</v>
      </c>
      <c r="AB19" s="895">
        <f t="shared" si="3"/>
        <v>0</v>
      </c>
      <c r="AC19" s="896">
        <f t="shared" si="65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2"/>
        <v>6</v>
      </c>
      <c r="C20" s="180"/>
      <c r="D20" s="178"/>
      <c r="E20" s="179"/>
      <c r="F20" s="179"/>
      <c r="G20" s="671"/>
      <c r="H20" s="906"/>
      <c r="I20" s="906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3"/>
        <v>0</v>
      </c>
      <c r="AA20" s="659">
        <f t="shared" si="64"/>
        <v>0</v>
      </c>
      <c r="AB20" s="895">
        <f t="shared" si="3"/>
        <v>0</v>
      </c>
      <c r="AC20" s="896">
        <f t="shared" si="65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6"/>
      <c r="I21" s="906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3"/>
        <v>0</v>
      </c>
      <c r="AA21" s="659">
        <f t="shared" si="64"/>
        <v>0</v>
      </c>
      <c r="AB21" s="895">
        <f t="shared" si="3"/>
        <v>0</v>
      </c>
      <c r="AC21" s="896">
        <f t="shared" si="6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6"/>
      <c r="I22" s="906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3"/>
        <v>0</v>
      </c>
      <c r="AA22" s="659">
        <f t="shared" si="64"/>
        <v>0</v>
      </c>
      <c r="AB22" s="895">
        <f t="shared" si="3"/>
        <v>0</v>
      </c>
      <c r="AC22" s="896">
        <f t="shared" si="6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6"/>
      <c r="I23" s="906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3"/>
        <v>0</v>
      </c>
      <c r="AA23" s="659">
        <f t="shared" si="64"/>
        <v>0</v>
      </c>
      <c r="AB23" s="895">
        <f t="shared" si="3"/>
        <v>0</v>
      </c>
      <c r="AC23" s="896">
        <f t="shared" si="6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6"/>
      <c r="I24" s="906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3"/>
        <v>0</v>
      </c>
      <c r="AA24" s="659">
        <f t="shared" si="64"/>
        <v>0</v>
      </c>
      <c r="AB24" s="895">
        <f t="shared" si="3"/>
        <v>0</v>
      </c>
      <c r="AC24" s="896">
        <f t="shared" si="6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3"/>
        <v>0</v>
      </c>
      <c r="AA25" s="659">
        <f t="shared" si="64"/>
        <v>0</v>
      </c>
      <c r="AB25" s="895">
        <f t="shared" si="3"/>
        <v>0</v>
      </c>
      <c r="AC25" s="896">
        <f t="shared" si="6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6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3"/>
        <v>0</v>
      </c>
      <c r="AA26" s="659">
        <f t="shared" si="64"/>
        <v>0</v>
      </c>
      <c r="AB26" s="895">
        <f t="shared" si="3"/>
        <v>0</v>
      </c>
      <c r="AC26" s="896">
        <f t="shared" si="6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6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3"/>
        <v>0</v>
      </c>
      <c r="AA27" s="659">
        <f t="shared" si="64"/>
        <v>0</v>
      </c>
      <c r="AB27" s="895">
        <f t="shared" si="3"/>
        <v>0</v>
      </c>
      <c r="AC27" s="896">
        <f t="shared" si="6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6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3"/>
        <v>0</v>
      </c>
      <c r="AA28" s="659">
        <f t="shared" si="64"/>
        <v>0</v>
      </c>
      <c r="AB28" s="895">
        <f t="shared" si="3"/>
        <v>0</v>
      </c>
      <c r="AC28" s="896">
        <f t="shared" si="6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6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3"/>
        <v>0</v>
      </c>
      <c r="AA29" s="659">
        <f t="shared" si="64"/>
        <v>0</v>
      </c>
      <c r="AB29" s="895">
        <f t="shared" si="3"/>
        <v>0</v>
      </c>
      <c r="AC29" s="896">
        <f t="shared" si="6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6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3"/>
        <v>0</v>
      </c>
      <c r="AA30" s="659">
        <f t="shared" si="64"/>
        <v>0</v>
      </c>
      <c r="AB30" s="895">
        <f t="shared" si="3"/>
        <v>0</v>
      </c>
      <c r="AC30" s="896">
        <f t="shared" si="6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6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3"/>
        <v>0</v>
      </c>
      <c r="AA31" s="659">
        <f t="shared" si="64"/>
        <v>0</v>
      </c>
      <c r="AB31" s="895">
        <f t="shared" si="3"/>
        <v>0</v>
      </c>
      <c r="AC31" s="896">
        <f t="shared" si="6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6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3"/>
        <v>0</v>
      </c>
      <c r="AA32" s="659">
        <f t="shared" si="64"/>
        <v>0</v>
      </c>
      <c r="AB32" s="895">
        <f t="shared" si="3"/>
        <v>0</v>
      </c>
      <c r="AC32" s="896">
        <f t="shared" si="6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6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3"/>
        <v>0</v>
      </c>
      <c r="AA33" s="659">
        <f t="shared" si="64"/>
        <v>0</v>
      </c>
      <c r="AB33" s="895">
        <f t="shared" si="3"/>
        <v>0</v>
      </c>
      <c r="AC33" s="896">
        <f t="shared" si="6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6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3"/>
        <v>0</v>
      </c>
      <c r="AA34" s="659">
        <f t="shared" si="64"/>
        <v>0</v>
      </c>
      <c r="AB34" s="895">
        <f t="shared" si="3"/>
        <v>0</v>
      </c>
      <c r="AC34" s="896">
        <f t="shared" si="6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6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3"/>
        <v>0</v>
      </c>
      <c r="AA35" s="659">
        <f t="shared" si="64"/>
        <v>0</v>
      </c>
      <c r="AB35" s="895">
        <f t="shared" si="3"/>
        <v>0</v>
      </c>
      <c r="AC35" s="896">
        <f t="shared" si="6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6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3"/>
        <v>0</v>
      </c>
      <c r="AA36" s="659">
        <f t="shared" si="64"/>
        <v>0</v>
      </c>
      <c r="AB36" s="895">
        <f t="shared" si="3"/>
        <v>0</v>
      </c>
      <c r="AC36" s="896">
        <f t="shared" si="6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6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3"/>
        <v>0</v>
      </c>
      <c r="AA37" s="659">
        <f t="shared" si="64"/>
        <v>0</v>
      </c>
      <c r="AB37" s="895">
        <f t="shared" si="3"/>
        <v>0</v>
      </c>
      <c r="AC37" s="896">
        <f t="shared" si="6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6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3"/>
        <v>0</v>
      </c>
      <c r="AA38" s="659">
        <f t="shared" si="64"/>
        <v>0</v>
      </c>
      <c r="AB38" s="895">
        <f t="shared" si="3"/>
        <v>0</v>
      </c>
      <c r="AC38" s="896">
        <f t="shared" si="6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6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3"/>
        <v>0</v>
      </c>
      <c r="AA39" s="659">
        <f t="shared" si="64"/>
        <v>0</v>
      </c>
      <c r="AB39" s="895">
        <f t="shared" si="3"/>
        <v>0</v>
      </c>
      <c r="AC39" s="896">
        <f t="shared" si="6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6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3"/>
        <v>0</v>
      </c>
      <c r="AA40" s="659">
        <f t="shared" si="64"/>
        <v>0</v>
      </c>
      <c r="AB40" s="895">
        <f t="shared" si="3"/>
        <v>0</v>
      </c>
      <c r="AC40" s="896">
        <f t="shared" si="6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6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3"/>
        <v>0</v>
      </c>
      <c r="AA41" s="659">
        <f t="shared" si="64"/>
        <v>0</v>
      </c>
      <c r="AB41" s="895">
        <f t="shared" si="3"/>
        <v>0</v>
      </c>
      <c r="AC41" s="896">
        <f t="shared" si="6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6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3"/>
        <v>0</v>
      </c>
      <c r="AA42" s="659">
        <f t="shared" si="64"/>
        <v>0</v>
      </c>
      <c r="AB42" s="895">
        <f t="shared" si="3"/>
        <v>0</v>
      </c>
      <c r="AC42" s="896">
        <f t="shared" si="6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6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3"/>
        <v>0</v>
      </c>
      <c r="AA43" s="659">
        <f t="shared" si="64"/>
        <v>0</v>
      </c>
      <c r="AB43" s="895">
        <f t="shared" si="3"/>
        <v>0</v>
      </c>
      <c r="AC43" s="896">
        <f t="shared" si="6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6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3"/>
        <v>0</v>
      </c>
      <c r="AA44" s="659">
        <f t="shared" si="64"/>
        <v>0</v>
      </c>
      <c r="AB44" s="895">
        <f t="shared" si="3"/>
        <v>0</v>
      </c>
      <c r="AC44" s="896">
        <f t="shared" si="6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6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3"/>
        <v>0</v>
      </c>
      <c r="AA45" s="659">
        <f t="shared" si="64"/>
        <v>0</v>
      </c>
      <c r="AB45" s="895">
        <f t="shared" si="3"/>
        <v>0</v>
      </c>
      <c r="AC45" s="896">
        <f t="shared" si="6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6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3"/>
        <v>0</v>
      </c>
      <c r="AA46" s="659">
        <f t="shared" si="64"/>
        <v>0</v>
      </c>
      <c r="AB46" s="895">
        <f t="shared" si="3"/>
        <v>0</v>
      </c>
      <c r="AC46" s="896">
        <f t="shared" si="6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6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3"/>
        <v>0</v>
      </c>
      <c r="AA47" s="659">
        <f t="shared" si="64"/>
        <v>0</v>
      </c>
      <c r="AB47" s="895">
        <f t="shared" si="3"/>
        <v>0</v>
      </c>
      <c r="AC47" s="896">
        <f t="shared" si="6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6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3"/>
        <v>0</v>
      </c>
      <c r="AA48" s="659">
        <f t="shared" si="64"/>
        <v>0</v>
      </c>
      <c r="AB48" s="895">
        <f t="shared" si="3"/>
        <v>0</v>
      </c>
      <c r="AC48" s="896">
        <f t="shared" si="6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6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3"/>
        <v>0</v>
      </c>
      <c r="AA49" s="659">
        <f t="shared" si="64"/>
        <v>0</v>
      </c>
      <c r="AB49" s="895">
        <f t="shared" si="3"/>
        <v>0</v>
      </c>
      <c r="AC49" s="896">
        <f t="shared" si="6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6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3"/>
        <v>0</v>
      </c>
      <c r="AA50" s="659">
        <f t="shared" si="64"/>
        <v>0</v>
      </c>
      <c r="AB50" s="895">
        <f t="shared" si="3"/>
        <v>0</v>
      </c>
      <c r="AC50" s="896">
        <f t="shared" si="6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6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3"/>
        <v>0</v>
      </c>
      <c r="AA51" s="659">
        <f t="shared" si="64"/>
        <v>0</v>
      </c>
      <c r="AB51" s="895">
        <f t="shared" si="3"/>
        <v>0</v>
      </c>
      <c r="AC51" s="896">
        <f t="shared" si="6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6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3"/>
        <v>0</v>
      </c>
      <c r="AA52" s="659">
        <f t="shared" si="64"/>
        <v>0</v>
      </c>
      <c r="AB52" s="895">
        <f t="shared" si="3"/>
        <v>0</v>
      </c>
      <c r="AC52" s="896">
        <f t="shared" si="6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6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3"/>
        <v>0</v>
      </c>
      <c r="AA53" s="659">
        <f t="shared" si="64"/>
        <v>0</v>
      </c>
      <c r="AB53" s="895">
        <f t="shared" si="3"/>
        <v>0</v>
      </c>
      <c r="AC53" s="896">
        <f t="shared" si="6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6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3"/>
        <v>0</v>
      </c>
      <c r="AA54" s="659">
        <f t="shared" si="64"/>
        <v>0</v>
      </c>
      <c r="AB54" s="895">
        <f t="shared" si="3"/>
        <v>0</v>
      </c>
      <c r="AC54" s="896">
        <f t="shared" si="6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6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3"/>
        <v>0</v>
      </c>
      <c r="AA55" s="659">
        <f t="shared" si="64"/>
        <v>0</v>
      </c>
      <c r="AB55" s="895">
        <f t="shared" si="3"/>
        <v>0</v>
      </c>
      <c r="AC55" s="896">
        <f t="shared" si="6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6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3"/>
        <v>0</v>
      </c>
      <c r="AA56" s="659">
        <f t="shared" si="64"/>
        <v>0</v>
      </c>
      <c r="AB56" s="895">
        <f t="shared" si="3"/>
        <v>0</v>
      </c>
      <c r="AC56" s="896">
        <f t="shared" si="6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6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3"/>
        <v>0</v>
      </c>
      <c r="AA57" s="659">
        <f t="shared" si="64"/>
        <v>0</v>
      </c>
      <c r="AB57" s="895">
        <f t="shared" si="3"/>
        <v>0</v>
      </c>
      <c r="AC57" s="896">
        <f t="shared" si="6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6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3"/>
        <v>0</v>
      </c>
      <c r="AA58" s="659">
        <f t="shared" si="64"/>
        <v>0</v>
      </c>
      <c r="AB58" s="895">
        <f t="shared" si="3"/>
        <v>0</v>
      </c>
      <c r="AC58" s="896">
        <f t="shared" si="6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6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3"/>
        <v>0</v>
      </c>
      <c r="AA59" s="659">
        <f t="shared" si="64"/>
        <v>0</v>
      </c>
      <c r="AB59" s="895">
        <f t="shared" si="3"/>
        <v>0</v>
      </c>
      <c r="AC59" s="896">
        <f t="shared" si="6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6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3"/>
        <v>0</v>
      </c>
      <c r="AA60" s="659">
        <f t="shared" si="64"/>
        <v>0</v>
      </c>
      <c r="AB60" s="895">
        <f t="shared" si="3"/>
        <v>0</v>
      </c>
      <c r="AC60" s="896">
        <f t="shared" si="6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6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3"/>
        <v>0</v>
      </c>
      <c r="AA61" s="659">
        <f t="shared" si="64"/>
        <v>0</v>
      </c>
      <c r="AB61" s="895">
        <f t="shared" si="3"/>
        <v>0</v>
      </c>
      <c r="AC61" s="896">
        <f t="shared" si="6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6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3"/>
        <v>0</v>
      </c>
      <c r="AA62" s="659">
        <f t="shared" si="64"/>
        <v>0</v>
      </c>
      <c r="AB62" s="895">
        <f t="shared" si="3"/>
        <v>0</v>
      </c>
      <c r="AC62" s="896">
        <f t="shared" si="6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6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4" t="str">
        <f>IF('FILL QUOTE-CALCULATIONS'!S4="INGLES","DESCRIPTION OF ADDITIONAL SERVICES","DESCRIPCION DE SERVICIOS ADICIONALES")</f>
        <v>DESCRIPTION OF ADDITIONAL SERVICES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/>
      <c r="AD64" s="181"/>
    </row>
    <row r="65" spans="2:35" ht="18.75" x14ac:dyDescent="0.25">
      <c r="B65" s="231">
        <f t="shared" ref="B65:B67" si="67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/>
      <c r="AD65" s="181"/>
      <c r="AF65" s="222"/>
    </row>
    <row r="66" spans="2:35" ht="18.75" x14ac:dyDescent="0.25">
      <c r="B66" s="231">
        <f t="shared" si="67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68">IF(C66="","",IF($S$3="PESOS",C66*AB66*$AC$4,C66*AB66))</f>
        <v/>
      </c>
      <c r="AD66" s="181"/>
      <c r="AF66" s="222"/>
    </row>
    <row r="67" spans="2:35" ht="19.5" thickBot="1" x14ac:dyDescent="0.3">
      <c r="B67" s="242">
        <f t="shared" si="67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68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540.75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0.488969024503005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264.40999999999997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276.34000000000003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8" t="s">
        <v>172</v>
      </c>
      <c r="G7" s="939"/>
      <c r="H7" s="940"/>
      <c r="J7" s="941" t="s">
        <v>329</v>
      </c>
      <c r="L7" s="938" t="s">
        <v>172</v>
      </c>
      <c r="M7" s="939"/>
      <c r="N7" s="940"/>
    </row>
    <row r="8" spans="2:16" ht="15" hidden="1" customHeight="1" x14ac:dyDescent="0.25">
      <c r="B8" s="950" t="s">
        <v>328</v>
      </c>
      <c r="C8" s="95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2"/>
      <c r="C9" s="953"/>
      <c r="D9" s="437">
        <v>0.4</v>
      </c>
      <c r="F9" s="438" t="s">
        <v>77</v>
      </c>
      <c r="G9" s="438" t="s">
        <v>174</v>
      </c>
      <c r="H9" s="438" t="s">
        <v>175</v>
      </c>
      <c r="J9" s="94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8" t="s">
        <v>172</v>
      </c>
      <c r="F22" s="939"/>
      <c r="G22" s="940"/>
      <c r="O22" s="938" t="s">
        <v>172</v>
      </c>
      <c r="P22" s="939"/>
      <c r="Q22" s="940"/>
    </row>
    <row r="23" spans="2:17" hidden="1" x14ac:dyDescent="0.25">
      <c r="B23" s="944" t="s">
        <v>181</v>
      </c>
      <c r="C23" s="945"/>
      <c r="D23" s="94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4" t="s">
        <v>185</v>
      </c>
      <c r="K23" s="945"/>
      <c r="L23" s="945"/>
      <c r="M23" s="945"/>
      <c r="N23" s="94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7"/>
      <c r="C24" s="948"/>
      <c r="D24" s="949"/>
      <c r="E24" s="438" t="s">
        <v>77</v>
      </c>
      <c r="F24" s="438" t="s">
        <v>174</v>
      </c>
      <c r="G24" s="438" t="s">
        <v>175</v>
      </c>
      <c r="J24" s="947"/>
      <c r="K24" s="948"/>
      <c r="L24" s="948"/>
      <c r="M24" s="948"/>
      <c r="N24" s="94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8" t="s">
        <v>172</v>
      </c>
      <c r="H32" s="939"/>
      <c r="I32" s="940"/>
    </row>
    <row r="33" spans="1:12" hidden="1" x14ac:dyDescent="0.25">
      <c r="B33" s="954" t="s">
        <v>662</v>
      </c>
      <c r="C33" s="955"/>
      <c r="D33" s="955"/>
      <c r="E33" s="955"/>
      <c r="F33" s="95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7"/>
      <c r="C34" s="958"/>
      <c r="D34" s="958"/>
      <c r="E34" s="958"/>
      <c r="F34" s="95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8" t="s">
        <v>172</v>
      </c>
      <c r="H56" s="939"/>
      <c r="I56" s="94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63">
        <f>'MARK UP''s'!D12</f>
        <v>0.5</v>
      </c>
      <c r="H68" s="964"/>
      <c r="I68" s="964"/>
      <c r="J68" s="964"/>
      <c r="K68" s="963">
        <f>'MARK UP''s'!E12</f>
        <v>0.4</v>
      </c>
      <c r="L68" s="964"/>
      <c r="M68" s="964"/>
      <c r="N68" s="965"/>
      <c r="O68" s="458"/>
      <c r="P68" s="963">
        <f>'MARK UP''s'!F12</f>
        <v>0.3</v>
      </c>
      <c r="Q68" s="964"/>
      <c r="R68" s="964"/>
      <c r="S68" s="965"/>
    </row>
    <row r="69" spans="2:19" ht="16.5" hidden="1" thickBot="1" x14ac:dyDescent="0.3">
      <c r="C69" s="960" t="s">
        <v>77</v>
      </c>
      <c r="D69" s="961"/>
      <c r="E69" s="961"/>
      <c r="F69" s="962"/>
      <c r="G69" s="960" t="s">
        <v>77</v>
      </c>
      <c r="H69" s="961"/>
      <c r="I69" s="961"/>
      <c r="J69" s="961"/>
      <c r="K69" s="960" t="s">
        <v>174</v>
      </c>
      <c r="L69" s="961"/>
      <c r="M69" s="961"/>
      <c r="N69" s="962"/>
      <c r="O69" s="459"/>
      <c r="P69" s="960" t="s">
        <v>175</v>
      </c>
      <c r="Q69" s="961"/>
      <c r="R69" s="961"/>
      <c r="S69" s="962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6" t="s">
        <v>172</v>
      </c>
      <c r="E78" s="967"/>
      <c r="F78" s="968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8" t="s">
        <v>708</v>
      </c>
      <c r="C98" s="929"/>
      <c r="D98" s="932" t="s">
        <v>339</v>
      </c>
      <c r="E98" s="933"/>
      <c r="F98" s="933"/>
      <c r="G98" s="933"/>
      <c r="H98" s="933"/>
      <c r="I98" s="934"/>
    </row>
    <row r="99" spans="2:9" ht="15.75" hidden="1" thickBot="1" x14ac:dyDescent="0.3">
      <c r="B99" s="930"/>
      <c r="C99" s="93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2025-12-03T20:15:35Z</cp:lastPrinted>
  <dcterms:created xsi:type="dcterms:W3CDTF">2021-02-10T23:07:35Z</dcterms:created>
  <dcterms:modified xsi:type="dcterms:W3CDTF">2025-12-18T20:02:00Z</dcterms:modified>
</cp:coreProperties>
</file>