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PO BS 120325EG-2 MARA ZULEY\"/>
    </mc:Choice>
  </mc:AlternateContent>
  <bookViews>
    <workbookView xWindow="0" yWindow="0" windowWidth="20490" windowHeight="7650" tabRatio="943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5" l="1"/>
  <c r="J17" i="5"/>
  <c r="B23" i="5"/>
  <c r="B20" i="5"/>
  <c r="O7" i="5" l="1"/>
  <c r="J16" i="5"/>
  <c r="AC7" i="5"/>
  <c r="J15" i="5"/>
  <c r="AB2" i="5" l="1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AY15" i="5"/>
  <c r="B16" i="5"/>
  <c r="AE16" i="5"/>
  <c r="AF16" i="5"/>
  <c r="AG16" i="5"/>
  <c r="AH16" i="5"/>
  <c r="AK16" i="5"/>
  <c r="AS16" i="5"/>
  <c r="AT16" i="5"/>
  <c r="AX16" i="5"/>
  <c r="AY16" i="5"/>
  <c r="B17" i="5"/>
  <c r="B18" i="5" s="1"/>
  <c r="B19" i="5" s="1"/>
  <c r="B21" i="5" s="1"/>
  <c r="B22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7" i="5"/>
  <c r="AF17" i="5"/>
  <c r="AG17" i="5"/>
  <c r="AH17" i="5"/>
  <c r="AK17" i="5"/>
  <c r="AS17" i="5"/>
  <c r="AT17" i="5"/>
  <c r="AX17" i="5"/>
  <c r="AY17" i="5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I19" i="5" s="1"/>
  <c r="AM19" i="5" s="1"/>
  <c r="AG19" i="5"/>
  <c r="AH19" i="5"/>
  <c r="AK19" i="5"/>
  <c r="AS19" i="5"/>
  <c r="AT19" i="5"/>
  <c r="AX19" i="5"/>
  <c r="AY19" i="5"/>
  <c r="BH19" i="5" s="1"/>
  <c r="AZ19" i="5"/>
  <c r="BB19" i="5"/>
  <c r="BC19" i="5" s="1"/>
  <c r="BD19" i="5"/>
  <c r="BG19" i="5"/>
  <c r="AE20" i="5"/>
  <c r="AF20" i="5"/>
  <c r="AI20" i="5" s="1"/>
  <c r="AG20" i="5"/>
  <c r="AJ20" i="5" s="1"/>
  <c r="AH20" i="5"/>
  <c r="AK20" i="5"/>
  <c r="AS20" i="5"/>
  <c r="AT20" i="5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J21" i="5" s="1"/>
  <c r="AL21" i="5" s="1"/>
  <c r="AH21" i="5"/>
  <c r="AK21" i="5"/>
  <c r="AS21" i="5"/>
  <c r="AT21" i="5"/>
  <c r="AX21" i="5"/>
  <c r="AY21" i="5"/>
  <c r="BH21" i="5" s="1"/>
  <c r="AZ21" i="5"/>
  <c r="BB21" i="5"/>
  <c r="BC21" i="5" s="1"/>
  <c r="BD21" i="5"/>
  <c r="BG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F23" i="5"/>
  <c r="AG23" i="5"/>
  <c r="AJ23" i="5" s="1"/>
  <c r="AH23" i="5"/>
  <c r="AK23" i="5"/>
  <c r="AS23" i="5"/>
  <c r="AT23" i="5"/>
  <c r="AX23" i="5"/>
  <c r="BG23" i="5" s="1"/>
  <c r="AY23" i="5"/>
  <c r="BH23" i="5" s="1"/>
  <c r="AZ23" i="5"/>
  <c r="BB23" i="5"/>
  <c r="BC23" i="5" s="1"/>
  <c r="BD23" i="5"/>
  <c r="AE24" i="5"/>
  <c r="AF24" i="5"/>
  <c r="AI24" i="5" s="1"/>
  <c r="AG24" i="5"/>
  <c r="AJ24" i="5" s="1"/>
  <c r="AH24" i="5"/>
  <c r="AK24" i="5"/>
  <c r="AS24" i="5"/>
  <c r="AT24" i="5"/>
  <c r="AX24" i="5"/>
  <c r="BG24" i="5" s="1"/>
  <c r="AY24" i="5"/>
  <c r="BH24" i="5" s="1"/>
  <c r="AZ24" i="5"/>
  <c r="BB24" i="5"/>
  <c r="BC24" i="5" s="1"/>
  <c r="BD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19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BI19" i="5" l="1"/>
  <c r="W19" i="5" s="1"/>
  <c r="B18" i="6"/>
  <c r="B20" i="6"/>
  <c r="AL20" i="5"/>
  <c r="AU22" i="5"/>
  <c r="AU23" i="5"/>
  <c r="AU20" i="5"/>
  <c r="AM24" i="5"/>
  <c r="AR24" i="5"/>
  <c r="AL24" i="5"/>
  <c r="AI23" i="5"/>
  <c r="AM23" i="5" s="1"/>
  <c r="AU24" i="5"/>
  <c r="AU21" i="5"/>
  <c r="BI20" i="5"/>
  <c r="W20" i="5" s="1"/>
  <c r="AJ19" i="5"/>
  <c r="AL19" i="5" s="1"/>
  <c r="AN19" i="5" s="1"/>
  <c r="AO19" i="5" s="1"/>
  <c r="BE19" i="5" s="1"/>
  <c r="AU19" i="5"/>
  <c r="AJ17" i="5"/>
  <c r="AL17" i="5" s="1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I17" i="5"/>
  <c r="AM17" i="5" s="1"/>
  <c r="AU16" i="5"/>
  <c r="AU15" i="5"/>
  <c r="AU18" i="5"/>
  <c r="AU17" i="5"/>
  <c r="BI24" i="5"/>
  <c r="W24" i="5" s="1"/>
  <c r="BI23" i="5"/>
  <c r="W23" i="5" s="1"/>
  <c r="AN24" i="5"/>
  <c r="AP24" i="5" s="1"/>
  <c r="AL23" i="5"/>
  <c r="AM20" i="5"/>
  <c r="AN20" i="5" s="1"/>
  <c r="AP20" i="5" s="1"/>
  <c r="AC72" i="5"/>
  <c r="AN22" i="5"/>
  <c r="AO22" i="5" s="1"/>
  <c r="BE22" i="5" s="1"/>
  <c r="BI21" i="5"/>
  <c r="W21" i="5" s="1"/>
  <c r="X12" i="5"/>
  <c r="Y12" i="5"/>
  <c r="AN21" i="5"/>
  <c r="AO21" i="5" s="1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R20" i="5"/>
  <c r="AR19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17" i="5" l="1"/>
  <c r="AR23" i="5"/>
  <c r="AV20" i="5"/>
  <c r="AW20" i="5" s="1"/>
  <c r="AV23" i="5"/>
  <c r="AW23" i="5" s="1"/>
  <c r="AV22" i="5"/>
  <c r="AW22" i="5" s="1"/>
  <c r="AO24" i="5"/>
  <c r="BE24" i="5" s="1"/>
  <c r="AP22" i="5"/>
  <c r="BA22" i="5" s="1"/>
  <c r="BF22" i="5" s="1"/>
  <c r="AV21" i="5"/>
  <c r="AW21" i="5" s="1"/>
  <c r="AO20" i="5"/>
  <c r="BE20" i="5" s="1"/>
  <c r="AV24" i="5"/>
  <c r="AW24" i="5" s="1"/>
  <c r="AP21" i="5"/>
  <c r="AQ21" i="5" s="1"/>
  <c r="AV19" i="5"/>
  <c r="AW19" i="5" s="1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R17" i="5"/>
  <c r="AV17" i="5" s="1"/>
  <c r="AW17" i="5" s="1"/>
  <c r="AN18" i="5"/>
  <c r="AO18" i="5" s="1"/>
  <c r="BE18" i="5" s="1"/>
  <c r="AP17" i="5"/>
  <c r="AO17" i="5"/>
  <c r="BA24" i="5"/>
  <c r="AQ24" i="5"/>
  <c r="AN23" i="5"/>
  <c r="AO23" i="5" s="1"/>
  <c r="BE23" i="5" s="1"/>
  <c r="AM15" i="5"/>
  <c r="AN15" i="5" s="1"/>
  <c r="AR15" i="5"/>
  <c r="AV15" i="5" s="1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BF20" i="5" l="1"/>
  <c r="T20" i="5" s="1"/>
  <c r="BF24" i="5"/>
  <c r="BJ24" i="5" s="1"/>
  <c r="AQ22" i="5"/>
  <c r="AP23" i="5"/>
  <c r="AQ23" i="5" s="1"/>
  <c r="BA21" i="5"/>
  <c r="BF21" i="5" s="1"/>
  <c r="BJ21" i="5" s="1"/>
  <c r="AQ19" i="5"/>
  <c r="AO16" i="5"/>
  <c r="AP18" i="5"/>
  <c r="BA18" i="5" s="1"/>
  <c r="BF18" i="5" s="1"/>
  <c r="BJ18" i="5" s="1"/>
  <c r="AW16" i="5"/>
  <c r="AW15" i="5"/>
  <c r="AQ17" i="5"/>
  <c r="AO15" i="5"/>
  <c r="AP15" i="5"/>
  <c r="BJ19" i="5"/>
  <c r="T19" i="5"/>
  <c r="BJ22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20" i="5" l="1"/>
  <c r="T24" i="5"/>
  <c r="Z24" i="5" s="1"/>
  <c r="AA24" i="5" s="1"/>
  <c r="BA23" i="5"/>
  <c r="BF23" i="5" s="1"/>
  <c r="T23" i="5" s="1"/>
  <c r="T21" i="5"/>
  <c r="AB21" i="5" s="1"/>
  <c r="AC21" i="5" s="1"/>
  <c r="AQ18" i="5"/>
  <c r="T18" i="5"/>
  <c r="AB18" i="5" s="1"/>
  <c r="AC18" i="5" s="1"/>
  <c r="AB24" i="5"/>
  <c r="AC24" i="5" s="1"/>
  <c r="Z19" i="5"/>
  <c r="AA19" i="5" s="1"/>
  <c r="AB19" i="5"/>
  <c r="AC19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21" i="5" l="1"/>
  <c r="AA21" i="5" s="1"/>
  <c r="BJ23" i="5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BG17" i="5" l="1"/>
  <c r="BG16" i="5"/>
  <c r="BG15" i="5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7" i="5" l="1"/>
  <c r="BI17" i="5" s="1"/>
  <c r="W17" i="5" s="1"/>
  <c r="BH16" i="5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7" i="5"/>
  <c r="BA17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D15" i="5" l="1"/>
  <c r="BE15" i="5" s="1"/>
  <c r="BD16" i="5"/>
  <c r="BE16" i="5" s="1"/>
  <c r="BD17" i="5"/>
  <c r="BE17" i="5" s="1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B15" i="5" l="1"/>
  <c r="BC15" i="5" s="1"/>
  <c r="BF15" i="5" s="1"/>
  <c r="BB16" i="5"/>
  <c r="BC16" i="5" s="1"/>
  <c r="BF16" i="5" s="1"/>
  <c r="BB17" i="5"/>
  <c r="BC17" i="5" s="1"/>
  <c r="BF17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7" i="5" l="1"/>
  <c r="T17" i="5"/>
  <c r="BJ16" i="5"/>
  <c r="T16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7" i="5"/>
  <c r="AA17" i="5" s="1"/>
  <c r="AB17" i="5"/>
  <c r="AC17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>
  <authors>
    <author>Julian Higuera</author>
  </authors>
  <commentList>
    <comment ref="AA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>
  <authors>
    <author>Julian Higuera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>
  <authors>
    <author>Julian Higuera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>
  <authors>
    <author>Julian Higuera</author>
  </authors>
  <commentLis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>
  <authors>
    <author>Julian Higuera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>
  <authors>
    <author>Julian Higuera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>
  <authors>
    <author>Julian Higuera</author>
  </authors>
  <commentList>
    <comment ref="L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>
  <authors>
    <author>Julian Higuera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>
  <authors>
    <author>Julian Higuera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>
  <authors>
    <author>Julian Higuera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>
  <authors>
    <author>Julian Higuera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>
  <authors>
    <author>Julian Higuera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<sst xmlns="http://schemas.openxmlformats.org/spreadsheetml/2006/main" count="9413" uniqueCount="759">
  <si>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</si>
  <si>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</si>
  <si>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</si>
  <si>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</si>
  <si>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</si>
  <si>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</si>
  <si>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</si>
  <si>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</si>
  <si>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</si>
  <si>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</si>
  <si>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</si>
  <si>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</si>
  <si>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</si>
  <si>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</si>
  <si>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</si>
  <si>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</si>
  <si>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</si>
  <si>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</si>
  <si>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</si>
  <si>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</si>
  <si>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</si>
  <si>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</si>
  <si>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</si>
  <si>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</si>
  <si>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</si>
  <si>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</si>
  <si>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</si>
  <si>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</si>
  <si>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</si>
  <si>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</si>
  <si>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</si>
  <si>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</si>
  <si>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</si>
  <si>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</si>
  <si>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</si>
  <si>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</si>
  <si>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</si>
  <si>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</si>
  <si>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</si>
  <si>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</si>
  <si>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</si>
  <si>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</si>
  <si>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</si>
  <si>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</si>
  <si>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</si>
  <si>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</si>
  <si>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</si>
  <si>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</si>
  <si>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</si>
  <si>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</si>
  <si>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</si>
  <si>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</si>
  <si>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</si>
  <si>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</si>
  <si>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</si>
  <si>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</si>
  <si>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</si>
  <si>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</si>
  <si>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</si>
  <si>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</si>
  <si>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</si>
  <si>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</si>
  <si>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</si>
  <si>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</si>
  <si>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</si>
  <si>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</si>
  <si>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</si>
  <si>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</si>
  <si>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</si>
  <si>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</si>
  <si>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</si>
  <si>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</si>
  <si>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</si>
  <si>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</si>
  <si>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</si>
  <si>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</si>
  <si>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</si>
  <si>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</si>
  <si>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</si>
  <si>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</si>
  <si>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</si>
  <si>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</si>
  <si>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</si>
  <si>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</si>
  <si>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</si>
  <si>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</si>
  <si>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</si>
  <si>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</si>
  <si>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</si>
  <si>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</si>
  <si>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</si>
  <si>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</si>
  <si>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</si>
  <si>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</si>
  <si>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</si>
  <si>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</si>
  <si>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</si>
  <si>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</si>
  <si>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</si>
  <si>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</si>
  <si>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</si>
  <si>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</si>
  <si>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</si>
  <si>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</si>
  <si>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</si>
  <si>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</si>
  <si>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</si>
  <si>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</si>
  <si>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</si>
  <si>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</si>
  <si>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</si>
  <si>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</si>
  <si>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</si>
  <si>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</si>
  <si>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</si>
  <si>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</si>
  <si>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</si>
  <si>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</si>
  <si>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</si>
  <si>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</si>
  <si>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</si>
  <si>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</si>
  <si>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</si>
  <si>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</si>
  <si>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</si>
  <si>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</si>
  <si>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</si>
  <si>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</si>
  <si>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</si>
  <si>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</si>
  <si>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</si>
  <si>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</si>
  <si>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</si>
  <si>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</si>
  <si>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</si>
  <si>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</si>
  <si>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</si>
  <si>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</si>
  <si>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</si>
  <si>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</si>
  <si>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</si>
  <si>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</si>
  <si>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</si>
  <si>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</si>
  <si>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</si>
  <si>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</si>
  <si>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</si>
  <si>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</si>
  <si>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</si>
  <si>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</si>
  <si>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</si>
  <si>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</si>
  <si>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</si>
  <si>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</si>
  <si>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</si>
  <si>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</si>
  <si>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</si>
  <si>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</si>
  <si>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</si>
  <si>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</si>
  <si>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</si>
  <si>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</si>
  <si>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</si>
  <si>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</si>
  <si>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</si>
  <si>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</si>
  <si>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</si>
  <si>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</si>
  <si>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</si>
  <si>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</si>
  <si>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</si>
  <si>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</si>
  <si>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</si>
  <si>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</si>
  <si>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</si>
  <si>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</si>
  <si>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</si>
  <si>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</si>
  <si>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</si>
  <si>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</si>
  <si>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</si>
  <si>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</si>
  <si>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</si>
  <si>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</si>
  <si>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</si>
  <si>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</si>
  <si>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</si>
  <si>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</si>
  <si>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</si>
  <si>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</si>
  <si>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</si>
  <si>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</si>
  <si>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</si>
  <si>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</si>
  <si>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</si>
  <si>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</si>
  <si>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</si>
  <si>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</si>
  <si>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</si>
  <si>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</si>
  <si>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</si>
  <si>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</si>
  <si>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</si>
  <si>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</si>
  <si>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</si>
  <si>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</si>
  <si>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</si>
  <si>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</si>
  <si>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</si>
  <si>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</si>
  <si>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</si>
  <si>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</si>
  <si>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</si>
  <si>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</si>
  <si>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</si>
  <si>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</si>
  <si>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</si>
  <si>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</si>
  <si>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</si>
  <si>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</si>
  <si>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</si>
  <si>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</si>
  <si>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</si>
  <si>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</si>
  <si>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</si>
  <si>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</si>
  <si>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</si>
  <si>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</si>
  <si>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</si>
  <si>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</si>
  <si>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</si>
  <si>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</si>
  <si>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</si>
  <si>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</si>
  <si>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</si>
  <si>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</si>
  <si>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</si>
  <si>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</si>
  <si>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</si>
  <si>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</si>
  <si>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</si>
  <si>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</si>
  <si>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</si>
  <si>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</si>
  <si>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</si>
  <si>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</si>
  <si>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</si>
  <si>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</si>
  <si>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</si>
  <si>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</si>
  <si>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</si>
  <si>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</si>
  <si>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</si>
  <si>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</si>
  <si>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</si>
  <si>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</si>
  <si>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</si>
  <si>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</si>
  <si>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</si>
  <si>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</si>
  <si>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</si>
  <si>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</si>
  <si>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</si>
  <si>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</si>
  <si>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</si>
  <si>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</si>
  <si>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</si>
  <si>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</si>
  <si>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</si>
  <si>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</si>
  <si>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</si>
  <si>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</si>
  <si>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</si>
  <si>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</si>
  <si>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</si>
  <si>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</si>
  <si>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</si>
  <si>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</si>
  <si>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</si>
  <si>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</si>
  <si>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</si>
  <si>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</si>
  <si>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</si>
  <si>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</si>
  <si>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</si>
  <si>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</si>
  <si>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</si>
  <si>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</si>
  <si>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</si>
  <si>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</si>
  <si>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</si>
  <si>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</si>
  <si>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</si>
  <si>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</si>
  <si>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</si>
  <si>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</si>
  <si>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</si>
  <si>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</si>
  <si>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</si>
  <si>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</si>
  <si>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</si>
  <si>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</si>
  <si>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</si>
  <si>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</si>
  <si>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</si>
  <si>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</si>
  <si>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</si>
  <si>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</si>
  <si>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</si>
  <si>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</si>
  <si>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</si>
  <si>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</si>
  <si>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</si>
  <si>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</si>
  <si>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</si>
  <si>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</si>
  <si>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</si>
  <si>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</si>
  <si>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</si>
  <si>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</si>
  <si>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</si>
  <si>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</si>
  <si>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</si>
  <si>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</si>
  <si>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</si>
  <si>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</si>
  <si>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</si>
  <si>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</si>
  <si>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</si>
  <si>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</si>
  <si>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</si>
  <si>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</si>
  <si>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</si>
  <si>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</si>
  <si>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</si>
  <si>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</si>
  <si>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</si>
  <si>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</si>
  <si>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</si>
  <si>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</si>
  <si>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</si>
  <si>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</si>
  <si>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</si>
  <si>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</si>
  <si>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</si>
  <si>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</si>
  <si>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</si>
  <si>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</si>
  <si>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</si>
  <si>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</si>
  <si>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</si>
  <si>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</si>
  <si>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</si>
  <si>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</si>
  <si>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</si>
  <si>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</si>
  <si>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</si>
  <si>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</si>
  <si>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</si>
  <si>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</si>
  <si>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</si>
  <si>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</si>
  <si>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</si>
  <si>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</si>
  <si>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</si>
  <si>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</si>
  <si>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</si>
  <si>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</si>
  <si>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</si>
  <si>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</si>
  <si>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</si>
  <si>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</si>
  <si>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</si>
  <si>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</si>
  <si>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</si>
  <si>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</si>
  <si>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</si>
  <si>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</si>
  <si>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</si>
  <si>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</si>
  <si>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</si>
  <si>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</si>
  <si>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</si>
  <si>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</si>
  <si>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</si>
  <si>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</si>
  <si>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</si>
  <si>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</si>
  <si>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</si>
  <si>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</si>
  <si>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</si>
  <si>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</si>
  <si>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</si>
  <si>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</si>
  <si>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</si>
  <si>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</si>
  <si>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</si>
  <si>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</si>
  <si>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</si>
  <si>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</si>
  <si>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</si>
  <si>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</si>
  <si>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</si>
  <si>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</si>
  <si>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</si>
  <si>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</si>
  <si>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</si>
  <si>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</si>
  <si>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</si>
  <si>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</si>
  <si>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</si>
  <si>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</si>
  <si>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</si>
  <si>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</si>
  <si>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</si>
  <si>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</si>
  <si>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</si>
  <si>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</si>
  <si>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</si>
  <si>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</si>
  <si>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</si>
  <si>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</si>
  <si>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</si>
  <si>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</si>
  <si>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</si>
  <si>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</si>
  <si>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</si>
  <si>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</si>
  <si>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</si>
  <si>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</si>
  <si>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</si>
  <si>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</si>
  <si>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</si>
  <si>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</si>
  <si>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</si>
  <si>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</si>
  <si>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</si>
  <si>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</si>
  <si>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</si>
  <si>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</si>
  <si>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</si>
  <si>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</si>
  <si>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</si>
  <si>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</si>
  <si>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</si>
  <si>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</si>
  <si>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</si>
  <si>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</si>
  <si>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</si>
  <si>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</si>
  <si>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</si>
  <si>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</si>
  <si>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</si>
  <si>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</si>
  <si>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</si>
  <si>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</si>
  <si>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</si>
  <si>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</si>
  <si>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</si>
  <si>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</si>
  <si>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</si>
  <si>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</si>
  <si>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</si>
  <si>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</si>
  <si>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</si>
  <si>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</si>
  <si>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</si>
  <si>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</si>
  <si>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</si>
  <si>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</si>
  <si>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</si>
  <si>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</si>
  <si>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</si>
  <si>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</si>
  <si>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</si>
  <si>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</si>
  <si>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</si>
  <si>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</si>
  <si>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</si>
  <si>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</si>
  <si>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</si>
  <si>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</si>
  <si>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</si>
  <si>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</si>
  <si>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</si>
  <si>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</si>
  <si>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</si>
  <si>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</si>
  <si>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</si>
  <si>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</si>
  <si>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</si>
  <si>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</si>
  <si>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</si>
  <si>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</si>
  <si>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</si>
  <si>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</si>
  <si>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</si>
  <si>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</si>
  <si>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</si>
  <si>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</si>
  <si>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</si>
  <si>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</si>
  <si>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</si>
  <si>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</si>
  <si>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</si>
  <si>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</si>
  <si>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</si>
  <si>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</si>
  <si>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</si>
  <si>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</si>
  <si>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</si>
  <si>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</si>
  <si>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</si>
  <si>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</si>
  <si>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</si>
  <si>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</si>
  <si>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</si>
  <si>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</si>
  <si>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</si>
  <si>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</si>
  <si>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</si>
  <si>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</si>
  <si>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</si>
  <si>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</si>
  <si>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</si>
  <si>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</si>
  <si>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</si>
  <si>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</si>
  <si>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</si>
  <si>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</si>
  <si>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</si>
  <si>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</si>
  <si>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</si>
  <si>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</si>
  <si>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</si>
  <si>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</si>
  <si>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</si>
  <si>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</si>
  <si>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</si>
  <si>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</si>
  <si>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</si>
  <si>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</si>
  <si>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</si>
  <si>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</si>
  <si>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</si>
  <si>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</si>
  <si>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</si>
  <si>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</si>
  <si>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</si>
  <si>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</si>
  <si>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</si>
  <si>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</si>
  <si>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</si>
  <si>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</si>
  <si>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</si>
  <si>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</si>
  <si>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</si>
  <si>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</si>
  <si>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</si>
  <si>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</si>
  <si>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</si>
  <si>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</si>
  <si>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</si>
  <si>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</si>
  <si>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</si>
  <si>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</si>
  <si>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</si>
  <si>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</si>
  <si>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</si>
  <si>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</si>
  <si>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</si>
  <si>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</si>
  <si>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</si>
  <si>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</si>
  <si>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</si>
  <si>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</si>
  <si>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</si>
  <si>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</si>
  <si>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</si>
  <si>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</si>
  <si>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</si>
  <si>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</si>
  <si>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</si>
  <si>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</si>
  <si>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</si>
  <si>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</si>
  <si>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</si>
  <si>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</si>
  <si>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</si>
  <si>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</si>
  <si>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</si>
  <si>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</si>
  <si>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</si>
  <si>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</si>
  <si>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</si>
  <si>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</si>
  <si>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</si>
  <si>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</si>
  <si>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</si>
  <si>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</si>
  <si>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</si>
  <si>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</si>
  <si>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</si>
  <si>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</si>
  <si>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</si>
  <si>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</si>
  <si>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</si>
  <si>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</si>
  <si>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</si>
  <si>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</si>
  <si>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</si>
  <si>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</si>
  <si>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</si>
  <si>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</si>
  <si>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</si>
  <si>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</si>
  <si>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</si>
  <si>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</si>
  <si>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</si>
  <si>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</si>
  <si>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</si>
  <si>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</si>
  <si>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</si>
  <si>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</si>
  <si>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</si>
  <si>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</si>
  <si>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</si>
  <si>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</si>
  <si>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</si>
  <si>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</si>
  <si>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</si>
  <si>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</si>
  <si>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</si>
  <si>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</si>
  <si>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</si>
  <si>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</si>
  <si>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</si>
  <si>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</si>
  <si>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</si>
  <si>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</si>
  <si>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</si>
  <si>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</si>
  <si>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</si>
  <si>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</si>
  <si>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</si>
  <si>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</si>
  <si>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</si>
  <si>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</si>
  <si>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</si>
  <si>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</si>
  <si>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</si>
  <si>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</si>
  <si>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</si>
  <si>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</si>
  <si>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</si>
  <si>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</si>
  <si>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</si>
  <si>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</si>
  <si>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</si>
  <si>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</si>
  <si>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</si>
  <si>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</si>
  <si>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</si>
  <si>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</si>
  <si>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</si>
  <si>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</si>
  <si>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</si>
  <si>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</si>
  <si>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</si>
  <si>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</si>
  <si>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</si>
  <si>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</si>
  <si>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</si>
  <si>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</si>
  <si>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</si>
  <si>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</si>
  <si>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</si>
  <si>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</si>
  <si>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</si>
  <si>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</si>
  <si>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</si>
  <si>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</si>
  <si>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</si>
  <si>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</si>
  <si>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</si>
  <si>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</si>
  <si>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</si>
  <si>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</si>
  <si>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</si>
  <si>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</si>
  <si>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</si>
  <si>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</si>
  <si>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</si>
  <si>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</si>
  <si>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</si>
  <si>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</si>
  <si>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</si>
  <si>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</si>
  <si>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</si>
  <si>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</si>
  <si>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</si>
  <si>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</si>
  <si>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</si>
  <si>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</si>
  <si>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</si>
  <si>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</si>
  <si>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</si>
  <si>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</si>
  <si>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</si>
  <si>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</si>
  <si>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</si>
  <si>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</si>
  <si>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</si>
  <si>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</si>
  <si>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</si>
  <si>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</si>
  <si>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</si>
  <si>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</si>
  <si>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</si>
  <si>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</si>
  <si>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</si>
  <si>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</si>
  <si>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</si>
  <si>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</si>
  <si>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</si>
  <si>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</si>
  <si>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</si>
  <si>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</si>
  <si>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</si>
  <si>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</si>
  <si>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</si>
  <si>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</si>
  <si>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</si>
  <si>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</si>
  <si>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</si>
  <si>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</si>
  <si>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</si>
  <si>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</si>
  <si>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</si>
  <si>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</si>
  <si>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</si>
  <si>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</si>
  <si>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</si>
  <si>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</si>
  <si>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</si>
  <si>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</si>
  <si>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</si>
  <si>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</si>
  <si>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</si>
  <si>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</si>
  <si>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REC PRINCIPAL</t>
  </si>
  <si>
    <t>MARA ZULEY</t>
  </si>
  <si>
    <t>Privada Bordo 11063 URBI quinta del cedro, Tijuana.</t>
  </si>
  <si>
    <t>BS 120825EG-1</t>
  </si>
  <si>
    <t>CRETA CLOUD</t>
  </si>
  <si>
    <t>VF-FAB-00117</t>
  </si>
  <si>
    <t>KN-FAB-00599</t>
  </si>
  <si>
    <t>SALA A</t>
  </si>
  <si>
    <t>SALA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</si>
</sst>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8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/>
    <cellStyle name="Hipervínculo" xfId="4" builtinId="8"/>
    <cellStyle name="Moneda" xfId="1" builtinId="4"/>
    <cellStyle name="Normal" xfId="0" builtinId="0"/>
    <cellStyle name="Normal 2" xfId="5"/>
    <cellStyle name="Normal 2 2" xfId="6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filterMode="1">
    <tabColor rgb="FFFFFF00"/>
  </sheetPr>
  <dimension ref="A1:AA90"/>
  <sheetViews>
    <sheetView showGridLines="0" tabSelected="1" zoomScale="55" zoomScaleNormal="55" workbookViewId="0">
      <selection activeCell="F29" sqref="F29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120825EG-1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MARA ZULEY</v>
      </c>
      <c r="L4" s="340"/>
      <c r="N4" s="340" t="str">
        <f>'FILL QUOTE-CALCULATIONS'!O6</f>
        <v>Privada Bordo 11063 URBI quinta del cedro, Tijuana.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MARA ZULEY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45999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HARDWARE</v>
      </c>
      <c r="Q10" s="908"/>
      <c r="R10" s="908"/>
      <c r="S10" s="908"/>
      <c r="T10" s="352" t="str">
        <f>'FILL QUOTE-CALCULATIONS'!T12</f>
        <v>DRAPERIES</v>
      </c>
      <c r="U10" s="352" t="str">
        <f>'FILL QUOTE-CALCULATIONS'!W12</f>
        <v>HARDWARE</v>
      </c>
      <c r="V10" s="908" t="str">
        <f>'FILL QUOTE-CALCULATIONS'!AB12</f>
        <v>TOTALS</v>
      </c>
      <c r="W10" s="908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BOLD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LINE-VTLUX</v>
      </c>
      <c r="I12" s="360" t="str">
        <f>IF(OR(C12&lt;1,C12=""),"",IF('FILL QUOTE-CALCULATIONS'!$S$4="INGLES",'FILL QUOTE-CALCULATIONS'!I15,VLOOKUP('FILL QUOTE-CALCULATIONS'!I15,'DROP LIST'!$M$15:$N$18,2,0)))</f>
        <v>BO-VTX-NIGHTTIME</v>
      </c>
      <c r="J12" s="360" t="str">
        <f>'FILL QUOTE-CALCULATIONS'!J15</f>
        <v/>
      </c>
      <c r="K12" s="360" t="str">
        <f>IF(OR(C12&lt;1,C12=""),"",'FILL QUOTE-CALCULATIONS'!K15)</f>
        <v>CRETA CLOUD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REC PRINCIPAL</v>
      </c>
      <c r="N12" s="362">
        <f>IF(OR(C12&lt;1,C12=""),"",'FILL QUOTE-CALCULATIONS'!N15)</f>
        <v>120</v>
      </c>
      <c r="O12" s="362">
        <f>IF(OR(C12&lt;1,C12=""),"",'FILL QUOTE-CALCULATIONS'!O15)</f>
        <v>104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741</v>
      </c>
      <c r="U12" s="364">
        <f>IF(OR(C12&lt;1,C12=""),"",'FILL QUOTE-CALCULATIONS'!W15)</f>
        <v>147.70000000000002</v>
      </c>
      <c r="V12" s="365">
        <f>IF(OR(C12&lt;1,C12=""),"",IF('FILL QUOTE-CALCULATIONS'!$S$3="DOLLARS",'FILL QUOTE-CALCULATIONS'!AB15,'FILL QUOTE-CALCULATIONS'!AB15*'FILL QUOTE-CALCULATIONS'!$AC$4))</f>
        <v>888.7</v>
      </c>
      <c r="W12" s="366">
        <f>IF(OR(C12&lt;1,C12=""),"",IF('FILL QUOTE-CALCULATIONS'!$S$3="DOLLARS",'FILL QUOTE-CALCULATIONS'!AC15,'FILL QUOTE-CALCULATIONS'!AC15*'FILL QUOTE-CALCULATIONS'!$AC$4))</f>
        <v>888.7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SHEER</v>
      </c>
      <c r="J13" s="360" t="str">
        <f>'FILL QUOTE-CALCULATIONS'!J16</f>
        <v/>
      </c>
      <c r="K13" s="360" t="str">
        <f>IF(OR(C13&lt;1,C13=""),"",'FILL QUOTE-CALCULATIONS'!K16)</f>
        <v>KN-FAB-00599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REC PRINCIPAL</v>
      </c>
      <c r="N13" s="362">
        <f>IF(OR(C13&lt;1,C13=""),"",'FILL QUOTE-CALCULATIONS'!N16)</f>
        <v>120</v>
      </c>
      <c r="O13" s="362">
        <f>IF(OR(C13&lt;1,C13=""),"",'FILL QUOTE-CALCULATIONS'!O16)</f>
        <v>104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342.25</v>
      </c>
      <c r="U13" s="364">
        <f>IF(OR(C13&lt;1,C13=""),"",'FILL QUOTE-CALCULATIONS'!W16)</f>
        <v>147.70000000000002</v>
      </c>
      <c r="V13" s="365">
        <f>IF(OR(C13&lt;1,C13=""),"",IF('FILL QUOTE-CALCULATIONS'!$S$3="DOLLARS",'FILL QUOTE-CALCULATIONS'!AB16,'FILL QUOTE-CALCULATIONS'!AB16*'FILL QUOTE-CALCULATIONS'!$AC$4))</f>
        <v>489.95000000000005</v>
      </c>
      <c r="W13" s="366">
        <f>IF(OR(C13&lt;1,C13=""),"",IF('FILL QUOTE-CALCULATIONS'!$S$3="DOLLARS",'FILL QUOTE-CALCULATIONS'!AC16,'FILL QUOTE-CALCULATIONS'!AC16*'FILL QUOTE-CALCULATIONS'!$AC$4))</f>
        <v>489.95000000000005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PAIR</v>
      </c>
      <c r="E14" s="360" t="str">
        <f>IF(OR(C14&lt;1,C14=""),"",IF('FILL QUOTE-CALCULATIONS'!$S$4="INGLES",'FILL QUOTE-CALCULATIONS'!E17,VLOOKUP('FILL QUOTE-CALCULATIONS'!E17,'DROP LIST'!$E$7:$F$15,2,0)))</f>
        <v>RIPPLEFOLD</v>
      </c>
      <c r="F14" s="360" t="str">
        <f>IF(OR(C14&lt;1,C14=""),"",IF('FILL QUOTE-CALCULATIONS'!$S$4="INGLES",'FILL QUOTE-CALCULATIONS'!F17,VLOOKUP('FILL QUOTE-CALCULATIONS'!F17,'DROP LIST'!$H$7:$I$19,2,0)))</f>
        <v>SHEER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STOCK</v>
      </c>
      <c r="I14" s="360" t="str">
        <f>IF(OR(C14&lt;1,C14=""),"",IF('FILL QUOTE-CALCULATIONS'!$S$4="INGLES",'FILL QUOTE-CALCULATIONS'!I17,VLOOKUP('FILL QUOTE-CALCULATIONS'!I17,'DROP LIST'!$M$15:$N$18,2,0)))</f>
        <v>DECORATIVE SHEER</v>
      </c>
      <c r="J14" s="360" t="str">
        <f>'FILL QUOTE-CALCULATIONS'!J17</f>
        <v/>
      </c>
      <c r="K14" s="360" t="str">
        <f>IF(OR(C14&lt;1,C14=""),"",'FILL QUOTE-CALCULATIONS'!K17)</f>
        <v>VF-FAB-00117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SALA A</v>
      </c>
      <c r="N14" s="362">
        <f>IF(OR(C14&lt;1,C14=""),"",'FILL QUOTE-CALCULATIONS'!N17)</f>
        <v>55</v>
      </c>
      <c r="O14" s="362">
        <f>IF(OR(C14&lt;1,C14=""),"",'FILL QUOTE-CALCULATIONS'!O17)</f>
        <v>93.5</v>
      </c>
      <c r="P14" s="360" t="str">
        <f>IF(OR(C14&lt;1,C14=""),"",IF('FILL QUOTE-CALCULATIONS'!$S$4="INGLES",'FILL QUOTE-CALCULATIONS'!P17, VLOOKUP('FILL QUOTE-CALCULATIONS'!P17,'DROP LIST'!$E$25:$F$27,2,0)))</f>
        <v>TO WALL</v>
      </c>
      <c r="Q14" s="360" t="str">
        <f>IF(OR(C14&lt;1,C14=""),"",IF('FILL QUOTE-CALCULATIONS'!$S$4="INGLES",'FILL QUOTE-CALCULATIONS'!Q17,VLOOKUP('FILL QUOTE-CALCULATIONS'!Q17,'DROP LIST'!$H$25:$I$36,2,0)))</f>
        <v>STD. TRACK - RIPP. -BATON</v>
      </c>
      <c r="R14" s="362" t="str">
        <f>IF('FILL QUOTE-CALCULATIONS'!R17="","",'FILL QUOTE-CALCULATIONS'!R17)</f>
        <v>WHITE</v>
      </c>
      <c r="S14" s="360" t="str">
        <f>IF(OR(C14&lt;1,C14=""),"",IF('FILL QUOTE-CALCULATIONS'!$S$4="INGLES",'FILL QUOTE-CALCULATIONS'!S17,VLOOKUP('FILL QUOTE-CALCULATIONS'!S17,'DROP LIST'!$H$43:$I$46,2,0)))</f>
        <v>WHITE</v>
      </c>
      <c r="T14" s="363">
        <f>IF(OR(C14&lt;1,C14=""),"",'FILL QUOTE-CALCULATIONS'!T17)</f>
        <v>159.9</v>
      </c>
      <c r="U14" s="364">
        <f>IF(OR(C14&lt;1,C14=""),"",'FILL QUOTE-CALCULATIONS'!W17)</f>
        <v>71.55</v>
      </c>
      <c r="V14" s="365">
        <f>IF(OR(C14&lt;1,C14=""),"",IF('FILL QUOTE-CALCULATIONS'!$S$3="DOLLARS",'FILL QUOTE-CALCULATIONS'!AB17,'FILL QUOTE-CALCULATIONS'!AB17*'FILL QUOTE-CALCULATIONS'!$AC$4))</f>
        <v>231.45</v>
      </c>
      <c r="W14" s="366">
        <f>IF(OR(C14&lt;1,C14=""),"",IF('FILL QUOTE-CALCULATIONS'!$S$3="DOLLARS",'FILL QUOTE-CALCULATIONS'!AC17,'FILL QUOTE-CALCULATIONS'!AC17*'FILL QUOTE-CALCULATIONS'!$AC$4))</f>
        <v>231.45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PAIR</v>
      </c>
      <c r="E15" s="360" t="str">
        <f>IF(OR(C15&lt;1,C15=""),"",IF('FILL QUOTE-CALCULATIONS'!$S$4="INGLES",'FILL QUOTE-CALCULATIONS'!E18,VLOOKUP('FILL QUOTE-CALCULATIONS'!E18,'DROP LIST'!$E$7:$F$15,2,0)))</f>
        <v>RIPPLEFOLD</v>
      </c>
      <c r="F15" s="360" t="str">
        <f>IF(OR(C15&lt;1,C15=""),"",IF('FILL QUOTE-CALCULATIONS'!$S$4="INGLES",'FILL QUOTE-CALCULATIONS'!F18,VLOOKUP('FILL QUOTE-CALCULATIONS'!F18,'DROP LIST'!$H$7:$I$19,2,0)))</f>
        <v>SHEER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STOCK</v>
      </c>
      <c r="I15" s="360" t="str">
        <f>IF(OR(C15&lt;1,C15=""),"",IF('FILL QUOTE-CALCULATIONS'!$S$4="INGLES",'FILL QUOTE-CALCULATIONS'!I18,VLOOKUP('FILL QUOTE-CALCULATIONS'!I18,'DROP LIST'!$M$15:$N$18,2,0)))</f>
        <v>DECORATIVE SHEER</v>
      </c>
      <c r="J15" s="360" t="str">
        <f>'FILL QUOTE-CALCULATIONS'!J18</f>
        <v/>
      </c>
      <c r="K15" s="360" t="str">
        <f>IF(OR(C15&lt;1,C15=""),"",'FILL QUOTE-CALCULATIONS'!K18)</f>
        <v>VF-FAB-00117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>SALA B</v>
      </c>
      <c r="N15" s="362">
        <f>IF(OR(C15&lt;1,C15=""),"",'FILL QUOTE-CALCULATIONS'!N18)</f>
        <v>55</v>
      </c>
      <c r="O15" s="362">
        <f>IF(OR(C15&lt;1,C15=""),"",'FILL QUOTE-CALCULATIONS'!O18)</f>
        <v>93.5</v>
      </c>
      <c r="P15" s="360" t="str">
        <f>IF(OR(C15&lt;1,C15=""),"",IF('FILL QUOTE-CALCULATIONS'!$S$4="INGLES",'FILL QUOTE-CALCULATIONS'!P18, VLOOKUP('FILL QUOTE-CALCULATIONS'!P18,'DROP LIST'!$E$25:$F$27,2,0)))</f>
        <v>TO WALL</v>
      </c>
      <c r="Q15" s="360" t="str">
        <f>IF(OR(C15&lt;1,C15=""),"",IF('FILL QUOTE-CALCULATIONS'!$S$4="INGLES",'FILL QUOTE-CALCULATIONS'!Q18,VLOOKUP('FILL QUOTE-CALCULATIONS'!Q18,'DROP LIST'!$H$25:$I$36,2,0)))</f>
        <v>STD. TRACK - RIPP. -BATON</v>
      </c>
      <c r="R15" s="362" t="str">
        <f>IF('FILL QUOTE-CALCULATIONS'!R18="","",'FILL QUOTE-CALCULATIONS'!R18)</f>
        <v>WHITE</v>
      </c>
      <c r="S15" s="360" t="str">
        <f>IF(OR(C15&lt;1,C15=""),"",IF('FILL QUOTE-CALCULATIONS'!$S$4="INGLES",'FILL QUOTE-CALCULATIONS'!S18,VLOOKUP('FILL QUOTE-CALCULATIONS'!S18,'DROP LIST'!$H$43:$I$46,2,0)))</f>
        <v>WHITE</v>
      </c>
      <c r="T15" s="363">
        <f>IF(OR(C15&lt;1,C15=""),"",'FILL QUOTE-CALCULATIONS'!T18)</f>
        <v>159.9</v>
      </c>
      <c r="U15" s="364">
        <f>IF(OR(C15&lt;1,C15=""),"",'FILL QUOTE-CALCULATIONS'!W18)</f>
        <v>71.55</v>
      </c>
      <c r="V15" s="365">
        <f>IF(OR(C15&lt;1,C15=""),"",IF('FILL QUOTE-CALCULATIONS'!$S$3="DOLLARS",'FILL QUOTE-CALCULATIONS'!AB18,'FILL QUOTE-CALCULATIONS'!AB18*'FILL QUOTE-CALCULATIONS'!$AC$4))</f>
        <v>231.45</v>
      </c>
      <c r="W15" s="366">
        <f>IF(OR(C15&lt;1,C15=""),"",IF('FILL QUOTE-CALCULATIONS'!$S$3="DOLLARS",'FILL QUOTE-CALCULATIONS'!AC18,'FILL QUOTE-CALCULATIONS'!AC18*'FILL QUOTE-CALCULATIONS'!$AC$4))</f>
        <v>231.45</v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1841.5500000000002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0.49805734299910404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917.1975000000001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924.35250000000008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9" t="str">
        <f>'FILL QUOTE-CALCULATIONS'!AB76</f>
        <v>ESAU GOMEZ</v>
      </c>
      <c r="W76" s="909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>
          <x14:formula1>
            <xm:f>'DROP LIST'!$B$7:$B$8</xm:f>
          </x14:formula1>
          <xm:sqref>B60 D60:E60</xm:sqref>
        </x14:dataValidation>
        <x14:dataValidation type="list" allowBlank="1" showInputMessage="1" showErrorMessage="1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LIST'!$P$11:$P$12</xm:f>
          </x14:formula1>
          <xm:sqref>AA4:AG4</xm:sqref>
        </x14:dataValidation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LIST'!$P$16:$P$25</xm:f>
          </x14:formula1>
          <xm:sqref>AI70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'DROP LIST'!$P$11:$P$12</xm:f>
          </x14:formula1>
          <xm:sqref>AA4:AG4</xm:sqref>
        </x14:dataValidation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LIST'!$P$16:$P$25</xm:f>
          </x14:formula1>
          <xm:sqref>AI70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LIST'!$P$11:$P$12</xm:f>
          </x14:formula1>
          <xm:sqref>AA4:AG4</xm:sqref>
        </x14:dataValidation>
        <x14:dataValidation type="list" allowBlank="1" showInputMessage="1" showErrorMessage="1">
          <x14:formula1>
            <xm:f>'DROP LIST'!$P$16:$P$25</xm:f>
          </x14:formula1>
          <xm:sqref>AI70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0" t="s">
        <v>348</v>
      </c>
      <c r="R3" s="971"/>
      <c r="S3" s="971"/>
      <c r="T3" s="972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/>
  <sortState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604.25</v>
      </c>
      <c r="D19" s="109">
        <f>'FILL QUOTE-CALCULATIONS'!BF16</f>
        <v>342.25</v>
      </c>
      <c r="E19" s="109">
        <f>'FILL QUOTE-CALCULATIONS'!BF17</f>
        <v>159.9</v>
      </c>
      <c r="F19" s="109">
        <f>'FILL QUOTE-CALCULATIONS'!BF18</f>
        <v>159.9</v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5</v>
      </c>
      <c r="D24" s="73">
        <f>'FILL QUOTE-CALCULATIONS'!AN16</f>
        <v>2.25</v>
      </c>
      <c r="E24" s="73" t="str">
        <f>'FILL QUOTE-CALCULATIONS'!AN17</f>
        <v>N/A</v>
      </c>
      <c r="F24" s="73" t="str">
        <f>'FILL QUOTE-CALCULATIONS'!AN18</f>
        <v>N/A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1208.5</v>
      </c>
      <c r="D29" s="119">
        <f>E19</f>
        <v>159.9</v>
      </c>
      <c r="E29" s="119">
        <f>E19</f>
        <v>159.9</v>
      </c>
      <c r="F29" s="119">
        <f>D19*2</f>
        <v>684.5</v>
      </c>
      <c r="G29" s="119" t="str">
        <f>G19</f>
        <v/>
      </c>
      <c r="H29" s="119">
        <f>E19*2</f>
        <v>319.8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5</v>
      </c>
      <c r="D24" s="73">
        <f>'FILL QUOTE-CALCULATIONS'!AN16</f>
        <v>2.25</v>
      </c>
      <c r="E24" s="73" t="str">
        <f>'FILL QUOTE-CALCULATIONS'!AN17</f>
        <v>N/A</v>
      </c>
      <c r="F24" s="73" t="str">
        <f>'FILL QUOTE-CALCULATIONS'!AN18</f>
        <v>N/A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66FFFF"/>
  </sheetPr>
  <dimension ref="B1:BR105"/>
  <sheetViews>
    <sheetView topLeftCell="N1" zoomScale="70" zoomScaleNormal="70" workbookViewId="0">
      <pane ySplit="14" topLeftCell="A15" activePane="bottomLeft" state="frozen"/>
      <selection pane="bottomLeft" activeCell="Y18" sqref="Y18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753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724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751</v>
      </c>
      <c r="L6" s="214"/>
      <c r="O6" s="907" t="s">
        <v>752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751</v>
      </c>
      <c r="L9" s="214"/>
      <c r="O9" s="907"/>
      <c r="P9" s="214"/>
      <c r="Q9" s="214"/>
      <c r="R9" s="211"/>
      <c r="S9" s="213" t="s">
        <v>749</v>
      </c>
      <c r="T9" s="214"/>
      <c r="AC9" s="221">
        <v>45999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4" t="str">
        <f>IF(S4="INGLES","DRAPERIES","CORTINAS")</f>
        <v>DRAPERIES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HARDWARE</v>
      </c>
      <c r="Q12" s="915"/>
      <c r="R12" s="915"/>
      <c r="S12" s="916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9" t="str">
        <f>IF(S4="INGLES","TOTALS","TOTALES")</f>
        <v>TOTALS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135</v>
      </c>
      <c r="G15" s="671">
        <v>2</v>
      </c>
      <c r="H15" s="906" t="s">
        <v>663</v>
      </c>
      <c r="I15" s="906" t="s">
        <v>674</v>
      </c>
      <c r="J15" s="179" t="str">
        <f t="shared" ref="J15" si="0">IF(OR(C15="",C15&lt;1),"",IF(H15="C.O.M.",CEILING(AQ15,0.5),""))</f>
        <v/>
      </c>
      <c r="K15" s="672" t="s">
        <v>754</v>
      </c>
      <c r="L15" s="179" t="s">
        <v>122</v>
      </c>
      <c r="M15" s="672" t="s">
        <v>750</v>
      </c>
      <c r="N15" s="673">
        <v>120</v>
      </c>
      <c r="O15" s="673">
        <v>104</v>
      </c>
      <c r="P15" s="197" t="s">
        <v>266</v>
      </c>
      <c r="Q15" s="178" t="s">
        <v>737</v>
      </c>
      <c r="R15" s="176" t="s">
        <v>289</v>
      </c>
      <c r="S15" s="179" t="s">
        <v>289</v>
      </c>
      <c r="T15" s="895">
        <v>741</v>
      </c>
      <c r="U15" s="668">
        <v>0.4</v>
      </c>
      <c r="V15" s="669">
        <v>0.5</v>
      </c>
      <c r="W15" s="896">
        <f t="shared" ref="W15:W62" si="1">IF(OR(C15&lt;1,C15=""),"",BI15)</f>
        <v>147.70000000000002</v>
      </c>
      <c r="X15" s="694">
        <v>0.4</v>
      </c>
      <c r="Y15" s="690">
        <v>0.5</v>
      </c>
      <c r="Z15" s="667">
        <f>T15*IF($L$4="RESIDENCIAL",1-U15,1-V15)+W15*IF($L$4="RESIDENCIAL",1-X15,1-Y15)</f>
        <v>444.35</v>
      </c>
      <c r="AA15" s="659">
        <f>IF(E15="",0,IF(OR(C15&lt;1,C15=""),"",IF($S$3="PESOS",Z15*C15*$AC$4,Z15*C15)))</f>
        <v>444.35</v>
      </c>
      <c r="AB15" s="895">
        <f t="shared" ref="AB15:AB62" si="2">IF(E15="",0,IF(OR(C15&lt;1,C15=""),"",T15+W15))</f>
        <v>888.7</v>
      </c>
      <c r="AC15" s="896">
        <f>IF(E15="",0,IF(OR(C15&lt;1,C15=""),"",IF($S$3="PESOS",AB15*C15*$AC$4, AB15*C15)))</f>
        <v>888.7</v>
      </c>
      <c r="AD15" s="181"/>
      <c r="AE15" s="883">
        <f t="shared" ref="AE15:AE62" si="3">IF(C15="","",$AG$6+$AG$7+$AG$8)</f>
        <v>12.5</v>
      </c>
      <c r="AF15" s="883">
        <f t="shared" ref="AF15:AF62" si="4">IF(C15="","",N15*$AF$13)</f>
        <v>6</v>
      </c>
      <c r="AG15" s="883">
        <f t="shared" ref="AG15:AG62" si="5">IF(C15="","",$AG$3*2+1)</f>
        <v>9</v>
      </c>
      <c r="AH15" s="884">
        <f t="shared" ref="AH15:AH62" si="6">IF(C15="","",$AG$4*2)</f>
        <v>8</v>
      </c>
      <c r="AI15" s="306">
        <f t="shared" ref="AI15:AI62" si="7">IF(C15="","",N15*G15+AE15+AF15)</f>
        <v>258.5</v>
      </c>
      <c r="AJ15" s="307">
        <f t="shared" ref="AJ15:AJ62" si="8">IF(C15="","",O15+AG15+AH15)</f>
        <v>121</v>
      </c>
      <c r="AK15" s="307">
        <f t="shared" ref="AK15:AK62" si="9">IF(C15="","",IF(OR(F15="SHEER",F15="STAT. SHEER"),118,54))</f>
        <v>54</v>
      </c>
      <c r="AL15" s="308" t="str">
        <f t="shared" ref="AL15:AL62" si="10">IF(C15="","",IF(AK15&lt;65,"VERTICAL",IF(AJ15&gt;AK15,"VERTICAL","RAILROAD")))</f>
        <v>VERTICAL</v>
      </c>
      <c r="AM15" s="308">
        <f t="shared" ref="AM15:AM62" si="11">IF(C15="","",AI15/AK15)</f>
        <v>4.7870370370370372</v>
      </c>
      <c r="AN15" s="309">
        <f t="shared" ref="AN15:AN62" si="12">IF(C15="","",IF(AL15="RAILROAD","N/A",IF(AK15&lt;60,CEILING(AM15,0.5),CEILING(AM15,0.25))))</f>
        <v>5</v>
      </c>
      <c r="AO15" s="309">
        <f t="shared" ref="AO15:AO62" si="13">IF(C15="","",IF(AL15="VERTICAL",AN15*AK15/54,CEILING(AI15/54,0.5)))</f>
        <v>5</v>
      </c>
      <c r="AP15" s="308">
        <f t="shared" ref="AP15:AP62" si="14">IF(C15="","",IF(AL15="VERTICAL",CEILING(AN15*AJ15/36/0.93,0.25),CEILING(AI15/36/0.93,0.25)))</f>
        <v>18.25</v>
      </c>
      <c r="AQ15" s="310">
        <f t="shared" ref="AQ15:AQ62" si="15">IF(C15="","",AP15*C15)</f>
        <v>18.25</v>
      </c>
      <c r="AR15" s="306">
        <f t="shared" ref="AR15:AR62" si="16">IF(C15="","",CEILING(AI15,1))</f>
        <v>259</v>
      </c>
      <c r="AS15" s="308">
        <f t="shared" ref="AS15:AS62" si="17">IF(C15="","",O15+(2*$AG$3)+2+1)</f>
        <v>115</v>
      </c>
      <c r="AT15" s="308">
        <f t="shared" ref="AT15:AT62" si="18">IF(C15="","",IF(OR(L15="3-PASS WW",L15="3-PASS IV-EC"),110,54))</f>
        <v>54</v>
      </c>
      <c r="AU15" s="308" t="str">
        <f t="shared" ref="AU15:AU62" si="19">IF(C15="","",IF(AT15&gt;AS15,"RAILROAD","VERTICAL"))</f>
        <v>VERTICAL</v>
      </c>
      <c r="AV15" s="308">
        <f t="shared" ref="AV15:AV62" si="20">IF(C15="","",IF(AU15="RAILROAD",CEILING(AR15/36/0.94,0.1),CEILING(CEILING(AR15/AT15,0.25)*AS15/36/0.94,0.1)))</f>
        <v>17</v>
      </c>
      <c r="AW15" s="310">
        <f t="shared" ref="AW15:AW62" si="21">IF(C15="","",AV15*C15)</f>
        <v>17</v>
      </c>
      <c r="AX15" s="311">
        <f t="shared" ref="AX15:AX62" si="22">IF(C15="","",N15/12/(1-$AX$13))</f>
        <v>10.869565217391305</v>
      </c>
      <c r="AY15" s="308">
        <f t="shared" ref="AY15:AY24" si="23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27.150000000000002</v>
      </c>
      <c r="BA15" s="313">
        <f t="shared" ref="BA15:BA62" si="24">IF(C15="","",AP15*AZ15)</f>
        <v>495.48750000000001</v>
      </c>
      <c r="BB15" s="314">
        <f>IF(C15="","",IF(L15="N/A",0,VLOOKUP(L15,'COST - SELL'!$B$60:$I$63,8,0)))</f>
        <v>0</v>
      </c>
      <c r="BC15" s="313">
        <f t="shared" ref="BC15:BC62" si="25">IF(C15="","",IF(BB15=0,0,BB15*AV15))</f>
        <v>0</v>
      </c>
      <c r="BD15" s="315">
        <f>IF(C15="","",IF(H15="C.O.M.",VLOOKUP(F15,'COST - SELL'!$J$11:$N$19,5,0),VLOOKUP(F15,'COST - SELL'!$B$11:$H$19,7,0)))</f>
        <v>21.75</v>
      </c>
      <c r="BE15" s="315">
        <f t="shared" ref="BE15:BE62" si="26">IF(C15="","",BD15*AO15)</f>
        <v>108.75</v>
      </c>
      <c r="BF15" s="313">
        <f>IF(C15="","",CEILING(BA15+BC15+BE15,0.05))</f>
        <v>604.25</v>
      </c>
      <c r="BG15" s="316">
        <f>IF(C15="","",IF(Q15="N/A",0,VLOOKUP(Q15,'COST - SELL'!$B$80:$I$91,8,0)*'FILL QUOTE-CALCULATIONS'!AX15))</f>
        <v>135.86956521739131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7">IF(C15="","",CEILING(BG15+BH15,0.05))</f>
        <v>147.70000000000002</v>
      </c>
      <c r="BJ15" s="316">
        <f t="shared" ref="BJ15:BJ62" si="28">IF(C15="","",BF15+BI15)</f>
        <v>751.95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323</v>
      </c>
      <c r="J16" s="179" t="str">
        <f t="shared" ref="J16" si="29">IF(OR(C16="",C16&lt;1),"",IF(H16="C.O.M.",CEILING(AQ16,0.5),""))</f>
        <v/>
      </c>
      <c r="K16" s="672" t="s">
        <v>756</v>
      </c>
      <c r="L16" s="179" t="s">
        <v>122</v>
      </c>
      <c r="M16" s="672" t="s">
        <v>750</v>
      </c>
      <c r="N16" s="673">
        <v>120</v>
      </c>
      <c r="O16" s="673">
        <v>104</v>
      </c>
      <c r="P16" s="197" t="s">
        <v>266</v>
      </c>
      <c r="Q16" s="178" t="s">
        <v>737</v>
      </c>
      <c r="R16" s="176" t="s">
        <v>289</v>
      </c>
      <c r="S16" s="179" t="s">
        <v>289</v>
      </c>
      <c r="T16" s="895">
        <f t="shared" ref="T15:T62" si="30">IF(E16="",0,IF(OR(C16&lt;1,C16=""),"",BF16))</f>
        <v>342.25</v>
      </c>
      <c r="U16" s="668">
        <v>0.4</v>
      </c>
      <c r="V16" s="669">
        <v>0.5</v>
      </c>
      <c r="W16" s="896">
        <f t="shared" si="1"/>
        <v>147.70000000000002</v>
      </c>
      <c r="X16" s="694">
        <v>0.4</v>
      </c>
      <c r="Y16" s="690">
        <v>0.5</v>
      </c>
      <c r="Z16" s="667">
        <f>IF(E16="",0,T16*IF($L$4="RESIDENCIAL",1-U16,1-V16)+W16*IF($L$4="RESIDENCIAL",1-X16,1-Y16))</f>
        <v>244.97500000000002</v>
      </c>
      <c r="AA16" s="659">
        <f>IF(E16="",0,IF(OR(C16&lt;1,C16=""),"",IF($S$3="PESOS",Z16*C16*$AC$4, Z16*C16)))</f>
        <v>244.97500000000002</v>
      </c>
      <c r="AB16" s="895">
        <f t="shared" si="2"/>
        <v>489.95000000000005</v>
      </c>
      <c r="AC16" s="896">
        <f>IF(E16="",0,IF(OR(C16&lt;1,C16=""),"",IF($S$3="PESOS",AB16*C16*$AC$4, AB16*C16)))</f>
        <v>489.95000000000005</v>
      </c>
      <c r="AD16" s="181"/>
      <c r="AE16" s="883">
        <f t="shared" si="3"/>
        <v>12.5</v>
      </c>
      <c r="AF16" s="883">
        <f t="shared" si="4"/>
        <v>6</v>
      </c>
      <c r="AG16" s="883">
        <f t="shared" si="5"/>
        <v>9</v>
      </c>
      <c r="AH16" s="884">
        <f t="shared" si="6"/>
        <v>8</v>
      </c>
      <c r="AI16" s="317">
        <f t="shared" si="7"/>
        <v>258.5</v>
      </c>
      <c r="AJ16" s="304">
        <f t="shared" si="8"/>
        <v>121</v>
      </c>
      <c r="AK16" s="304">
        <f t="shared" si="9"/>
        <v>118</v>
      </c>
      <c r="AL16" s="318" t="str">
        <f t="shared" si="10"/>
        <v>VERTICAL</v>
      </c>
      <c r="AM16" s="318">
        <f t="shared" si="11"/>
        <v>2.1906779661016951</v>
      </c>
      <c r="AN16" s="319">
        <f t="shared" si="12"/>
        <v>2.25</v>
      </c>
      <c r="AO16" s="319">
        <f t="shared" si="13"/>
        <v>4.916666666666667</v>
      </c>
      <c r="AP16" s="318">
        <f t="shared" si="14"/>
        <v>8.25</v>
      </c>
      <c r="AQ16" s="320">
        <f t="shared" si="15"/>
        <v>8.25</v>
      </c>
      <c r="AR16" s="306">
        <f t="shared" si="16"/>
        <v>259</v>
      </c>
      <c r="AS16" s="308">
        <f t="shared" si="17"/>
        <v>115</v>
      </c>
      <c r="AT16" s="308">
        <f t="shared" si="18"/>
        <v>54</v>
      </c>
      <c r="AU16" s="308" t="str">
        <f t="shared" si="19"/>
        <v>VERTICAL</v>
      </c>
      <c r="AV16" s="308">
        <f t="shared" si="20"/>
        <v>17</v>
      </c>
      <c r="AW16" s="310">
        <f t="shared" si="21"/>
        <v>17</v>
      </c>
      <c r="AX16" s="321">
        <f t="shared" si="22"/>
        <v>10.869565217391305</v>
      </c>
      <c r="AY16" s="308">
        <f t="shared" si="23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4"/>
        <v>262.35000000000002</v>
      </c>
      <c r="BB16" s="314">
        <f>IF(C16="","",IF(L16="N/A",0,VLOOKUP(L16,'COST - SELL'!$B$60:$I$63,8,0)))</f>
        <v>0</v>
      </c>
      <c r="BC16" s="313">
        <f t="shared" si="25"/>
        <v>0</v>
      </c>
      <c r="BD16" s="315">
        <f>IF(C16="","",IF(H16="C.O.M.",VLOOKUP(F16,'COST - SELL'!$J$11:$N$19,5,0),VLOOKUP(F16,'COST - SELL'!$B$11:$H$19,7,0)))</f>
        <v>16.25</v>
      </c>
      <c r="BE16" s="315">
        <f t="shared" si="26"/>
        <v>79.895833333333343</v>
      </c>
      <c r="BF16" s="313">
        <f t="shared" ref="BF16:BF62" si="31">IF(C16="","",CEILING(BA16+BC16+BE16,0.05))</f>
        <v>342.25</v>
      </c>
      <c r="BG16" s="316">
        <f>IF(C16="","",IF(Q16="N/A",0,VLOOKUP(Q16,'COST - SELL'!$B$80:$I$91,8,0)*'FILL QUOTE-CALCULATIONS'!AX16))</f>
        <v>135.86956521739131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7"/>
        <v>147.70000000000002</v>
      </c>
      <c r="BJ16" s="316">
        <f t="shared" si="28"/>
        <v>489.95000000000005</v>
      </c>
    </row>
    <row r="17" spans="2:62" x14ac:dyDescent="0.25">
      <c r="B17" s="231">
        <f t="shared" ref="B17:B62" si="32"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671">
        <v>2</v>
      </c>
      <c r="H17" s="906" t="s">
        <v>187</v>
      </c>
      <c r="I17" s="906" t="s">
        <v>323</v>
      </c>
      <c r="J17" s="179" t="str">
        <f t="shared" ref="J17:J19" si="33">IF(OR(C17="",C17&lt;1),"",IF(H17="C.O.M.",CEILING(AQ17,0.5),""))</f>
        <v/>
      </c>
      <c r="K17" s="672" t="s">
        <v>755</v>
      </c>
      <c r="L17" s="179" t="s">
        <v>122</v>
      </c>
      <c r="M17" s="672" t="s">
        <v>757</v>
      </c>
      <c r="N17" s="673">
        <v>55</v>
      </c>
      <c r="O17" s="673">
        <v>93.5</v>
      </c>
      <c r="P17" s="197" t="s">
        <v>266</v>
      </c>
      <c r="Q17" s="178" t="s">
        <v>737</v>
      </c>
      <c r="R17" s="176" t="s">
        <v>289</v>
      </c>
      <c r="S17" s="179" t="s">
        <v>289</v>
      </c>
      <c r="T17" s="895">
        <f t="shared" si="30"/>
        <v>159.9</v>
      </c>
      <c r="U17" s="668">
        <v>0.4</v>
      </c>
      <c r="V17" s="669">
        <v>0.5</v>
      </c>
      <c r="W17" s="896">
        <f t="shared" si="1"/>
        <v>71.55</v>
      </c>
      <c r="X17" s="694">
        <v>0.4</v>
      </c>
      <c r="Y17" s="690">
        <v>0.5</v>
      </c>
      <c r="Z17" s="667">
        <f t="shared" ref="Z17:Z62" si="34">IF(E17="",0,T17*IF($L$4="RESIDENCIAL",1-U17,1-V17)+W17*IF($L$4="RESIDENCIAL",1-X17,1-Y17))</f>
        <v>115.72499999999999</v>
      </c>
      <c r="AA17" s="659">
        <f t="shared" ref="AA17:AA62" si="35">IF(E17="",0,IF(OR(C17&lt;1,C17=""),"",IF($S$3="PESOS",Z17*C17*$AC$4, Z17*C17)))</f>
        <v>115.72499999999999</v>
      </c>
      <c r="AB17" s="895">
        <f t="shared" si="2"/>
        <v>231.45</v>
      </c>
      <c r="AC17" s="896">
        <f t="shared" ref="AC17:AC62" si="36">IF(E17="",0,IF(OR(C17&lt;1,C17=""),"",IF($S$3="PESOS",AB17*C17*$AC$4, AB17*C17)))</f>
        <v>231.45</v>
      </c>
      <c r="AD17" s="181"/>
      <c r="AE17" s="883">
        <f t="shared" si="3"/>
        <v>12.5</v>
      </c>
      <c r="AF17" s="883">
        <f t="shared" si="4"/>
        <v>2.75</v>
      </c>
      <c r="AG17" s="883">
        <f t="shared" si="5"/>
        <v>9</v>
      </c>
      <c r="AH17" s="884">
        <f t="shared" si="6"/>
        <v>8</v>
      </c>
      <c r="AI17" s="317">
        <f t="shared" si="7"/>
        <v>125.25</v>
      </c>
      <c r="AJ17" s="304">
        <f t="shared" si="8"/>
        <v>110.5</v>
      </c>
      <c r="AK17" s="304">
        <f t="shared" si="9"/>
        <v>118</v>
      </c>
      <c r="AL17" s="318" t="str">
        <f t="shared" si="10"/>
        <v>RAILROAD</v>
      </c>
      <c r="AM17" s="318">
        <f t="shared" si="11"/>
        <v>1.0614406779661016</v>
      </c>
      <c r="AN17" s="319" t="str">
        <f t="shared" si="12"/>
        <v>N/A</v>
      </c>
      <c r="AO17" s="319">
        <f t="shared" si="13"/>
        <v>2.5</v>
      </c>
      <c r="AP17" s="318">
        <f t="shared" si="14"/>
        <v>3.75</v>
      </c>
      <c r="AQ17" s="320">
        <f t="shared" si="15"/>
        <v>3.75</v>
      </c>
      <c r="AR17" s="306">
        <f t="shared" si="16"/>
        <v>126</v>
      </c>
      <c r="AS17" s="308">
        <f t="shared" si="17"/>
        <v>104.5</v>
      </c>
      <c r="AT17" s="308">
        <f t="shared" si="18"/>
        <v>54</v>
      </c>
      <c r="AU17" s="308" t="str">
        <f t="shared" si="19"/>
        <v>VERTICAL</v>
      </c>
      <c r="AV17" s="308">
        <f t="shared" si="20"/>
        <v>7.8000000000000007</v>
      </c>
      <c r="AW17" s="310">
        <f t="shared" si="21"/>
        <v>7.8000000000000007</v>
      </c>
      <c r="AX17" s="321">
        <f t="shared" si="22"/>
        <v>4.9818840579710137</v>
      </c>
      <c r="AY17" s="308">
        <f t="shared" si="23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31.8</v>
      </c>
      <c r="BA17" s="313">
        <f t="shared" si="24"/>
        <v>119.25</v>
      </c>
      <c r="BB17" s="314">
        <f>IF(C17="","",IF(L17="N/A",0,VLOOKUP(L17,'COST - SELL'!$B$60:$I$63,8,0)))</f>
        <v>0</v>
      </c>
      <c r="BC17" s="313">
        <f t="shared" si="25"/>
        <v>0</v>
      </c>
      <c r="BD17" s="315">
        <f>IF(C17="","",IF(H17="C.O.M.",VLOOKUP(F17,'COST - SELL'!$J$11:$N$19,5,0),VLOOKUP(F17,'COST - SELL'!$B$11:$H$19,7,0)))</f>
        <v>16.25</v>
      </c>
      <c r="BE17" s="315">
        <f t="shared" si="26"/>
        <v>40.625</v>
      </c>
      <c r="BF17" s="313">
        <f t="shared" si="31"/>
        <v>159.9</v>
      </c>
      <c r="BG17" s="316">
        <f>IF(C17="","",IF(Q17="N/A",0,VLOOKUP(Q17,'COST - SELL'!$B$80:$I$91,8,0)*'FILL QUOTE-CALCULATIONS'!AX17))</f>
        <v>62.273550724637673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9.25</v>
      </c>
      <c r="BI17" s="316">
        <f t="shared" si="27"/>
        <v>71.55</v>
      </c>
      <c r="BJ17" s="316">
        <f t="shared" si="28"/>
        <v>231.45</v>
      </c>
    </row>
    <row r="18" spans="2:62" x14ac:dyDescent="0.25">
      <c r="B18" s="231">
        <f t="shared" si="32"/>
        <v>4</v>
      </c>
      <c r="C18" s="180">
        <v>1</v>
      </c>
      <c r="D18" s="178" t="s">
        <v>298</v>
      </c>
      <c r="E18" s="179" t="s">
        <v>132</v>
      </c>
      <c r="F18" s="179" t="s">
        <v>116</v>
      </c>
      <c r="G18" s="671">
        <v>2</v>
      </c>
      <c r="H18" s="906" t="s">
        <v>187</v>
      </c>
      <c r="I18" s="906" t="s">
        <v>323</v>
      </c>
      <c r="J18" s="179" t="str">
        <f t="shared" si="33"/>
        <v/>
      </c>
      <c r="K18" s="672" t="s">
        <v>755</v>
      </c>
      <c r="L18" s="179" t="s">
        <v>122</v>
      </c>
      <c r="M18" s="672" t="s">
        <v>758</v>
      </c>
      <c r="N18" s="673">
        <v>55</v>
      </c>
      <c r="O18" s="673">
        <v>93.5</v>
      </c>
      <c r="P18" s="197" t="s">
        <v>266</v>
      </c>
      <c r="Q18" s="178" t="s">
        <v>737</v>
      </c>
      <c r="R18" s="176" t="s">
        <v>289</v>
      </c>
      <c r="S18" s="179" t="s">
        <v>289</v>
      </c>
      <c r="T18" s="895">
        <f t="shared" si="30"/>
        <v>159.9</v>
      </c>
      <c r="U18" s="668">
        <v>0.4</v>
      </c>
      <c r="V18" s="669">
        <v>0.5</v>
      </c>
      <c r="W18" s="896">
        <f t="shared" si="1"/>
        <v>71.55</v>
      </c>
      <c r="X18" s="694">
        <v>0.4</v>
      </c>
      <c r="Y18" s="690">
        <v>0.45</v>
      </c>
      <c r="Z18" s="667">
        <f t="shared" si="34"/>
        <v>119.30250000000001</v>
      </c>
      <c r="AA18" s="659">
        <f t="shared" si="35"/>
        <v>119.30250000000001</v>
      </c>
      <c r="AB18" s="895">
        <f t="shared" si="2"/>
        <v>231.45</v>
      </c>
      <c r="AC18" s="896">
        <f t="shared" si="36"/>
        <v>231.45</v>
      </c>
      <c r="AD18" s="181"/>
      <c r="AE18" s="883">
        <f t="shared" si="3"/>
        <v>12.5</v>
      </c>
      <c r="AF18" s="883">
        <f t="shared" si="4"/>
        <v>2.75</v>
      </c>
      <c r="AG18" s="883">
        <f t="shared" si="5"/>
        <v>9</v>
      </c>
      <c r="AH18" s="884">
        <f t="shared" si="6"/>
        <v>8</v>
      </c>
      <c r="AI18" s="317">
        <f t="shared" si="7"/>
        <v>125.25</v>
      </c>
      <c r="AJ18" s="304">
        <f t="shared" si="8"/>
        <v>110.5</v>
      </c>
      <c r="AK18" s="304">
        <f t="shared" si="9"/>
        <v>118</v>
      </c>
      <c r="AL18" s="318" t="str">
        <f t="shared" si="10"/>
        <v>RAILROAD</v>
      </c>
      <c r="AM18" s="318">
        <f t="shared" si="11"/>
        <v>1.0614406779661016</v>
      </c>
      <c r="AN18" s="319" t="str">
        <f t="shared" si="12"/>
        <v>N/A</v>
      </c>
      <c r="AO18" s="319">
        <f t="shared" si="13"/>
        <v>2.5</v>
      </c>
      <c r="AP18" s="318">
        <f t="shared" si="14"/>
        <v>3.75</v>
      </c>
      <c r="AQ18" s="320">
        <f t="shared" si="15"/>
        <v>3.75</v>
      </c>
      <c r="AR18" s="306">
        <f t="shared" si="16"/>
        <v>126</v>
      </c>
      <c r="AS18" s="308">
        <f t="shared" si="17"/>
        <v>104.5</v>
      </c>
      <c r="AT18" s="308">
        <f t="shared" si="18"/>
        <v>54</v>
      </c>
      <c r="AU18" s="308" t="str">
        <f t="shared" si="19"/>
        <v>VERTICAL</v>
      </c>
      <c r="AV18" s="308">
        <f t="shared" si="20"/>
        <v>7.8000000000000007</v>
      </c>
      <c r="AW18" s="310">
        <f t="shared" si="21"/>
        <v>7.8000000000000007</v>
      </c>
      <c r="AX18" s="321">
        <f t="shared" si="22"/>
        <v>4.9818840579710137</v>
      </c>
      <c r="AY18" s="308">
        <f t="shared" si="23"/>
        <v>36</v>
      </c>
      <c r="AZ18" s="312">
        <f>IF(C18="","",IF(H18="STOCK",VLOOKUP(I18,'COST - SELL'!$B$26:$G$29,6,0),IF(H18="LINE-ATELIER",VLOOKUP(I18,'COST - SELL'!$J$26:$Q$29,8,0),IF(H18="LINE-VTLUX",VLOOKUP(I18,'COST - SELL'!$B$36:$I$51,8,0),0))))</f>
        <v>31.8</v>
      </c>
      <c r="BA18" s="313">
        <f t="shared" si="24"/>
        <v>119.25</v>
      </c>
      <c r="BB18" s="314">
        <f>IF(C18="","",IF(L18="N/A",0,VLOOKUP(L18,'COST - SELL'!$B$60:$I$63,8,0)))</f>
        <v>0</v>
      </c>
      <c r="BC18" s="313">
        <f t="shared" si="25"/>
        <v>0</v>
      </c>
      <c r="BD18" s="315">
        <f>IF(C18="","",IF(H18="C.O.M.",VLOOKUP(F18,'COST - SELL'!$J$11:$N$19,5,0),VLOOKUP(F18,'COST - SELL'!$B$11:$H$19,7,0)))</f>
        <v>16.25</v>
      </c>
      <c r="BE18" s="315">
        <f t="shared" si="26"/>
        <v>40.625</v>
      </c>
      <c r="BF18" s="313">
        <f t="shared" si="31"/>
        <v>159.9</v>
      </c>
      <c r="BG18" s="316">
        <f>IF(C18="","",IF(Q18="N/A",0,VLOOKUP(Q18,'COST - SELL'!$B$80:$I$91,8,0)*'FILL QUOTE-CALCULATIONS'!AX18))</f>
        <v>62.273550724637673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9.25</v>
      </c>
      <c r="BI18" s="316">
        <f t="shared" si="27"/>
        <v>71.55</v>
      </c>
      <c r="BJ18" s="316">
        <f t="shared" si="28"/>
        <v>231.45</v>
      </c>
    </row>
    <row r="19" spans="2:62" x14ac:dyDescent="0.25">
      <c r="B19" s="231">
        <f t="shared" si="32"/>
        <v>5</v>
      </c>
      <c r="C19" s="180"/>
      <c r="D19" s="178"/>
      <c r="E19" s="179"/>
      <c r="F19" s="179"/>
      <c r="G19" s="671"/>
      <c r="H19" s="906"/>
      <c r="I19" s="906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30"/>
        <v>0</v>
      </c>
      <c r="U19" s="668">
        <v>0.4</v>
      </c>
      <c r="V19" s="669">
        <v>0.5</v>
      </c>
      <c r="W19" s="896" t="str">
        <f t="shared" si="1"/>
        <v/>
      </c>
      <c r="X19" s="694">
        <v>0.4</v>
      </c>
      <c r="Y19" s="690">
        <v>0.3</v>
      </c>
      <c r="Z19" s="667">
        <f t="shared" si="34"/>
        <v>0</v>
      </c>
      <c r="AA19" s="659">
        <f t="shared" si="35"/>
        <v>0</v>
      </c>
      <c r="AB19" s="895">
        <f t="shared" si="2"/>
        <v>0</v>
      </c>
      <c r="AC19" s="896">
        <f t="shared" si="36"/>
        <v>0</v>
      </c>
      <c r="AD19" s="181"/>
      <c r="AE19" s="883" t="str">
        <f t="shared" si="3"/>
        <v/>
      </c>
      <c r="AF19" s="883" t="str">
        <f t="shared" si="4"/>
        <v/>
      </c>
      <c r="AG19" s="883" t="str">
        <f t="shared" si="5"/>
        <v/>
      </c>
      <c r="AH19" s="884" t="str">
        <f t="shared" si="6"/>
        <v/>
      </c>
      <c r="AI19" s="317" t="str">
        <f t="shared" si="7"/>
        <v/>
      </c>
      <c r="AJ19" s="304" t="str">
        <f t="shared" si="8"/>
        <v/>
      </c>
      <c r="AK19" s="304" t="str">
        <f t="shared" si="9"/>
        <v/>
      </c>
      <c r="AL19" s="318" t="str">
        <f t="shared" si="10"/>
        <v/>
      </c>
      <c r="AM19" s="318" t="str">
        <f t="shared" si="11"/>
        <v/>
      </c>
      <c r="AN19" s="319" t="str">
        <f t="shared" si="12"/>
        <v/>
      </c>
      <c r="AO19" s="319" t="str">
        <f t="shared" si="13"/>
        <v/>
      </c>
      <c r="AP19" s="318" t="str">
        <f t="shared" si="14"/>
        <v/>
      </c>
      <c r="AQ19" s="320" t="str">
        <f t="shared" si="15"/>
        <v/>
      </c>
      <c r="AR19" s="306" t="str">
        <f t="shared" si="16"/>
        <v/>
      </c>
      <c r="AS19" s="308" t="str">
        <f t="shared" si="17"/>
        <v/>
      </c>
      <c r="AT19" s="308" t="str">
        <f t="shared" si="18"/>
        <v/>
      </c>
      <c r="AU19" s="308" t="str">
        <f t="shared" si="19"/>
        <v/>
      </c>
      <c r="AV19" s="308" t="str">
        <f t="shared" si="20"/>
        <v/>
      </c>
      <c r="AW19" s="310" t="str">
        <f t="shared" si="21"/>
        <v/>
      </c>
      <c r="AX19" s="321" t="str">
        <f t="shared" si="22"/>
        <v/>
      </c>
      <c r="AY19" s="308" t="str">
        <f t="shared" si="23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4"/>
        <v/>
      </c>
      <c r="BB19" s="314" t="str">
        <f>IF(C19="","",IF(L19="N/A",0,VLOOKUP(L19,'COST - SELL'!$B$60:$I$63,8,0)))</f>
        <v/>
      </c>
      <c r="BC19" s="313" t="str">
        <f t="shared" si="25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6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7"/>
        <v/>
      </c>
      <c r="BJ19" s="316" t="str">
        <f t="shared" si="28"/>
        <v/>
      </c>
    </row>
    <row r="20" spans="2:62" x14ac:dyDescent="0.25">
      <c r="B20" s="231">
        <f t="shared" si="32"/>
        <v>6</v>
      </c>
      <c r="C20" s="180"/>
      <c r="D20" s="178"/>
      <c r="E20" s="179"/>
      <c r="F20" s="179"/>
      <c r="G20" s="671"/>
      <c r="H20" s="906"/>
      <c r="I20" s="906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30"/>
        <v>0</v>
      </c>
      <c r="U20" s="668">
        <v>0.4</v>
      </c>
      <c r="V20" s="669">
        <v>0.5</v>
      </c>
      <c r="W20" s="896" t="str">
        <f t="shared" si="1"/>
        <v/>
      </c>
      <c r="X20" s="694">
        <v>0.4</v>
      </c>
      <c r="Y20" s="690">
        <v>0.3</v>
      </c>
      <c r="Z20" s="667">
        <f t="shared" si="34"/>
        <v>0</v>
      </c>
      <c r="AA20" s="659">
        <f t="shared" si="35"/>
        <v>0</v>
      </c>
      <c r="AB20" s="895">
        <f t="shared" si="2"/>
        <v>0</v>
      </c>
      <c r="AC20" s="896">
        <f t="shared" si="36"/>
        <v>0</v>
      </c>
      <c r="AD20" s="181"/>
      <c r="AE20" s="883" t="str">
        <f t="shared" si="3"/>
        <v/>
      </c>
      <c r="AF20" s="883" t="str">
        <f t="shared" si="4"/>
        <v/>
      </c>
      <c r="AG20" s="883" t="str">
        <f t="shared" si="5"/>
        <v/>
      </c>
      <c r="AH20" s="884" t="str">
        <f t="shared" si="6"/>
        <v/>
      </c>
      <c r="AI20" s="317" t="str">
        <f t="shared" si="7"/>
        <v/>
      </c>
      <c r="AJ20" s="304" t="str">
        <f t="shared" si="8"/>
        <v/>
      </c>
      <c r="AK20" s="304" t="str">
        <f t="shared" si="9"/>
        <v/>
      </c>
      <c r="AL20" s="318" t="str">
        <f t="shared" si="10"/>
        <v/>
      </c>
      <c r="AM20" s="318" t="str">
        <f t="shared" si="11"/>
        <v/>
      </c>
      <c r="AN20" s="319" t="str">
        <f t="shared" si="12"/>
        <v/>
      </c>
      <c r="AO20" s="319" t="str">
        <f t="shared" si="13"/>
        <v/>
      </c>
      <c r="AP20" s="318" t="str">
        <f t="shared" si="14"/>
        <v/>
      </c>
      <c r="AQ20" s="320" t="str">
        <f t="shared" si="15"/>
        <v/>
      </c>
      <c r="AR20" s="306" t="str">
        <f t="shared" si="16"/>
        <v/>
      </c>
      <c r="AS20" s="308" t="str">
        <f t="shared" si="17"/>
        <v/>
      </c>
      <c r="AT20" s="308" t="str">
        <f t="shared" si="18"/>
        <v/>
      </c>
      <c r="AU20" s="308" t="str">
        <f t="shared" si="19"/>
        <v/>
      </c>
      <c r="AV20" s="308" t="str">
        <f t="shared" si="20"/>
        <v/>
      </c>
      <c r="AW20" s="310" t="str">
        <f t="shared" si="21"/>
        <v/>
      </c>
      <c r="AX20" s="321" t="str">
        <f t="shared" si="22"/>
        <v/>
      </c>
      <c r="AY20" s="308" t="str">
        <f t="shared" si="23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4"/>
        <v/>
      </c>
      <c r="BB20" s="314" t="str">
        <f>IF(C20="","",IF(L20="N/A",0,VLOOKUP(L20,'COST - SELL'!$B$60:$I$63,8,0)))</f>
        <v/>
      </c>
      <c r="BC20" s="313" t="str">
        <f t="shared" si="25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6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7"/>
        <v/>
      </c>
      <c r="BJ20" s="316" t="str">
        <f t="shared" si="28"/>
        <v/>
      </c>
    </row>
    <row r="21" spans="2:62" x14ac:dyDescent="0.25">
      <c r="B21" s="231">
        <f t="shared" si="32"/>
        <v>7</v>
      </c>
      <c r="C21" s="180"/>
      <c r="D21" s="178"/>
      <c r="E21" s="179"/>
      <c r="F21" s="179"/>
      <c r="G21" s="671"/>
      <c r="H21" s="906"/>
      <c r="I21" s="906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30"/>
        <v>0</v>
      </c>
      <c r="U21" s="668">
        <v>0.4</v>
      </c>
      <c r="V21" s="669">
        <v>0.5</v>
      </c>
      <c r="W21" s="896" t="str">
        <f t="shared" si="1"/>
        <v/>
      </c>
      <c r="X21" s="694">
        <v>0.4</v>
      </c>
      <c r="Y21" s="690">
        <v>0.3</v>
      </c>
      <c r="Z21" s="667">
        <f t="shared" si="34"/>
        <v>0</v>
      </c>
      <c r="AA21" s="659">
        <f t="shared" si="35"/>
        <v>0</v>
      </c>
      <c r="AB21" s="895">
        <f t="shared" si="2"/>
        <v>0</v>
      </c>
      <c r="AC21" s="896">
        <f t="shared" si="36"/>
        <v>0</v>
      </c>
      <c r="AD21" s="181"/>
      <c r="AE21" s="883" t="str">
        <f t="shared" si="3"/>
        <v/>
      </c>
      <c r="AF21" s="883" t="str">
        <f t="shared" si="4"/>
        <v/>
      </c>
      <c r="AG21" s="883" t="str">
        <f t="shared" si="5"/>
        <v/>
      </c>
      <c r="AH21" s="884" t="str">
        <f t="shared" si="6"/>
        <v/>
      </c>
      <c r="AI21" s="317" t="str">
        <f t="shared" si="7"/>
        <v/>
      </c>
      <c r="AJ21" s="304" t="str">
        <f t="shared" si="8"/>
        <v/>
      </c>
      <c r="AK21" s="304" t="str">
        <f t="shared" si="9"/>
        <v/>
      </c>
      <c r="AL21" s="318" t="str">
        <f t="shared" si="10"/>
        <v/>
      </c>
      <c r="AM21" s="318" t="str">
        <f t="shared" si="11"/>
        <v/>
      </c>
      <c r="AN21" s="319" t="str">
        <f t="shared" si="12"/>
        <v/>
      </c>
      <c r="AO21" s="319" t="str">
        <f t="shared" si="13"/>
        <v/>
      </c>
      <c r="AP21" s="318" t="str">
        <f t="shared" si="14"/>
        <v/>
      </c>
      <c r="AQ21" s="320" t="str">
        <f t="shared" si="15"/>
        <v/>
      </c>
      <c r="AR21" s="306" t="str">
        <f t="shared" si="16"/>
        <v/>
      </c>
      <c r="AS21" s="308" t="str">
        <f t="shared" si="17"/>
        <v/>
      </c>
      <c r="AT21" s="308" t="str">
        <f t="shared" si="18"/>
        <v/>
      </c>
      <c r="AU21" s="308" t="str">
        <f t="shared" si="19"/>
        <v/>
      </c>
      <c r="AV21" s="308" t="str">
        <f t="shared" si="20"/>
        <v/>
      </c>
      <c r="AW21" s="310" t="str">
        <f t="shared" si="21"/>
        <v/>
      </c>
      <c r="AX21" s="321" t="str">
        <f t="shared" si="22"/>
        <v/>
      </c>
      <c r="AY21" s="308" t="str">
        <f t="shared" si="23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4"/>
        <v/>
      </c>
      <c r="BB21" s="314" t="str">
        <f>IF(C21="","",IF(L21="N/A",0,VLOOKUP(L21,'COST - SELL'!$B$60:$I$63,8,0)))</f>
        <v/>
      </c>
      <c r="BC21" s="313" t="str">
        <f t="shared" si="25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6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7"/>
        <v/>
      </c>
      <c r="BJ21" s="316" t="str">
        <f t="shared" si="28"/>
        <v/>
      </c>
    </row>
    <row r="22" spans="2:62" x14ac:dyDescent="0.25">
      <c r="B22" s="231">
        <f t="shared" si="32"/>
        <v>8</v>
      </c>
      <c r="C22" s="180"/>
      <c r="D22" s="178"/>
      <c r="E22" s="179"/>
      <c r="F22" s="179"/>
      <c r="G22" s="671"/>
      <c r="H22" s="906"/>
      <c r="I22" s="906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/>
      <c r="U22" s="668">
        <v>0.4</v>
      </c>
      <c r="V22" s="669">
        <v>0.5</v>
      </c>
      <c r="W22" s="896" t="str">
        <f t="shared" si="1"/>
        <v/>
      </c>
      <c r="X22" s="694">
        <v>0.4</v>
      </c>
      <c r="Y22" s="690">
        <v>0.3</v>
      </c>
      <c r="Z22" s="667">
        <f t="shared" si="34"/>
        <v>0</v>
      </c>
      <c r="AA22" s="659">
        <f t="shared" si="35"/>
        <v>0</v>
      </c>
      <c r="AB22" s="895">
        <f t="shared" si="2"/>
        <v>0</v>
      </c>
      <c r="AC22" s="896">
        <f t="shared" si="36"/>
        <v>0</v>
      </c>
      <c r="AD22" s="181"/>
      <c r="AE22" s="883" t="str">
        <f t="shared" si="3"/>
        <v/>
      </c>
      <c r="AF22" s="883" t="str">
        <f t="shared" si="4"/>
        <v/>
      </c>
      <c r="AG22" s="883" t="str">
        <f t="shared" si="5"/>
        <v/>
      </c>
      <c r="AH22" s="884" t="str">
        <f t="shared" si="6"/>
        <v/>
      </c>
      <c r="AI22" s="317" t="str">
        <f t="shared" si="7"/>
        <v/>
      </c>
      <c r="AJ22" s="304" t="str">
        <f t="shared" si="8"/>
        <v/>
      </c>
      <c r="AK22" s="304" t="str">
        <f t="shared" si="9"/>
        <v/>
      </c>
      <c r="AL22" s="318" t="str">
        <f t="shared" si="10"/>
        <v/>
      </c>
      <c r="AM22" s="318" t="str">
        <f t="shared" si="11"/>
        <v/>
      </c>
      <c r="AN22" s="319" t="str">
        <f t="shared" si="12"/>
        <v/>
      </c>
      <c r="AO22" s="319" t="str">
        <f t="shared" si="13"/>
        <v/>
      </c>
      <c r="AP22" s="318" t="str">
        <f t="shared" si="14"/>
        <v/>
      </c>
      <c r="AQ22" s="320" t="str">
        <f t="shared" si="15"/>
        <v/>
      </c>
      <c r="AR22" s="306" t="str">
        <f t="shared" si="16"/>
        <v/>
      </c>
      <c r="AS22" s="308" t="str">
        <f t="shared" si="17"/>
        <v/>
      </c>
      <c r="AT22" s="308" t="str">
        <f t="shared" si="18"/>
        <v/>
      </c>
      <c r="AU22" s="308" t="str">
        <f t="shared" si="19"/>
        <v/>
      </c>
      <c r="AV22" s="308" t="str">
        <f t="shared" si="20"/>
        <v/>
      </c>
      <c r="AW22" s="310" t="str">
        <f t="shared" si="21"/>
        <v/>
      </c>
      <c r="AX22" s="321" t="str">
        <f t="shared" si="22"/>
        <v/>
      </c>
      <c r="AY22" s="308" t="str">
        <f t="shared" si="23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4"/>
        <v/>
      </c>
      <c r="BB22" s="314" t="str">
        <f>IF(C22="","",IF(L22="N/A",0,VLOOKUP(L22,'COST - SELL'!$B$60:$I$63,8,0)))</f>
        <v/>
      </c>
      <c r="BC22" s="313" t="str">
        <f t="shared" si="25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6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7"/>
        <v/>
      </c>
      <c r="BJ22" s="316" t="str">
        <f t="shared" si="28"/>
        <v/>
      </c>
    </row>
    <row r="23" spans="2:62" x14ac:dyDescent="0.25">
      <c r="B23" s="231">
        <f t="shared" si="32"/>
        <v>9</v>
      </c>
      <c r="C23" s="180"/>
      <c r="D23" s="178"/>
      <c r="E23" s="179"/>
      <c r="F23" s="179"/>
      <c r="G23" s="671"/>
      <c r="H23" s="906"/>
      <c r="I23" s="906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30"/>
        <v>0</v>
      </c>
      <c r="U23" s="668">
        <v>0.4</v>
      </c>
      <c r="V23" s="669">
        <v>0.5</v>
      </c>
      <c r="W23" s="896" t="str">
        <f t="shared" si="1"/>
        <v/>
      </c>
      <c r="X23" s="694">
        <v>0.4</v>
      </c>
      <c r="Y23" s="690">
        <v>0.3</v>
      </c>
      <c r="Z23" s="667">
        <f t="shared" si="34"/>
        <v>0</v>
      </c>
      <c r="AA23" s="659">
        <f t="shared" si="35"/>
        <v>0</v>
      </c>
      <c r="AB23" s="895">
        <f t="shared" si="2"/>
        <v>0</v>
      </c>
      <c r="AC23" s="896">
        <f t="shared" si="36"/>
        <v>0</v>
      </c>
      <c r="AD23" s="181"/>
      <c r="AE23" s="883" t="str">
        <f t="shared" si="3"/>
        <v/>
      </c>
      <c r="AF23" s="883" t="str">
        <f t="shared" si="4"/>
        <v/>
      </c>
      <c r="AG23" s="883" t="str">
        <f t="shared" si="5"/>
        <v/>
      </c>
      <c r="AH23" s="884" t="str">
        <f t="shared" si="6"/>
        <v/>
      </c>
      <c r="AI23" s="317" t="str">
        <f t="shared" si="7"/>
        <v/>
      </c>
      <c r="AJ23" s="304" t="str">
        <f t="shared" si="8"/>
        <v/>
      </c>
      <c r="AK23" s="304" t="str">
        <f t="shared" si="9"/>
        <v/>
      </c>
      <c r="AL23" s="318" t="str">
        <f t="shared" si="10"/>
        <v/>
      </c>
      <c r="AM23" s="318" t="str">
        <f t="shared" si="11"/>
        <v/>
      </c>
      <c r="AN23" s="319" t="str">
        <f t="shared" si="12"/>
        <v/>
      </c>
      <c r="AO23" s="319" t="str">
        <f t="shared" si="13"/>
        <v/>
      </c>
      <c r="AP23" s="318" t="str">
        <f t="shared" si="14"/>
        <v/>
      </c>
      <c r="AQ23" s="320" t="str">
        <f t="shared" si="15"/>
        <v/>
      </c>
      <c r="AR23" s="306" t="str">
        <f t="shared" si="16"/>
        <v/>
      </c>
      <c r="AS23" s="308" t="str">
        <f t="shared" si="17"/>
        <v/>
      </c>
      <c r="AT23" s="308" t="str">
        <f t="shared" si="18"/>
        <v/>
      </c>
      <c r="AU23" s="308" t="str">
        <f t="shared" si="19"/>
        <v/>
      </c>
      <c r="AV23" s="308" t="str">
        <f t="shared" si="20"/>
        <v/>
      </c>
      <c r="AW23" s="310" t="str">
        <f t="shared" si="21"/>
        <v/>
      </c>
      <c r="AX23" s="321" t="str">
        <f t="shared" si="22"/>
        <v/>
      </c>
      <c r="AY23" s="308" t="str">
        <f t="shared" si="23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4"/>
        <v/>
      </c>
      <c r="BB23" s="314" t="str">
        <f>IF(C23="","",IF(L23="N/A",0,VLOOKUP(L23,'COST - SELL'!$B$60:$I$63,8,0)))</f>
        <v/>
      </c>
      <c r="BC23" s="313" t="str">
        <f t="shared" si="25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6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7"/>
        <v/>
      </c>
      <c r="BJ23" s="316" t="str">
        <f t="shared" si="28"/>
        <v/>
      </c>
    </row>
    <row r="24" spans="2:62" x14ac:dyDescent="0.25">
      <c r="B24" s="231">
        <f t="shared" si="32"/>
        <v>10</v>
      </c>
      <c r="C24" s="180"/>
      <c r="D24" s="178"/>
      <c r="E24" s="179"/>
      <c r="F24" s="179"/>
      <c r="G24" s="671"/>
      <c r="H24" s="906"/>
      <c r="I24" s="906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30"/>
        <v>0</v>
      </c>
      <c r="U24" s="668">
        <v>0.3</v>
      </c>
      <c r="V24" s="669">
        <v>0.5</v>
      </c>
      <c r="W24" s="896" t="str">
        <f t="shared" si="1"/>
        <v/>
      </c>
      <c r="X24" s="694">
        <v>0.3</v>
      </c>
      <c r="Y24" s="690">
        <v>0.3</v>
      </c>
      <c r="Z24" s="667">
        <f t="shared" si="34"/>
        <v>0</v>
      </c>
      <c r="AA24" s="659">
        <f t="shared" si="35"/>
        <v>0</v>
      </c>
      <c r="AB24" s="895">
        <f t="shared" si="2"/>
        <v>0</v>
      </c>
      <c r="AC24" s="896">
        <f t="shared" si="36"/>
        <v>0</v>
      </c>
      <c r="AD24" s="181"/>
      <c r="AE24" s="883" t="str">
        <f t="shared" si="3"/>
        <v/>
      </c>
      <c r="AF24" s="883" t="str">
        <f t="shared" si="4"/>
        <v/>
      </c>
      <c r="AG24" s="883" t="str">
        <f t="shared" si="5"/>
        <v/>
      </c>
      <c r="AH24" s="884" t="str">
        <f t="shared" si="6"/>
        <v/>
      </c>
      <c r="AI24" s="317" t="str">
        <f t="shared" si="7"/>
        <v/>
      </c>
      <c r="AJ24" s="304" t="str">
        <f t="shared" si="8"/>
        <v/>
      </c>
      <c r="AK24" s="304" t="str">
        <f t="shared" si="9"/>
        <v/>
      </c>
      <c r="AL24" s="318" t="str">
        <f t="shared" si="10"/>
        <v/>
      </c>
      <c r="AM24" s="318" t="str">
        <f t="shared" si="11"/>
        <v/>
      </c>
      <c r="AN24" s="319" t="str">
        <f t="shared" si="12"/>
        <v/>
      </c>
      <c r="AO24" s="319" t="str">
        <f t="shared" si="13"/>
        <v/>
      </c>
      <c r="AP24" s="318" t="str">
        <f t="shared" si="14"/>
        <v/>
      </c>
      <c r="AQ24" s="320" t="str">
        <f t="shared" si="15"/>
        <v/>
      </c>
      <c r="AR24" s="306" t="str">
        <f t="shared" si="16"/>
        <v/>
      </c>
      <c r="AS24" s="308" t="str">
        <f t="shared" si="17"/>
        <v/>
      </c>
      <c r="AT24" s="308" t="str">
        <f t="shared" si="18"/>
        <v/>
      </c>
      <c r="AU24" s="308" t="str">
        <f t="shared" si="19"/>
        <v/>
      </c>
      <c r="AV24" s="308" t="str">
        <f t="shared" si="20"/>
        <v/>
      </c>
      <c r="AW24" s="310" t="str">
        <f t="shared" si="21"/>
        <v/>
      </c>
      <c r="AX24" s="321" t="str">
        <f t="shared" si="22"/>
        <v/>
      </c>
      <c r="AY24" s="308" t="str">
        <f t="shared" si="23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4"/>
        <v/>
      </c>
      <c r="BB24" s="314" t="str">
        <f>IF(C24="","",IF(L24="N/A",0,VLOOKUP(L24,'COST - SELL'!$B$60:$I$63,8,0)))</f>
        <v/>
      </c>
      <c r="BC24" s="313" t="str">
        <f t="shared" si="25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6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7"/>
        <v/>
      </c>
      <c r="BJ24" s="316" t="str">
        <f t="shared" si="28"/>
        <v/>
      </c>
    </row>
    <row r="25" spans="2:62" x14ac:dyDescent="0.25">
      <c r="B25" s="231">
        <f t="shared" si="32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30"/>
        <v>0</v>
      </c>
      <c r="U25" s="668">
        <v>0.3</v>
      </c>
      <c r="V25" s="669">
        <v>0.5</v>
      </c>
      <c r="W25" s="896" t="str">
        <f t="shared" si="1"/>
        <v/>
      </c>
      <c r="X25" s="694">
        <v>0.3</v>
      </c>
      <c r="Y25" s="690">
        <v>0.3</v>
      </c>
      <c r="Z25" s="667">
        <f t="shared" si="34"/>
        <v>0</v>
      </c>
      <c r="AA25" s="659">
        <f t="shared" si="35"/>
        <v>0</v>
      </c>
      <c r="AB25" s="895">
        <f t="shared" si="2"/>
        <v>0</v>
      </c>
      <c r="AC25" s="896">
        <f t="shared" si="36"/>
        <v>0</v>
      </c>
      <c r="AD25" s="181"/>
      <c r="AE25" s="883" t="str">
        <f t="shared" si="3"/>
        <v/>
      </c>
      <c r="AF25" s="883" t="str">
        <f t="shared" si="4"/>
        <v/>
      </c>
      <c r="AG25" s="883" t="str">
        <f t="shared" si="5"/>
        <v/>
      </c>
      <c r="AH25" s="884" t="str">
        <f t="shared" si="6"/>
        <v/>
      </c>
      <c r="AI25" s="317" t="str">
        <f t="shared" si="7"/>
        <v/>
      </c>
      <c r="AJ25" s="304" t="str">
        <f t="shared" si="8"/>
        <v/>
      </c>
      <c r="AK25" s="304" t="str">
        <f t="shared" si="9"/>
        <v/>
      </c>
      <c r="AL25" s="318" t="str">
        <f t="shared" si="10"/>
        <v/>
      </c>
      <c r="AM25" s="318" t="str">
        <f t="shared" si="11"/>
        <v/>
      </c>
      <c r="AN25" s="319" t="str">
        <f t="shared" si="12"/>
        <v/>
      </c>
      <c r="AO25" s="319" t="str">
        <f t="shared" si="13"/>
        <v/>
      </c>
      <c r="AP25" s="318" t="str">
        <f t="shared" si="14"/>
        <v/>
      </c>
      <c r="AQ25" s="320" t="str">
        <f t="shared" si="15"/>
        <v/>
      </c>
      <c r="AR25" s="306" t="str">
        <f t="shared" si="16"/>
        <v/>
      </c>
      <c r="AS25" s="308" t="str">
        <f t="shared" si="17"/>
        <v/>
      </c>
      <c r="AT25" s="308" t="str">
        <f t="shared" si="18"/>
        <v/>
      </c>
      <c r="AU25" s="308" t="str">
        <f t="shared" si="19"/>
        <v/>
      </c>
      <c r="AV25" s="308" t="str">
        <f t="shared" si="20"/>
        <v/>
      </c>
      <c r="AW25" s="310" t="str">
        <f t="shared" si="21"/>
        <v/>
      </c>
      <c r="AX25" s="321" t="str">
        <f t="shared" si="22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4"/>
        <v/>
      </c>
      <c r="BB25" s="314" t="str">
        <f>IF(C25="","",IF(L25="N/A",0,VLOOKUP(L25,'COST - SELL'!$B$60:$I$63,8,0)))</f>
        <v/>
      </c>
      <c r="BC25" s="313" t="str">
        <f t="shared" si="25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6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7"/>
        <v/>
      </c>
      <c r="BJ25" s="316" t="str">
        <f t="shared" si="28"/>
        <v/>
      </c>
    </row>
    <row r="26" spans="2:62" x14ac:dyDescent="0.25">
      <c r="B26" s="231">
        <f t="shared" si="32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30"/>
        <v>0</v>
      </c>
      <c r="U26" s="668">
        <v>0.3</v>
      </c>
      <c r="V26" s="669">
        <v>0.5</v>
      </c>
      <c r="W26" s="896" t="str">
        <f t="shared" si="1"/>
        <v/>
      </c>
      <c r="X26" s="694">
        <v>0.3</v>
      </c>
      <c r="Y26" s="690">
        <v>0.3</v>
      </c>
      <c r="Z26" s="667">
        <f t="shared" si="34"/>
        <v>0</v>
      </c>
      <c r="AA26" s="659">
        <f t="shared" si="35"/>
        <v>0</v>
      </c>
      <c r="AB26" s="895">
        <f t="shared" si="2"/>
        <v>0</v>
      </c>
      <c r="AC26" s="896">
        <f t="shared" si="36"/>
        <v>0</v>
      </c>
      <c r="AD26" s="181"/>
      <c r="AE26" s="883" t="str">
        <f t="shared" si="3"/>
        <v/>
      </c>
      <c r="AF26" s="883" t="str">
        <f t="shared" si="4"/>
        <v/>
      </c>
      <c r="AG26" s="883" t="str">
        <f t="shared" si="5"/>
        <v/>
      </c>
      <c r="AH26" s="884" t="str">
        <f t="shared" si="6"/>
        <v/>
      </c>
      <c r="AI26" s="317" t="str">
        <f t="shared" si="7"/>
        <v/>
      </c>
      <c r="AJ26" s="304" t="str">
        <f t="shared" si="8"/>
        <v/>
      </c>
      <c r="AK26" s="304" t="str">
        <f t="shared" si="9"/>
        <v/>
      </c>
      <c r="AL26" s="318" t="str">
        <f t="shared" si="10"/>
        <v/>
      </c>
      <c r="AM26" s="318" t="str">
        <f t="shared" si="11"/>
        <v/>
      </c>
      <c r="AN26" s="319" t="str">
        <f t="shared" si="12"/>
        <v/>
      </c>
      <c r="AO26" s="319" t="str">
        <f t="shared" si="13"/>
        <v/>
      </c>
      <c r="AP26" s="318" t="str">
        <f t="shared" si="14"/>
        <v/>
      </c>
      <c r="AQ26" s="320" t="str">
        <f t="shared" si="15"/>
        <v/>
      </c>
      <c r="AR26" s="306" t="str">
        <f t="shared" si="16"/>
        <v/>
      </c>
      <c r="AS26" s="308" t="str">
        <f t="shared" si="17"/>
        <v/>
      </c>
      <c r="AT26" s="308" t="str">
        <f t="shared" si="18"/>
        <v/>
      </c>
      <c r="AU26" s="308" t="str">
        <f t="shared" si="19"/>
        <v/>
      </c>
      <c r="AV26" s="308" t="str">
        <f t="shared" si="20"/>
        <v/>
      </c>
      <c r="AW26" s="310" t="str">
        <f t="shared" si="21"/>
        <v/>
      </c>
      <c r="AX26" s="321" t="str">
        <f t="shared" si="22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4"/>
        <v/>
      </c>
      <c r="BB26" s="314" t="str">
        <f>IF(C26="","",IF(L26="N/A",0,VLOOKUP(L26,'COST - SELL'!$B$60:$I$63,8,0)))</f>
        <v/>
      </c>
      <c r="BC26" s="313" t="str">
        <f t="shared" si="25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6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7"/>
        <v/>
      </c>
      <c r="BJ26" s="316" t="str">
        <f t="shared" si="28"/>
        <v/>
      </c>
    </row>
    <row r="27" spans="2:62" x14ac:dyDescent="0.25">
      <c r="B27" s="231">
        <f t="shared" si="32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30"/>
        <v>0</v>
      </c>
      <c r="U27" s="668">
        <v>0.3</v>
      </c>
      <c r="V27" s="669">
        <v>0.5</v>
      </c>
      <c r="W27" s="896" t="str">
        <f t="shared" si="1"/>
        <v/>
      </c>
      <c r="X27" s="694">
        <v>0.3</v>
      </c>
      <c r="Y27" s="690">
        <v>0.3</v>
      </c>
      <c r="Z27" s="667">
        <f t="shared" si="34"/>
        <v>0</v>
      </c>
      <c r="AA27" s="659">
        <f t="shared" si="35"/>
        <v>0</v>
      </c>
      <c r="AB27" s="895">
        <f t="shared" si="2"/>
        <v>0</v>
      </c>
      <c r="AC27" s="896">
        <f t="shared" si="36"/>
        <v>0</v>
      </c>
      <c r="AD27" s="181"/>
      <c r="AE27" s="883" t="str">
        <f t="shared" si="3"/>
        <v/>
      </c>
      <c r="AF27" s="883" t="str">
        <f t="shared" si="4"/>
        <v/>
      </c>
      <c r="AG27" s="883" t="str">
        <f t="shared" si="5"/>
        <v/>
      </c>
      <c r="AH27" s="884" t="str">
        <f t="shared" si="6"/>
        <v/>
      </c>
      <c r="AI27" s="317" t="str">
        <f t="shared" si="7"/>
        <v/>
      </c>
      <c r="AJ27" s="304" t="str">
        <f t="shared" si="8"/>
        <v/>
      </c>
      <c r="AK27" s="304" t="str">
        <f t="shared" si="9"/>
        <v/>
      </c>
      <c r="AL27" s="318" t="str">
        <f t="shared" si="10"/>
        <v/>
      </c>
      <c r="AM27" s="318" t="str">
        <f t="shared" si="11"/>
        <v/>
      </c>
      <c r="AN27" s="319" t="str">
        <f t="shared" si="12"/>
        <v/>
      </c>
      <c r="AO27" s="319" t="str">
        <f t="shared" si="13"/>
        <v/>
      </c>
      <c r="AP27" s="318" t="str">
        <f t="shared" si="14"/>
        <v/>
      </c>
      <c r="AQ27" s="320" t="str">
        <f t="shared" si="15"/>
        <v/>
      </c>
      <c r="AR27" s="306" t="str">
        <f t="shared" si="16"/>
        <v/>
      </c>
      <c r="AS27" s="308" t="str">
        <f t="shared" si="17"/>
        <v/>
      </c>
      <c r="AT27" s="308" t="str">
        <f t="shared" si="18"/>
        <v/>
      </c>
      <c r="AU27" s="308" t="str">
        <f t="shared" si="19"/>
        <v/>
      </c>
      <c r="AV27" s="308" t="str">
        <f t="shared" si="20"/>
        <v/>
      </c>
      <c r="AW27" s="310" t="str">
        <f t="shared" si="21"/>
        <v/>
      </c>
      <c r="AX27" s="321" t="str">
        <f t="shared" si="22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4"/>
        <v/>
      </c>
      <c r="BB27" s="314" t="str">
        <f>IF(C27="","",IF(L27="N/A",0,VLOOKUP(L27,'COST - SELL'!$B$60:$I$63,8,0)))</f>
        <v/>
      </c>
      <c r="BC27" s="313" t="str">
        <f t="shared" si="25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6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7"/>
        <v/>
      </c>
      <c r="BJ27" s="316" t="str">
        <f t="shared" si="28"/>
        <v/>
      </c>
    </row>
    <row r="28" spans="2:62" x14ac:dyDescent="0.25">
      <c r="B28" s="231">
        <f t="shared" si="32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30"/>
        <v>0</v>
      </c>
      <c r="U28" s="668">
        <v>0.3</v>
      </c>
      <c r="V28" s="669">
        <v>0.5</v>
      </c>
      <c r="W28" s="896" t="str">
        <f t="shared" si="1"/>
        <v/>
      </c>
      <c r="X28" s="694">
        <v>0.3</v>
      </c>
      <c r="Y28" s="690">
        <v>0.3</v>
      </c>
      <c r="Z28" s="667">
        <f t="shared" si="34"/>
        <v>0</v>
      </c>
      <c r="AA28" s="659">
        <f t="shared" si="35"/>
        <v>0</v>
      </c>
      <c r="AB28" s="895">
        <f t="shared" si="2"/>
        <v>0</v>
      </c>
      <c r="AC28" s="896">
        <f t="shared" si="36"/>
        <v>0</v>
      </c>
      <c r="AD28" s="181"/>
      <c r="AE28" s="883" t="str">
        <f t="shared" si="3"/>
        <v/>
      </c>
      <c r="AF28" s="883" t="str">
        <f t="shared" si="4"/>
        <v/>
      </c>
      <c r="AG28" s="883" t="str">
        <f t="shared" si="5"/>
        <v/>
      </c>
      <c r="AH28" s="884" t="str">
        <f t="shared" si="6"/>
        <v/>
      </c>
      <c r="AI28" s="317" t="str">
        <f t="shared" si="7"/>
        <v/>
      </c>
      <c r="AJ28" s="304" t="str">
        <f t="shared" si="8"/>
        <v/>
      </c>
      <c r="AK28" s="304" t="str">
        <f t="shared" si="9"/>
        <v/>
      </c>
      <c r="AL28" s="318" t="str">
        <f t="shared" si="10"/>
        <v/>
      </c>
      <c r="AM28" s="318" t="str">
        <f t="shared" si="11"/>
        <v/>
      </c>
      <c r="AN28" s="319" t="str">
        <f t="shared" si="12"/>
        <v/>
      </c>
      <c r="AO28" s="319" t="str">
        <f t="shared" si="13"/>
        <v/>
      </c>
      <c r="AP28" s="318" t="str">
        <f t="shared" si="14"/>
        <v/>
      </c>
      <c r="AQ28" s="320" t="str">
        <f t="shared" si="15"/>
        <v/>
      </c>
      <c r="AR28" s="306" t="str">
        <f t="shared" si="16"/>
        <v/>
      </c>
      <c r="AS28" s="308" t="str">
        <f t="shared" si="17"/>
        <v/>
      </c>
      <c r="AT28" s="308" t="str">
        <f t="shared" si="18"/>
        <v/>
      </c>
      <c r="AU28" s="308" t="str">
        <f t="shared" si="19"/>
        <v/>
      </c>
      <c r="AV28" s="308" t="str">
        <f t="shared" si="20"/>
        <v/>
      </c>
      <c r="AW28" s="310" t="str">
        <f t="shared" si="21"/>
        <v/>
      </c>
      <c r="AX28" s="321" t="str">
        <f t="shared" si="22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4"/>
        <v/>
      </c>
      <c r="BB28" s="314" t="str">
        <f>IF(C28="","",IF(L28="N/A",0,VLOOKUP(L28,'COST - SELL'!$B$60:$I$63,8,0)))</f>
        <v/>
      </c>
      <c r="BC28" s="313" t="str">
        <f t="shared" si="25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6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7"/>
        <v/>
      </c>
      <c r="BJ28" s="316" t="str">
        <f t="shared" si="28"/>
        <v/>
      </c>
    </row>
    <row r="29" spans="2:62" x14ac:dyDescent="0.25">
      <c r="B29" s="231">
        <f t="shared" si="32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30"/>
        <v>0</v>
      </c>
      <c r="U29" s="668">
        <v>0.3</v>
      </c>
      <c r="V29" s="669">
        <v>0.5</v>
      </c>
      <c r="W29" s="896" t="str">
        <f t="shared" si="1"/>
        <v/>
      </c>
      <c r="X29" s="694">
        <v>0.3</v>
      </c>
      <c r="Y29" s="690">
        <v>0.3</v>
      </c>
      <c r="Z29" s="667">
        <f t="shared" si="34"/>
        <v>0</v>
      </c>
      <c r="AA29" s="659">
        <f t="shared" si="35"/>
        <v>0</v>
      </c>
      <c r="AB29" s="895">
        <f t="shared" si="2"/>
        <v>0</v>
      </c>
      <c r="AC29" s="896">
        <f t="shared" si="36"/>
        <v>0</v>
      </c>
      <c r="AD29" s="181"/>
      <c r="AE29" s="883" t="str">
        <f t="shared" si="3"/>
        <v/>
      </c>
      <c r="AF29" s="883" t="str">
        <f t="shared" si="4"/>
        <v/>
      </c>
      <c r="AG29" s="883" t="str">
        <f t="shared" si="5"/>
        <v/>
      </c>
      <c r="AH29" s="884" t="str">
        <f t="shared" si="6"/>
        <v/>
      </c>
      <c r="AI29" s="317" t="str">
        <f t="shared" si="7"/>
        <v/>
      </c>
      <c r="AJ29" s="304" t="str">
        <f t="shared" si="8"/>
        <v/>
      </c>
      <c r="AK29" s="304" t="str">
        <f t="shared" si="9"/>
        <v/>
      </c>
      <c r="AL29" s="318" t="str">
        <f t="shared" si="10"/>
        <v/>
      </c>
      <c r="AM29" s="318" t="str">
        <f t="shared" si="11"/>
        <v/>
      </c>
      <c r="AN29" s="319" t="str">
        <f t="shared" si="12"/>
        <v/>
      </c>
      <c r="AO29" s="319" t="str">
        <f t="shared" si="13"/>
        <v/>
      </c>
      <c r="AP29" s="318" t="str">
        <f t="shared" si="14"/>
        <v/>
      </c>
      <c r="AQ29" s="320" t="str">
        <f t="shared" si="15"/>
        <v/>
      </c>
      <c r="AR29" s="306" t="str">
        <f t="shared" si="16"/>
        <v/>
      </c>
      <c r="AS29" s="308" t="str">
        <f t="shared" si="17"/>
        <v/>
      </c>
      <c r="AT29" s="308" t="str">
        <f t="shared" si="18"/>
        <v/>
      </c>
      <c r="AU29" s="308" t="str">
        <f t="shared" si="19"/>
        <v/>
      </c>
      <c r="AV29" s="308" t="str">
        <f t="shared" si="20"/>
        <v/>
      </c>
      <c r="AW29" s="310" t="str">
        <f t="shared" si="21"/>
        <v/>
      </c>
      <c r="AX29" s="321" t="str">
        <f t="shared" si="22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4"/>
        <v/>
      </c>
      <c r="BB29" s="314" t="str">
        <f>IF(C29="","",IF(L29="N/A",0,VLOOKUP(L29,'COST - SELL'!$B$60:$I$63,8,0)))</f>
        <v/>
      </c>
      <c r="BC29" s="313" t="str">
        <f t="shared" si="25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6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7"/>
        <v/>
      </c>
      <c r="BJ29" s="316" t="str">
        <f t="shared" si="28"/>
        <v/>
      </c>
    </row>
    <row r="30" spans="2:62" x14ac:dyDescent="0.25">
      <c r="B30" s="231">
        <f t="shared" si="32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30"/>
        <v>0</v>
      </c>
      <c r="U30" s="668">
        <v>0.3</v>
      </c>
      <c r="V30" s="669">
        <v>0.5</v>
      </c>
      <c r="W30" s="896" t="str">
        <f t="shared" si="1"/>
        <v/>
      </c>
      <c r="X30" s="694">
        <v>0.3</v>
      </c>
      <c r="Y30" s="690">
        <v>0.3</v>
      </c>
      <c r="Z30" s="667">
        <f t="shared" si="34"/>
        <v>0</v>
      </c>
      <c r="AA30" s="659">
        <f t="shared" si="35"/>
        <v>0</v>
      </c>
      <c r="AB30" s="895">
        <f t="shared" si="2"/>
        <v>0</v>
      </c>
      <c r="AC30" s="896">
        <f t="shared" si="36"/>
        <v>0</v>
      </c>
      <c r="AD30" s="181"/>
      <c r="AE30" s="883" t="str">
        <f t="shared" si="3"/>
        <v/>
      </c>
      <c r="AF30" s="883" t="str">
        <f t="shared" si="4"/>
        <v/>
      </c>
      <c r="AG30" s="883" t="str">
        <f t="shared" si="5"/>
        <v/>
      </c>
      <c r="AH30" s="884" t="str">
        <f t="shared" si="6"/>
        <v/>
      </c>
      <c r="AI30" s="317" t="str">
        <f t="shared" si="7"/>
        <v/>
      </c>
      <c r="AJ30" s="304" t="str">
        <f t="shared" si="8"/>
        <v/>
      </c>
      <c r="AK30" s="304" t="str">
        <f t="shared" si="9"/>
        <v/>
      </c>
      <c r="AL30" s="318" t="str">
        <f t="shared" si="10"/>
        <v/>
      </c>
      <c r="AM30" s="318" t="str">
        <f t="shared" si="11"/>
        <v/>
      </c>
      <c r="AN30" s="319" t="str">
        <f t="shared" si="12"/>
        <v/>
      </c>
      <c r="AO30" s="319" t="str">
        <f t="shared" si="13"/>
        <v/>
      </c>
      <c r="AP30" s="318" t="str">
        <f t="shared" si="14"/>
        <v/>
      </c>
      <c r="AQ30" s="320" t="str">
        <f t="shared" si="15"/>
        <v/>
      </c>
      <c r="AR30" s="306" t="str">
        <f t="shared" si="16"/>
        <v/>
      </c>
      <c r="AS30" s="308" t="str">
        <f t="shared" si="17"/>
        <v/>
      </c>
      <c r="AT30" s="308" t="str">
        <f t="shared" si="18"/>
        <v/>
      </c>
      <c r="AU30" s="308" t="str">
        <f t="shared" si="19"/>
        <v/>
      </c>
      <c r="AV30" s="308" t="str">
        <f t="shared" si="20"/>
        <v/>
      </c>
      <c r="AW30" s="310" t="str">
        <f t="shared" si="21"/>
        <v/>
      </c>
      <c r="AX30" s="321" t="str">
        <f t="shared" si="22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4"/>
        <v/>
      </c>
      <c r="BB30" s="314" t="str">
        <f>IF(C30="","",IF(L30="N/A",0,VLOOKUP(L30,'COST - SELL'!$B$60:$I$63,8,0)))</f>
        <v/>
      </c>
      <c r="BC30" s="313" t="str">
        <f t="shared" si="25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6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7"/>
        <v/>
      </c>
      <c r="BJ30" s="316" t="str">
        <f t="shared" si="28"/>
        <v/>
      </c>
    </row>
    <row r="31" spans="2:62" x14ac:dyDescent="0.25">
      <c r="B31" s="231">
        <f t="shared" si="32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30"/>
        <v>0</v>
      </c>
      <c r="U31" s="668">
        <v>0.3</v>
      </c>
      <c r="V31" s="669">
        <v>0.5</v>
      </c>
      <c r="W31" s="896" t="str">
        <f t="shared" si="1"/>
        <v/>
      </c>
      <c r="X31" s="694">
        <v>0.3</v>
      </c>
      <c r="Y31" s="690">
        <v>0.3</v>
      </c>
      <c r="Z31" s="667">
        <f t="shared" si="34"/>
        <v>0</v>
      </c>
      <c r="AA31" s="659">
        <f t="shared" si="35"/>
        <v>0</v>
      </c>
      <c r="AB31" s="895">
        <f t="shared" si="2"/>
        <v>0</v>
      </c>
      <c r="AC31" s="896">
        <f t="shared" si="36"/>
        <v>0</v>
      </c>
      <c r="AD31" s="181"/>
      <c r="AE31" s="883" t="str">
        <f t="shared" si="3"/>
        <v/>
      </c>
      <c r="AF31" s="883" t="str">
        <f t="shared" si="4"/>
        <v/>
      </c>
      <c r="AG31" s="883" t="str">
        <f t="shared" si="5"/>
        <v/>
      </c>
      <c r="AH31" s="884" t="str">
        <f t="shared" si="6"/>
        <v/>
      </c>
      <c r="AI31" s="317" t="str">
        <f t="shared" si="7"/>
        <v/>
      </c>
      <c r="AJ31" s="304" t="str">
        <f t="shared" si="8"/>
        <v/>
      </c>
      <c r="AK31" s="304" t="str">
        <f t="shared" si="9"/>
        <v/>
      </c>
      <c r="AL31" s="318" t="str">
        <f t="shared" si="10"/>
        <v/>
      </c>
      <c r="AM31" s="318" t="str">
        <f t="shared" si="11"/>
        <v/>
      </c>
      <c r="AN31" s="319" t="str">
        <f t="shared" si="12"/>
        <v/>
      </c>
      <c r="AO31" s="319" t="str">
        <f t="shared" si="13"/>
        <v/>
      </c>
      <c r="AP31" s="318" t="str">
        <f t="shared" si="14"/>
        <v/>
      </c>
      <c r="AQ31" s="320" t="str">
        <f t="shared" si="15"/>
        <v/>
      </c>
      <c r="AR31" s="306" t="str">
        <f t="shared" si="16"/>
        <v/>
      </c>
      <c r="AS31" s="308" t="str">
        <f t="shared" si="17"/>
        <v/>
      </c>
      <c r="AT31" s="308" t="str">
        <f t="shared" si="18"/>
        <v/>
      </c>
      <c r="AU31" s="308" t="str">
        <f t="shared" si="19"/>
        <v/>
      </c>
      <c r="AV31" s="308" t="str">
        <f t="shared" si="20"/>
        <v/>
      </c>
      <c r="AW31" s="310" t="str">
        <f t="shared" si="21"/>
        <v/>
      </c>
      <c r="AX31" s="321" t="str">
        <f t="shared" si="22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4"/>
        <v/>
      </c>
      <c r="BB31" s="314" t="str">
        <f>IF(C31="","",IF(L31="N/A",0,VLOOKUP(L31,'COST - SELL'!$B$60:$I$63,8,0)))</f>
        <v/>
      </c>
      <c r="BC31" s="313" t="str">
        <f t="shared" si="25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6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7"/>
        <v/>
      </c>
      <c r="BJ31" s="316" t="str">
        <f t="shared" si="28"/>
        <v/>
      </c>
    </row>
    <row r="32" spans="2:62" x14ac:dyDescent="0.25">
      <c r="B32" s="231">
        <f t="shared" si="3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30"/>
        <v>0</v>
      </c>
      <c r="U32" s="668">
        <v>0.3</v>
      </c>
      <c r="V32" s="669">
        <v>0.5</v>
      </c>
      <c r="W32" s="896" t="str">
        <f t="shared" si="1"/>
        <v/>
      </c>
      <c r="X32" s="694">
        <v>0.3</v>
      </c>
      <c r="Y32" s="690">
        <v>0.3</v>
      </c>
      <c r="Z32" s="667">
        <f t="shared" si="34"/>
        <v>0</v>
      </c>
      <c r="AA32" s="659">
        <f t="shared" si="35"/>
        <v>0</v>
      </c>
      <c r="AB32" s="895">
        <f t="shared" si="2"/>
        <v>0</v>
      </c>
      <c r="AC32" s="896">
        <f t="shared" si="36"/>
        <v>0</v>
      </c>
      <c r="AD32" s="181"/>
      <c r="AE32" s="883" t="str">
        <f t="shared" si="3"/>
        <v/>
      </c>
      <c r="AF32" s="883" t="str">
        <f t="shared" si="4"/>
        <v/>
      </c>
      <c r="AG32" s="883" t="str">
        <f t="shared" si="5"/>
        <v/>
      </c>
      <c r="AH32" s="884" t="str">
        <f t="shared" si="6"/>
        <v/>
      </c>
      <c r="AI32" s="317" t="str">
        <f t="shared" si="7"/>
        <v/>
      </c>
      <c r="AJ32" s="304" t="str">
        <f t="shared" si="8"/>
        <v/>
      </c>
      <c r="AK32" s="304" t="str">
        <f t="shared" si="9"/>
        <v/>
      </c>
      <c r="AL32" s="318" t="str">
        <f t="shared" si="10"/>
        <v/>
      </c>
      <c r="AM32" s="318" t="str">
        <f t="shared" si="11"/>
        <v/>
      </c>
      <c r="AN32" s="319" t="str">
        <f t="shared" si="12"/>
        <v/>
      </c>
      <c r="AO32" s="319" t="str">
        <f t="shared" si="13"/>
        <v/>
      </c>
      <c r="AP32" s="318" t="str">
        <f t="shared" si="14"/>
        <v/>
      </c>
      <c r="AQ32" s="320" t="str">
        <f t="shared" si="15"/>
        <v/>
      </c>
      <c r="AR32" s="306" t="str">
        <f t="shared" si="16"/>
        <v/>
      </c>
      <c r="AS32" s="308" t="str">
        <f t="shared" si="17"/>
        <v/>
      </c>
      <c r="AT32" s="308" t="str">
        <f t="shared" si="18"/>
        <v/>
      </c>
      <c r="AU32" s="308" t="str">
        <f t="shared" si="19"/>
        <v/>
      </c>
      <c r="AV32" s="308" t="str">
        <f t="shared" si="20"/>
        <v/>
      </c>
      <c r="AW32" s="310" t="str">
        <f t="shared" si="21"/>
        <v/>
      </c>
      <c r="AX32" s="321" t="str">
        <f t="shared" si="22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4"/>
        <v/>
      </c>
      <c r="BB32" s="314" t="str">
        <f>IF(C32="","",IF(L32="N/A",0,VLOOKUP(L32,'COST - SELL'!$B$60:$I$63,8,0)))</f>
        <v/>
      </c>
      <c r="BC32" s="313" t="str">
        <f t="shared" si="25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6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7"/>
        <v/>
      </c>
      <c r="BJ32" s="316" t="str">
        <f t="shared" si="28"/>
        <v/>
      </c>
    </row>
    <row r="33" spans="2:62" x14ac:dyDescent="0.25">
      <c r="B33" s="231">
        <f t="shared" si="3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30"/>
        <v>0</v>
      </c>
      <c r="U33" s="668">
        <v>0.3</v>
      </c>
      <c r="V33" s="669">
        <v>0.5</v>
      </c>
      <c r="W33" s="896" t="str">
        <f t="shared" si="1"/>
        <v/>
      </c>
      <c r="X33" s="694">
        <v>0.3</v>
      </c>
      <c r="Y33" s="690">
        <v>0.3</v>
      </c>
      <c r="Z33" s="667">
        <f t="shared" si="34"/>
        <v>0</v>
      </c>
      <c r="AA33" s="659">
        <f t="shared" si="35"/>
        <v>0</v>
      </c>
      <c r="AB33" s="895">
        <f t="shared" si="2"/>
        <v>0</v>
      </c>
      <c r="AC33" s="896">
        <f t="shared" si="36"/>
        <v>0</v>
      </c>
      <c r="AD33" s="181"/>
      <c r="AE33" s="883" t="str">
        <f t="shared" si="3"/>
        <v/>
      </c>
      <c r="AF33" s="883" t="str">
        <f t="shared" si="4"/>
        <v/>
      </c>
      <c r="AG33" s="883" t="str">
        <f t="shared" si="5"/>
        <v/>
      </c>
      <c r="AH33" s="884" t="str">
        <f t="shared" si="6"/>
        <v/>
      </c>
      <c r="AI33" s="317" t="str">
        <f t="shared" si="7"/>
        <v/>
      </c>
      <c r="AJ33" s="304" t="str">
        <f t="shared" si="8"/>
        <v/>
      </c>
      <c r="AK33" s="304" t="str">
        <f t="shared" si="9"/>
        <v/>
      </c>
      <c r="AL33" s="318" t="str">
        <f t="shared" si="10"/>
        <v/>
      </c>
      <c r="AM33" s="318" t="str">
        <f t="shared" si="11"/>
        <v/>
      </c>
      <c r="AN33" s="319" t="str">
        <f t="shared" si="12"/>
        <v/>
      </c>
      <c r="AO33" s="319" t="str">
        <f t="shared" si="13"/>
        <v/>
      </c>
      <c r="AP33" s="318" t="str">
        <f t="shared" si="14"/>
        <v/>
      </c>
      <c r="AQ33" s="320" t="str">
        <f t="shared" si="15"/>
        <v/>
      </c>
      <c r="AR33" s="306" t="str">
        <f t="shared" si="16"/>
        <v/>
      </c>
      <c r="AS33" s="308" t="str">
        <f t="shared" si="17"/>
        <v/>
      </c>
      <c r="AT33" s="308" t="str">
        <f t="shared" si="18"/>
        <v/>
      </c>
      <c r="AU33" s="308" t="str">
        <f t="shared" si="19"/>
        <v/>
      </c>
      <c r="AV33" s="308" t="str">
        <f t="shared" si="20"/>
        <v/>
      </c>
      <c r="AW33" s="310" t="str">
        <f t="shared" si="21"/>
        <v/>
      </c>
      <c r="AX33" s="321" t="str">
        <f t="shared" si="22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4"/>
        <v/>
      </c>
      <c r="BB33" s="314" t="str">
        <f>IF(C33="","",IF(L33="N/A",0,VLOOKUP(L33,'COST - SELL'!$B$60:$I$63,8,0)))</f>
        <v/>
      </c>
      <c r="BC33" s="313" t="str">
        <f t="shared" si="25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6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7"/>
        <v/>
      </c>
      <c r="BJ33" s="316" t="str">
        <f t="shared" si="28"/>
        <v/>
      </c>
    </row>
    <row r="34" spans="2:62" x14ac:dyDescent="0.25">
      <c r="B34" s="231">
        <f t="shared" si="3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30"/>
        <v>0</v>
      </c>
      <c r="U34" s="668">
        <v>0.3</v>
      </c>
      <c r="V34" s="669">
        <v>0.5</v>
      </c>
      <c r="W34" s="896" t="str">
        <f t="shared" si="1"/>
        <v/>
      </c>
      <c r="X34" s="694">
        <v>0.3</v>
      </c>
      <c r="Y34" s="690">
        <v>0.3</v>
      </c>
      <c r="Z34" s="667">
        <f t="shared" si="34"/>
        <v>0</v>
      </c>
      <c r="AA34" s="659">
        <f t="shared" si="35"/>
        <v>0</v>
      </c>
      <c r="AB34" s="895">
        <f t="shared" si="2"/>
        <v>0</v>
      </c>
      <c r="AC34" s="896">
        <f t="shared" si="36"/>
        <v>0</v>
      </c>
      <c r="AD34" s="181"/>
      <c r="AE34" s="883" t="str">
        <f t="shared" si="3"/>
        <v/>
      </c>
      <c r="AF34" s="883" t="str">
        <f t="shared" si="4"/>
        <v/>
      </c>
      <c r="AG34" s="883" t="str">
        <f t="shared" si="5"/>
        <v/>
      </c>
      <c r="AH34" s="884" t="str">
        <f t="shared" si="6"/>
        <v/>
      </c>
      <c r="AI34" s="317" t="str">
        <f t="shared" si="7"/>
        <v/>
      </c>
      <c r="AJ34" s="304" t="str">
        <f t="shared" si="8"/>
        <v/>
      </c>
      <c r="AK34" s="304" t="str">
        <f t="shared" si="9"/>
        <v/>
      </c>
      <c r="AL34" s="318" t="str">
        <f t="shared" si="10"/>
        <v/>
      </c>
      <c r="AM34" s="318" t="str">
        <f t="shared" si="11"/>
        <v/>
      </c>
      <c r="AN34" s="319" t="str">
        <f t="shared" si="12"/>
        <v/>
      </c>
      <c r="AO34" s="319" t="str">
        <f t="shared" si="13"/>
        <v/>
      </c>
      <c r="AP34" s="318" t="str">
        <f t="shared" si="14"/>
        <v/>
      </c>
      <c r="AQ34" s="320" t="str">
        <f t="shared" si="15"/>
        <v/>
      </c>
      <c r="AR34" s="306" t="str">
        <f t="shared" si="16"/>
        <v/>
      </c>
      <c r="AS34" s="308" t="str">
        <f t="shared" si="17"/>
        <v/>
      </c>
      <c r="AT34" s="308" t="str">
        <f t="shared" si="18"/>
        <v/>
      </c>
      <c r="AU34" s="308" t="str">
        <f t="shared" si="19"/>
        <v/>
      </c>
      <c r="AV34" s="308" t="str">
        <f t="shared" si="20"/>
        <v/>
      </c>
      <c r="AW34" s="310" t="str">
        <f t="shared" si="21"/>
        <v/>
      </c>
      <c r="AX34" s="321" t="str">
        <f t="shared" si="22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4"/>
        <v/>
      </c>
      <c r="BB34" s="314" t="str">
        <f>IF(C34="","",IF(L34="N/A",0,VLOOKUP(L34,'COST - SELL'!$B$60:$I$63,8,0)))</f>
        <v/>
      </c>
      <c r="BC34" s="313" t="str">
        <f t="shared" si="25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6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7"/>
        <v/>
      </c>
      <c r="BJ34" s="316" t="str">
        <f t="shared" si="28"/>
        <v/>
      </c>
    </row>
    <row r="35" spans="2:62" x14ac:dyDescent="0.25">
      <c r="B35" s="231">
        <f t="shared" si="3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30"/>
        <v>0</v>
      </c>
      <c r="U35" s="668">
        <v>0.3</v>
      </c>
      <c r="V35" s="669">
        <v>0.5</v>
      </c>
      <c r="W35" s="896" t="str">
        <f t="shared" si="1"/>
        <v/>
      </c>
      <c r="X35" s="694">
        <v>0.3</v>
      </c>
      <c r="Y35" s="690">
        <v>0.3</v>
      </c>
      <c r="Z35" s="667">
        <f t="shared" si="34"/>
        <v>0</v>
      </c>
      <c r="AA35" s="659">
        <f t="shared" si="35"/>
        <v>0</v>
      </c>
      <c r="AB35" s="895">
        <f t="shared" si="2"/>
        <v>0</v>
      </c>
      <c r="AC35" s="896">
        <f t="shared" si="36"/>
        <v>0</v>
      </c>
      <c r="AD35" s="181"/>
      <c r="AE35" s="883" t="str">
        <f t="shared" si="3"/>
        <v/>
      </c>
      <c r="AF35" s="883" t="str">
        <f t="shared" si="4"/>
        <v/>
      </c>
      <c r="AG35" s="883" t="str">
        <f t="shared" si="5"/>
        <v/>
      </c>
      <c r="AH35" s="884" t="str">
        <f t="shared" si="6"/>
        <v/>
      </c>
      <c r="AI35" s="317" t="str">
        <f t="shared" si="7"/>
        <v/>
      </c>
      <c r="AJ35" s="304" t="str">
        <f t="shared" si="8"/>
        <v/>
      </c>
      <c r="AK35" s="304" t="str">
        <f t="shared" si="9"/>
        <v/>
      </c>
      <c r="AL35" s="318" t="str">
        <f t="shared" si="10"/>
        <v/>
      </c>
      <c r="AM35" s="318" t="str">
        <f t="shared" si="11"/>
        <v/>
      </c>
      <c r="AN35" s="319" t="str">
        <f t="shared" si="12"/>
        <v/>
      </c>
      <c r="AO35" s="319" t="str">
        <f t="shared" si="13"/>
        <v/>
      </c>
      <c r="AP35" s="318" t="str">
        <f t="shared" si="14"/>
        <v/>
      </c>
      <c r="AQ35" s="320" t="str">
        <f t="shared" si="15"/>
        <v/>
      </c>
      <c r="AR35" s="306" t="str">
        <f t="shared" si="16"/>
        <v/>
      </c>
      <c r="AS35" s="308" t="str">
        <f t="shared" si="17"/>
        <v/>
      </c>
      <c r="AT35" s="308" t="str">
        <f t="shared" si="18"/>
        <v/>
      </c>
      <c r="AU35" s="308" t="str">
        <f t="shared" si="19"/>
        <v/>
      </c>
      <c r="AV35" s="308" t="str">
        <f t="shared" si="20"/>
        <v/>
      </c>
      <c r="AW35" s="310" t="str">
        <f t="shared" si="21"/>
        <v/>
      </c>
      <c r="AX35" s="321" t="str">
        <f t="shared" si="22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4"/>
        <v/>
      </c>
      <c r="BB35" s="314" t="str">
        <f>IF(C35="","",IF(L35="N/A",0,VLOOKUP(L35,'COST - SELL'!$B$60:$I$63,8,0)))</f>
        <v/>
      </c>
      <c r="BC35" s="313" t="str">
        <f t="shared" si="25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6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7"/>
        <v/>
      </c>
      <c r="BJ35" s="316" t="str">
        <f t="shared" si="28"/>
        <v/>
      </c>
    </row>
    <row r="36" spans="2:62" x14ac:dyDescent="0.25">
      <c r="B36" s="231">
        <f t="shared" si="3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30"/>
        <v>0</v>
      </c>
      <c r="U36" s="668">
        <v>0.3</v>
      </c>
      <c r="V36" s="669">
        <v>0.5</v>
      </c>
      <c r="W36" s="896" t="str">
        <f t="shared" si="1"/>
        <v/>
      </c>
      <c r="X36" s="694">
        <v>0.3</v>
      </c>
      <c r="Y36" s="690">
        <v>0.3</v>
      </c>
      <c r="Z36" s="667">
        <f t="shared" si="34"/>
        <v>0</v>
      </c>
      <c r="AA36" s="659">
        <f t="shared" si="35"/>
        <v>0</v>
      </c>
      <c r="AB36" s="895">
        <f t="shared" si="2"/>
        <v>0</v>
      </c>
      <c r="AC36" s="896">
        <f t="shared" si="36"/>
        <v>0</v>
      </c>
      <c r="AD36" s="181"/>
      <c r="AE36" s="883" t="str">
        <f t="shared" si="3"/>
        <v/>
      </c>
      <c r="AF36" s="883" t="str">
        <f t="shared" si="4"/>
        <v/>
      </c>
      <c r="AG36" s="883" t="str">
        <f t="shared" si="5"/>
        <v/>
      </c>
      <c r="AH36" s="884" t="str">
        <f t="shared" si="6"/>
        <v/>
      </c>
      <c r="AI36" s="317" t="str">
        <f t="shared" si="7"/>
        <v/>
      </c>
      <c r="AJ36" s="304" t="str">
        <f t="shared" si="8"/>
        <v/>
      </c>
      <c r="AK36" s="304" t="str">
        <f t="shared" si="9"/>
        <v/>
      </c>
      <c r="AL36" s="318" t="str">
        <f t="shared" si="10"/>
        <v/>
      </c>
      <c r="AM36" s="318" t="str">
        <f t="shared" si="11"/>
        <v/>
      </c>
      <c r="AN36" s="319" t="str">
        <f t="shared" si="12"/>
        <v/>
      </c>
      <c r="AO36" s="319" t="str">
        <f t="shared" si="13"/>
        <v/>
      </c>
      <c r="AP36" s="318" t="str">
        <f t="shared" si="14"/>
        <v/>
      </c>
      <c r="AQ36" s="320" t="str">
        <f t="shared" si="15"/>
        <v/>
      </c>
      <c r="AR36" s="306" t="str">
        <f t="shared" si="16"/>
        <v/>
      </c>
      <c r="AS36" s="308" t="str">
        <f t="shared" si="17"/>
        <v/>
      </c>
      <c r="AT36" s="308" t="str">
        <f t="shared" si="18"/>
        <v/>
      </c>
      <c r="AU36" s="308" t="str">
        <f t="shared" si="19"/>
        <v/>
      </c>
      <c r="AV36" s="308" t="str">
        <f t="shared" si="20"/>
        <v/>
      </c>
      <c r="AW36" s="310" t="str">
        <f t="shared" si="21"/>
        <v/>
      </c>
      <c r="AX36" s="321" t="str">
        <f t="shared" si="22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4"/>
        <v/>
      </c>
      <c r="BB36" s="314" t="str">
        <f>IF(C36="","",IF(L36="N/A",0,VLOOKUP(L36,'COST - SELL'!$B$60:$I$63,8,0)))</f>
        <v/>
      </c>
      <c r="BC36" s="313" t="str">
        <f t="shared" si="25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6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7"/>
        <v/>
      </c>
      <c r="BJ36" s="316" t="str">
        <f t="shared" si="28"/>
        <v/>
      </c>
    </row>
    <row r="37" spans="2:62" x14ac:dyDescent="0.25">
      <c r="B37" s="231">
        <f t="shared" si="3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30"/>
        <v>0</v>
      </c>
      <c r="U37" s="668">
        <v>0.3</v>
      </c>
      <c r="V37" s="669">
        <v>0.5</v>
      </c>
      <c r="W37" s="896" t="str">
        <f t="shared" si="1"/>
        <v/>
      </c>
      <c r="X37" s="694">
        <v>0.3</v>
      </c>
      <c r="Y37" s="690">
        <v>0.3</v>
      </c>
      <c r="Z37" s="667">
        <f t="shared" si="34"/>
        <v>0</v>
      </c>
      <c r="AA37" s="659">
        <f t="shared" si="35"/>
        <v>0</v>
      </c>
      <c r="AB37" s="895">
        <f t="shared" si="2"/>
        <v>0</v>
      </c>
      <c r="AC37" s="896">
        <f t="shared" si="36"/>
        <v>0</v>
      </c>
      <c r="AD37" s="181"/>
      <c r="AE37" s="883" t="str">
        <f t="shared" si="3"/>
        <v/>
      </c>
      <c r="AF37" s="883" t="str">
        <f t="shared" si="4"/>
        <v/>
      </c>
      <c r="AG37" s="883" t="str">
        <f t="shared" si="5"/>
        <v/>
      </c>
      <c r="AH37" s="884" t="str">
        <f t="shared" si="6"/>
        <v/>
      </c>
      <c r="AI37" s="317" t="str">
        <f t="shared" si="7"/>
        <v/>
      </c>
      <c r="AJ37" s="304" t="str">
        <f t="shared" si="8"/>
        <v/>
      </c>
      <c r="AK37" s="304" t="str">
        <f t="shared" si="9"/>
        <v/>
      </c>
      <c r="AL37" s="318" t="str">
        <f t="shared" si="10"/>
        <v/>
      </c>
      <c r="AM37" s="318" t="str">
        <f t="shared" si="11"/>
        <v/>
      </c>
      <c r="AN37" s="319" t="str">
        <f t="shared" si="12"/>
        <v/>
      </c>
      <c r="AO37" s="319" t="str">
        <f t="shared" si="13"/>
        <v/>
      </c>
      <c r="AP37" s="318" t="str">
        <f t="shared" si="14"/>
        <v/>
      </c>
      <c r="AQ37" s="320" t="str">
        <f t="shared" si="15"/>
        <v/>
      </c>
      <c r="AR37" s="306" t="str">
        <f t="shared" si="16"/>
        <v/>
      </c>
      <c r="AS37" s="308" t="str">
        <f t="shared" si="17"/>
        <v/>
      </c>
      <c r="AT37" s="308" t="str">
        <f t="shared" si="18"/>
        <v/>
      </c>
      <c r="AU37" s="308" t="str">
        <f t="shared" si="19"/>
        <v/>
      </c>
      <c r="AV37" s="308" t="str">
        <f t="shared" si="20"/>
        <v/>
      </c>
      <c r="AW37" s="310" t="str">
        <f t="shared" si="21"/>
        <v/>
      </c>
      <c r="AX37" s="321" t="str">
        <f t="shared" si="22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4"/>
        <v/>
      </c>
      <c r="BB37" s="314" t="str">
        <f>IF(C37="","",IF(L37="N/A",0,VLOOKUP(L37,'COST - SELL'!$B$60:$I$63,8,0)))</f>
        <v/>
      </c>
      <c r="BC37" s="313" t="str">
        <f t="shared" si="25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6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7"/>
        <v/>
      </c>
      <c r="BJ37" s="316" t="str">
        <f t="shared" si="28"/>
        <v/>
      </c>
    </row>
    <row r="38" spans="2:62" x14ac:dyDescent="0.25">
      <c r="B38" s="231">
        <f t="shared" si="3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30"/>
        <v>0</v>
      </c>
      <c r="U38" s="668">
        <v>0.3</v>
      </c>
      <c r="V38" s="669">
        <v>0.5</v>
      </c>
      <c r="W38" s="896" t="str">
        <f t="shared" si="1"/>
        <v/>
      </c>
      <c r="X38" s="694">
        <v>0.3</v>
      </c>
      <c r="Y38" s="690">
        <v>0.3</v>
      </c>
      <c r="Z38" s="667">
        <f t="shared" si="34"/>
        <v>0</v>
      </c>
      <c r="AA38" s="659">
        <f t="shared" si="35"/>
        <v>0</v>
      </c>
      <c r="AB38" s="895">
        <f t="shared" si="2"/>
        <v>0</v>
      </c>
      <c r="AC38" s="896">
        <f t="shared" si="36"/>
        <v>0</v>
      </c>
      <c r="AD38" s="181"/>
      <c r="AE38" s="883" t="str">
        <f t="shared" si="3"/>
        <v/>
      </c>
      <c r="AF38" s="883" t="str">
        <f t="shared" si="4"/>
        <v/>
      </c>
      <c r="AG38" s="883" t="str">
        <f t="shared" si="5"/>
        <v/>
      </c>
      <c r="AH38" s="884" t="str">
        <f t="shared" si="6"/>
        <v/>
      </c>
      <c r="AI38" s="317" t="str">
        <f t="shared" si="7"/>
        <v/>
      </c>
      <c r="AJ38" s="304" t="str">
        <f t="shared" si="8"/>
        <v/>
      </c>
      <c r="AK38" s="304" t="str">
        <f t="shared" si="9"/>
        <v/>
      </c>
      <c r="AL38" s="318" t="str">
        <f t="shared" si="10"/>
        <v/>
      </c>
      <c r="AM38" s="318" t="str">
        <f t="shared" si="11"/>
        <v/>
      </c>
      <c r="AN38" s="319" t="str">
        <f t="shared" si="12"/>
        <v/>
      </c>
      <c r="AO38" s="319" t="str">
        <f t="shared" si="13"/>
        <v/>
      </c>
      <c r="AP38" s="318" t="str">
        <f t="shared" si="14"/>
        <v/>
      </c>
      <c r="AQ38" s="320" t="str">
        <f t="shared" si="15"/>
        <v/>
      </c>
      <c r="AR38" s="306" t="str">
        <f t="shared" si="16"/>
        <v/>
      </c>
      <c r="AS38" s="308" t="str">
        <f t="shared" si="17"/>
        <v/>
      </c>
      <c r="AT38" s="308" t="str">
        <f t="shared" si="18"/>
        <v/>
      </c>
      <c r="AU38" s="308" t="str">
        <f t="shared" si="19"/>
        <v/>
      </c>
      <c r="AV38" s="308" t="str">
        <f t="shared" si="20"/>
        <v/>
      </c>
      <c r="AW38" s="310" t="str">
        <f t="shared" si="21"/>
        <v/>
      </c>
      <c r="AX38" s="321" t="str">
        <f t="shared" si="22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4"/>
        <v/>
      </c>
      <c r="BB38" s="314" t="str">
        <f>IF(C38="","",IF(L38="N/A",0,VLOOKUP(L38,'COST - SELL'!$B$60:$I$63,8,0)))</f>
        <v/>
      </c>
      <c r="BC38" s="313" t="str">
        <f t="shared" si="25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6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7"/>
        <v/>
      </c>
      <c r="BJ38" s="316" t="str">
        <f t="shared" si="28"/>
        <v/>
      </c>
    </row>
    <row r="39" spans="2:62" x14ac:dyDescent="0.25">
      <c r="B39" s="231">
        <f t="shared" si="3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30"/>
        <v>0</v>
      </c>
      <c r="U39" s="668">
        <v>0.3</v>
      </c>
      <c r="V39" s="669">
        <v>0.5</v>
      </c>
      <c r="W39" s="896" t="str">
        <f t="shared" si="1"/>
        <v/>
      </c>
      <c r="X39" s="694">
        <v>0.3</v>
      </c>
      <c r="Y39" s="690">
        <v>0.3</v>
      </c>
      <c r="Z39" s="667">
        <f t="shared" si="34"/>
        <v>0</v>
      </c>
      <c r="AA39" s="659">
        <f t="shared" si="35"/>
        <v>0</v>
      </c>
      <c r="AB39" s="895">
        <f t="shared" si="2"/>
        <v>0</v>
      </c>
      <c r="AC39" s="896">
        <f t="shared" si="36"/>
        <v>0</v>
      </c>
      <c r="AD39" s="181"/>
      <c r="AE39" s="883" t="str">
        <f t="shared" si="3"/>
        <v/>
      </c>
      <c r="AF39" s="883" t="str">
        <f t="shared" si="4"/>
        <v/>
      </c>
      <c r="AG39" s="883" t="str">
        <f t="shared" si="5"/>
        <v/>
      </c>
      <c r="AH39" s="884" t="str">
        <f t="shared" si="6"/>
        <v/>
      </c>
      <c r="AI39" s="317" t="str">
        <f t="shared" si="7"/>
        <v/>
      </c>
      <c r="AJ39" s="304" t="str">
        <f t="shared" si="8"/>
        <v/>
      </c>
      <c r="AK39" s="304" t="str">
        <f t="shared" si="9"/>
        <v/>
      </c>
      <c r="AL39" s="318" t="str">
        <f t="shared" si="10"/>
        <v/>
      </c>
      <c r="AM39" s="318" t="str">
        <f t="shared" si="11"/>
        <v/>
      </c>
      <c r="AN39" s="319" t="str">
        <f t="shared" si="12"/>
        <v/>
      </c>
      <c r="AO39" s="319" t="str">
        <f t="shared" si="13"/>
        <v/>
      </c>
      <c r="AP39" s="318" t="str">
        <f t="shared" si="14"/>
        <v/>
      </c>
      <c r="AQ39" s="320" t="str">
        <f t="shared" si="15"/>
        <v/>
      </c>
      <c r="AR39" s="306" t="str">
        <f t="shared" si="16"/>
        <v/>
      </c>
      <c r="AS39" s="308" t="str">
        <f t="shared" si="17"/>
        <v/>
      </c>
      <c r="AT39" s="308" t="str">
        <f t="shared" si="18"/>
        <v/>
      </c>
      <c r="AU39" s="308" t="str">
        <f t="shared" si="19"/>
        <v/>
      </c>
      <c r="AV39" s="308" t="str">
        <f t="shared" si="20"/>
        <v/>
      </c>
      <c r="AW39" s="310" t="str">
        <f t="shared" si="21"/>
        <v/>
      </c>
      <c r="AX39" s="321" t="str">
        <f t="shared" si="22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4"/>
        <v/>
      </c>
      <c r="BB39" s="314" t="str">
        <f>IF(C39="","",IF(L39="N/A",0,VLOOKUP(L39,'COST - SELL'!$B$60:$I$63,8,0)))</f>
        <v/>
      </c>
      <c r="BC39" s="313" t="str">
        <f t="shared" si="25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6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7"/>
        <v/>
      </c>
      <c r="BJ39" s="316" t="str">
        <f t="shared" si="28"/>
        <v/>
      </c>
    </row>
    <row r="40" spans="2:62" x14ac:dyDescent="0.25">
      <c r="B40" s="231">
        <f t="shared" si="3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30"/>
        <v>0</v>
      </c>
      <c r="U40" s="668">
        <v>0.3</v>
      </c>
      <c r="V40" s="669">
        <v>0.5</v>
      </c>
      <c r="W40" s="896" t="str">
        <f t="shared" si="1"/>
        <v/>
      </c>
      <c r="X40" s="694">
        <v>0.3</v>
      </c>
      <c r="Y40" s="690">
        <v>0.3</v>
      </c>
      <c r="Z40" s="667">
        <f t="shared" si="34"/>
        <v>0</v>
      </c>
      <c r="AA40" s="659">
        <f t="shared" si="35"/>
        <v>0</v>
      </c>
      <c r="AB40" s="895">
        <f t="shared" si="2"/>
        <v>0</v>
      </c>
      <c r="AC40" s="896">
        <f t="shared" si="36"/>
        <v>0</v>
      </c>
      <c r="AD40" s="181"/>
      <c r="AE40" s="883" t="str">
        <f t="shared" si="3"/>
        <v/>
      </c>
      <c r="AF40" s="883" t="str">
        <f t="shared" si="4"/>
        <v/>
      </c>
      <c r="AG40" s="883" t="str">
        <f t="shared" si="5"/>
        <v/>
      </c>
      <c r="AH40" s="884" t="str">
        <f t="shared" si="6"/>
        <v/>
      </c>
      <c r="AI40" s="317" t="str">
        <f t="shared" si="7"/>
        <v/>
      </c>
      <c r="AJ40" s="304" t="str">
        <f t="shared" si="8"/>
        <v/>
      </c>
      <c r="AK40" s="304" t="str">
        <f t="shared" si="9"/>
        <v/>
      </c>
      <c r="AL40" s="318" t="str">
        <f t="shared" si="10"/>
        <v/>
      </c>
      <c r="AM40" s="318" t="str">
        <f t="shared" si="11"/>
        <v/>
      </c>
      <c r="AN40" s="319" t="str">
        <f t="shared" si="12"/>
        <v/>
      </c>
      <c r="AO40" s="319" t="str">
        <f t="shared" si="13"/>
        <v/>
      </c>
      <c r="AP40" s="318" t="str">
        <f t="shared" si="14"/>
        <v/>
      </c>
      <c r="AQ40" s="320" t="str">
        <f t="shared" si="15"/>
        <v/>
      </c>
      <c r="AR40" s="306" t="str">
        <f t="shared" si="16"/>
        <v/>
      </c>
      <c r="AS40" s="308" t="str">
        <f t="shared" si="17"/>
        <v/>
      </c>
      <c r="AT40" s="308" t="str">
        <f t="shared" si="18"/>
        <v/>
      </c>
      <c r="AU40" s="308" t="str">
        <f t="shared" si="19"/>
        <v/>
      </c>
      <c r="AV40" s="308" t="str">
        <f t="shared" si="20"/>
        <v/>
      </c>
      <c r="AW40" s="310" t="str">
        <f t="shared" si="21"/>
        <v/>
      </c>
      <c r="AX40" s="321" t="str">
        <f t="shared" si="22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4"/>
        <v/>
      </c>
      <c r="BB40" s="314" t="str">
        <f>IF(C40="","",IF(L40="N/A",0,VLOOKUP(L40,'COST - SELL'!$B$60:$I$63,8,0)))</f>
        <v/>
      </c>
      <c r="BC40" s="313" t="str">
        <f t="shared" si="25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6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7"/>
        <v/>
      </c>
      <c r="BJ40" s="316" t="str">
        <f t="shared" si="28"/>
        <v/>
      </c>
    </row>
    <row r="41" spans="2:62" x14ac:dyDescent="0.25">
      <c r="B41" s="231">
        <f t="shared" si="3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30"/>
        <v>0</v>
      </c>
      <c r="U41" s="668">
        <v>0.3</v>
      </c>
      <c r="V41" s="669">
        <v>0.5</v>
      </c>
      <c r="W41" s="896" t="str">
        <f t="shared" si="1"/>
        <v/>
      </c>
      <c r="X41" s="694">
        <v>0.3</v>
      </c>
      <c r="Y41" s="690">
        <v>0.3</v>
      </c>
      <c r="Z41" s="667">
        <f t="shared" si="34"/>
        <v>0</v>
      </c>
      <c r="AA41" s="659">
        <f t="shared" si="35"/>
        <v>0</v>
      </c>
      <c r="AB41" s="895">
        <f t="shared" si="2"/>
        <v>0</v>
      </c>
      <c r="AC41" s="896">
        <f t="shared" si="36"/>
        <v>0</v>
      </c>
      <c r="AD41" s="181"/>
      <c r="AE41" s="883" t="str">
        <f t="shared" si="3"/>
        <v/>
      </c>
      <c r="AF41" s="883" t="str">
        <f t="shared" si="4"/>
        <v/>
      </c>
      <c r="AG41" s="883" t="str">
        <f t="shared" si="5"/>
        <v/>
      </c>
      <c r="AH41" s="884" t="str">
        <f t="shared" si="6"/>
        <v/>
      </c>
      <c r="AI41" s="317" t="str">
        <f t="shared" si="7"/>
        <v/>
      </c>
      <c r="AJ41" s="304" t="str">
        <f t="shared" si="8"/>
        <v/>
      </c>
      <c r="AK41" s="304" t="str">
        <f t="shared" si="9"/>
        <v/>
      </c>
      <c r="AL41" s="318" t="str">
        <f t="shared" si="10"/>
        <v/>
      </c>
      <c r="AM41" s="318" t="str">
        <f t="shared" si="11"/>
        <v/>
      </c>
      <c r="AN41" s="319" t="str">
        <f t="shared" si="12"/>
        <v/>
      </c>
      <c r="AO41" s="319" t="str">
        <f t="shared" si="13"/>
        <v/>
      </c>
      <c r="AP41" s="318" t="str">
        <f t="shared" si="14"/>
        <v/>
      </c>
      <c r="AQ41" s="320" t="str">
        <f t="shared" si="15"/>
        <v/>
      </c>
      <c r="AR41" s="306" t="str">
        <f t="shared" si="16"/>
        <v/>
      </c>
      <c r="AS41" s="308" t="str">
        <f t="shared" si="17"/>
        <v/>
      </c>
      <c r="AT41" s="308" t="str">
        <f t="shared" si="18"/>
        <v/>
      </c>
      <c r="AU41" s="308" t="str">
        <f t="shared" si="19"/>
        <v/>
      </c>
      <c r="AV41" s="308" t="str">
        <f t="shared" si="20"/>
        <v/>
      </c>
      <c r="AW41" s="310" t="str">
        <f t="shared" si="21"/>
        <v/>
      </c>
      <c r="AX41" s="321" t="str">
        <f t="shared" si="22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4"/>
        <v/>
      </c>
      <c r="BB41" s="314" t="str">
        <f>IF(C41="","",IF(L41="N/A",0,VLOOKUP(L41,'COST - SELL'!$B$60:$I$63,8,0)))</f>
        <v/>
      </c>
      <c r="BC41" s="313" t="str">
        <f t="shared" si="25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6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7"/>
        <v/>
      </c>
      <c r="BJ41" s="316" t="str">
        <f t="shared" si="28"/>
        <v/>
      </c>
    </row>
    <row r="42" spans="2:62" x14ac:dyDescent="0.25">
      <c r="B42" s="231">
        <f t="shared" si="3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30"/>
        <v>0</v>
      </c>
      <c r="U42" s="668">
        <v>0.3</v>
      </c>
      <c r="V42" s="669">
        <v>0.5</v>
      </c>
      <c r="W42" s="896" t="str">
        <f t="shared" si="1"/>
        <v/>
      </c>
      <c r="X42" s="694">
        <v>0.3</v>
      </c>
      <c r="Y42" s="690">
        <v>0.3</v>
      </c>
      <c r="Z42" s="667">
        <f t="shared" si="34"/>
        <v>0</v>
      </c>
      <c r="AA42" s="659">
        <f t="shared" si="35"/>
        <v>0</v>
      </c>
      <c r="AB42" s="895">
        <f t="shared" si="2"/>
        <v>0</v>
      </c>
      <c r="AC42" s="896">
        <f t="shared" si="36"/>
        <v>0</v>
      </c>
      <c r="AD42" s="181"/>
      <c r="AE42" s="883" t="str">
        <f t="shared" si="3"/>
        <v/>
      </c>
      <c r="AF42" s="883" t="str">
        <f t="shared" si="4"/>
        <v/>
      </c>
      <c r="AG42" s="883" t="str">
        <f t="shared" si="5"/>
        <v/>
      </c>
      <c r="AH42" s="884" t="str">
        <f t="shared" si="6"/>
        <v/>
      </c>
      <c r="AI42" s="317" t="str">
        <f t="shared" si="7"/>
        <v/>
      </c>
      <c r="AJ42" s="304" t="str">
        <f t="shared" si="8"/>
        <v/>
      </c>
      <c r="AK42" s="304" t="str">
        <f t="shared" si="9"/>
        <v/>
      </c>
      <c r="AL42" s="318" t="str">
        <f t="shared" si="10"/>
        <v/>
      </c>
      <c r="AM42" s="318" t="str">
        <f t="shared" si="11"/>
        <v/>
      </c>
      <c r="AN42" s="319" t="str">
        <f t="shared" si="12"/>
        <v/>
      </c>
      <c r="AO42" s="319" t="str">
        <f t="shared" si="13"/>
        <v/>
      </c>
      <c r="AP42" s="318" t="str">
        <f t="shared" si="14"/>
        <v/>
      </c>
      <c r="AQ42" s="320" t="str">
        <f t="shared" si="15"/>
        <v/>
      </c>
      <c r="AR42" s="306" t="str">
        <f t="shared" si="16"/>
        <v/>
      </c>
      <c r="AS42" s="308" t="str">
        <f t="shared" si="17"/>
        <v/>
      </c>
      <c r="AT42" s="308" t="str">
        <f t="shared" si="18"/>
        <v/>
      </c>
      <c r="AU42" s="308" t="str">
        <f t="shared" si="19"/>
        <v/>
      </c>
      <c r="AV42" s="308" t="str">
        <f t="shared" si="20"/>
        <v/>
      </c>
      <c r="AW42" s="310" t="str">
        <f t="shared" si="21"/>
        <v/>
      </c>
      <c r="AX42" s="321" t="str">
        <f t="shared" si="22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4"/>
        <v/>
      </c>
      <c r="BB42" s="314" t="str">
        <f>IF(C42="","",IF(L42="N/A",0,VLOOKUP(L42,'COST - SELL'!$B$60:$I$63,8,0)))</f>
        <v/>
      </c>
      <c r="BC42" s="313" t="str">
        <f t="shared" si="25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6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7"/>
        <v/>
      </c>
      <c r="BJ42" s="316" t="str">
        <f t="shared" si="28"/>
        <v/>
      </c>
    </row>
    <row r="43" spans="2:62" x14ac:dyDescent="0.25">
      <c r="B43" s="231">
        <f t="shared" si="3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30"/>
        <v>0</v>
      </c>
      <c r="U43" s="668">
        <v>0.3</v>
      </c>
      <c r="V43" s="669">
        <v>0.5</v>
      </c>
      <c r="W43" s="896" t="str">
        <f t="shared" si="1"/>
        <v/>
      </c>
      <c r="X43" s="694">
        <v>0.3</v>
      </c>
      <c r="Y43" s="690">
        <v>0.3</v>
      </c>
      <c r="Z43" s="667">
        <f t="shared" si="34"/>
        <v>0</v>
      </c>
      <c r="AA43" s="659">
        <f t="shared" si="35"/>
        <v>0</v>
      </c>
      <c r="AB43" s="895">
        <f t="shared" si="2"/>
        <v>0</v>
      </c>
      <c r="AC43" s="896">
        <f t="shared" si="36"/>
        <v>0</v>
      </c>
      <c r="AD43" s="181"/>
      <c r="AE43" s="883" t="str">
        <f t="shared" si="3"/>
        <v/>
      </c>
      <c r="AF43" s="883" t="str">
        <f t="shared" si="4"/>
        <v/>
      </c>
      <c r="AG43" s="883" t="str">
        <f t="shared" si="5"/>
        <v/>
      </c>
      <c r="AH43" s="884" t="str">
        <f t="shared" si="6"/>
        <v/>
      </c>
      <c r="AI43" s="317" t="str">
        <f t="shared" si="7"/>
        <v/>
      </c>
      <c r="AJ43" s="304" t="str">
        <f t="shared" si="8"/>
        <v/>
      </c>
      <c r="AK43" s="304" t="str">
        <f t="shared" si="9"/>
        <v/>
      </c>
      <c r="AL43" s="318" t="str">
        <f t="shared" si="10"/>
        <v/>
      </c>
      <c r="AM43" s="318" t="str">
        <f t="shared" si="11"/>
        <v/>
      </c>
      <c r="AN43" s="319" t="str">
        <f t="shared" si="12"/>
        <v/>
      </c>
      <c r="AO43" s="319" t="str">
        <f t="shared" si="13"/>
        <v/>
      </c>
      <c r="AP43" s="318" t="str">
        <f t="shared" si="14"/>
        <v/>
      </c>
      <c r="AQ43" s="320" t="str">
        <f t="shared" si="15"/>
        <v/>
      </c>
      <c r="AR43" s="306" t="str">
        <f t="shared" si="16"/>
        <v/>
      </c>
      <c r="AS43" s="308" t="str">
        <f t="shared" si="17"/>
        <v/>
      </c>
      <c r="AT43" s="308" t="str">
        <f t="shared" si="18"/>
        <v/>
      </c>
      <c r="AU43" s="308" t="str">
        <f t="shared" si="19"/>
        <v/>
      </c>
      <c r="AV43" s="308" t="str">
        <f t="shared" si="20"/>
        <v/>
      </c>
      <c r="AW43" s="310" t="str">
        <f t="shared" si="21"/>
        <v/>
      </c>
      <c r="AX43" s="321" t="str">
        <f t="shared" si="22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4"/>
        <v/>
      </c>
      <c r="BB43" s="314" t="str">
        <f>IF(C43="","",IF(L43="N/A",0,VLOOKUP(L43,'COST - SELL'!$B$60:$I$63,8,0)))</f>
        <v/>
      </c>
      <c r="BC43" s="313" t="str">
        <f t="shared" si="25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6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7"/>
        <v/>
      </c>
      <c r="BJ43" s="316" t="str">
        <f t="shared" si="28"/>
        <v/>
      </c>
    </row>
    <row r="44" spans="2:62" x14ac:dyDescent="0.25">
      <c r="B44" s="231">
        <f t="shared" si="3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30"/>
        <v>0</v>
      </c>
      <c r="U44" s="668">
        <v>0.3</v>
      </c>
      <c r="V44" s="669">
        <v>0.5</v>
      </c>
      <c r="W44" s="896" t="str">
        <f t="shared" si="1"/>
        <v/>
      </c>
      <c r="X44" s="694">
        <v>0.3</v>
      </c>
      <c r="Y44" s="690">
        <v>0.3</v>
      </c>
      <c r="Z44" s="667">
        <f t="shared" si="34"/>
        <v>0</v>
      </c>
      <c r="AA44" s="659">
        <f t="shared" si="35"/>
        <v>0</v>
      </c>
      <c r="AB44" s="895">
        <f t="shared" si="2"/>
        <v>0</v>
      </c>
      <c r="AC44" s="896">
        <f t="shared" si="36"/>
        <v>0</v>
      </c>
      <c r="AD44" s="181"/>
      <c r="AE44" s="883" t="str">
        <f t="shared" si="3"/>
        <v/>
      </c>
      <c r="AF44" s="883" t="str">
        <f t="shared" si="4"/>
        <v/>
      </c>
      <c r="AG44" s="883" t="str">
        <f t="shared" si="5"/>
        <v/>
      </c>
      <c r="AH44" s="884" t="str">
        <f t="shared" si="6"/>
        <v/>
      </c>
      <c r="AI44" s="317" t="str">
        <f t="shared" si="7"/>
        <v/>
      </c>
      <c r="AJ44" s="304" t="str">
        <f t="shared" si="8"/>
        <v/>
      </c>
      <c r="AK44" s="304" t="str">
        <f t="shared" si="9"/>
        <v/>
      </c>
      <c r="AL44" s="318" t="str">
        <f t="shared" si="10"/>
        <v/>
      </c>
      <c r="AM44" s="318" t="str">
        <f t="shared" si="11"/>
        <v/>
      </c>
      <c r="AN44" s="319" t="str">
        <f t="shared" si="12"/>
        <v/>
      </c>
      <c r="AO44" s="319" t="str">
        <f t="shared" si="13"/>
        <v/>
      </c>
      <c r="AP44" s="318" t="str">
        <f t="shared" si="14"/>
        <v/>
      </c>
      <c r="AQ44" s="320" t="str">
        <f t="shared" si="15"/>
        <v/>
      </c>
      <c r="AR44" s="306" t="str">
        <f t="shared" si="16"/>
        <v/>
      </c>
      <c r="AS44" s="308" t="str">
        <f t="shared" si="17"/>
        <v/>
      </c>
      <c r="AT44" s="308" t="str">
        <f t="shared" si="18"/>
        <v/>
      </c>
      <c r="AU44" s="308" t="str">
        <f t="shared" si="19"/>
        <v/>
      </c>
      <c r="AV44" s="308" t="str">
        <f t="shared" si="20"/>
        <v/>
      </c>
      <c r="AW44" s="310" t="str">
        <f t="shared" si="21"/>
        <v/>
      </c>
      <c r="AX44" s="321" t="str">
        <f t="shared" si="22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4"/>
        <v/>
      </c>
      <c r="BB44" s="314" t="str">
        <f>IF(C44="","",IF(L44="N/A",0,VLOOKUP(L44,'COST - SELL'!$B$60:$I$63,8,0)))</f>
        <v/>
      </c>
      <c r="BC44" s="313" t="str">
        <f t="shared" si="25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6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7"/>
        <v/>
      </c>
      <c r="BJ44" s="316" t="str">
        <f t="shared" si="28"/>
        <v/>
      </c>
    </row>
    <row r="45" spans="2:62" x14ac:dyDescent="0.25">
      <c r="B45" s="231">
        <f t="shared" si="3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30"/>
        <v>0</v>
      </c>
      <c r="U45" s="668">
        <v>0.3</v>
      </c>
      <c r="V45" s="669">
        <v>0.5</v>
      </c>
      <c r="W45" s="896" t="str">
        <f t="shared" si="1"/>
        <v/>
      </c>
      <c r="X45" s="694">
        <v>0.3</v>
      </c>
      <c r="Y45" s="690">
        <v>0.3</v>
      </c>
      <c r="Z45" s="667">
        <f t="shared" si="34"/>
        <v>0</v>
      </c>
      <c r="AA45" s="659">
        <f t="shared" si="35"/>
        <v>0</v>
      </c>
      <c r="AB45" s="895">
        <f t="shared" si="2"/>
        <v>0</v>
      </c>
      <c r="AC45" s="896">
        <f t="shared" si="36"/>
        <v>0</v>
      </c>
      <c r="AD45" s="181"/>
      <c r="AE45" s="883" t="str">
        <f t="shared" si="3"/>
        <v/>
      </c>
      <c r="AF45" s="883" t="str">
        <f t="shared" si="4"/>
        <v/>
      </c>
      <c r="AG45" s="883" t="str">
        <f t="shared" si="5"/>
        <v/>
      </c>
      <c r="AH45" s="884" t="str">
        <f t="shared" si="6"/>
        <v/>
      </c>
      <c r="AI45" s="317" t="str">
        <f t="shared" si="7"/>
        <v/>
      </c>
      <c r="AJ45" s="304" t="str">
        <f t="shared" si="8"/>
        <v/>
      </c>
      <c r="AK45" s="304" t="str">
        <f t="shared" si="9"/>
        <v/>
      </c>
      <c r="AL45" s="318" t="str">
        <f t="shared" si="10"/>
        <v/>
      </c>
      <c r="AM45" s="318" t="str">
        <f t="shared" si="11"/>
        <v/>
      </c>
      <c r="AN45" s="319" t="str">
        <f t="shared" si="12"/>
        <v/>
      </c>
      <c r="AO45" s="319" t="str">
        <f t="shared" si="13"/>
        <v/>
      </c>
      <c r="AP45" s="318" t="str">
        <f t="shared" si="14"/>
        <v/>
      </c>
      <c r="AQ45" s="320" t="str">
        <f t="shared" si="15"/>
        <v/>
      </c>
      <c r="AR45" s="306" t="str">
        <f t="shared" si="16"/>
        <v/>
      </c>
      <c r="AS45" s="308" t="str">
        <f t="shared" si="17"/>
        <v/>
      </c>
      <c r="AT45" s="308" t="str">
        <f t="shared" si="18"/>
        <v/>
      </c>
      <c r="AU45" s="308" t="str">
        <f t="shared" si="19"/>
        <v/>
      </c>
      <c r="AV45" s="308" t="str">
        <f t="shared" si="20"/>
        <v/>
      </c>
      <c r="AW45" s="310" t="str">
        <f t="shared" si="21"/>
        <v/>
      </c>
      <c r="AX45" s="321" t="str">
        <f t="shared" si="22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4"/>
        <v/>
      </c>
      <c r="BB45" s="314" t="str">
        <f>IF(C45="","",IF(L45="N/A",0,VLOOKUP(L45,'COST - SELL'!$B$60:$I$63,8,0)))</f>
        <v/>
      </c>
      <c r="BC45" s="313" t="str">
        <f t="shared" si="25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6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7"/>
        <v/>
      </c>
      <c r="BJ45" s="316" t="str">
        <f t="shared" si="28"/>
        <v/>
      </c>
    </row>
    <row r="46" spans="2:62" x14ac:dyDescent="0.25">
      <c r="B46" s="231">
        <f t="shared" si="3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30"/>
        <v>0</v>
      </c>
      <c r="U46" s="668">
        <v>0.3</v>
      </c>
      <c r="V46" s="669">
        <v>0.5</v>
      </c>
      <c r="W46" s="896" t="str">
        <f t="shared" si="1"/>
        <v/>
      </c>
      <c r="X46" s="694">
        <v>0.3</v>
      </c>
      <c r="Y46" s="690">
        <v>0.3</v>
      </c>
      <c r="Z46" s="667">
        <f t="shared" si="34"/>
        <v>0</v>
      </c>
      <c r="AA46" s="659">
        <f t="shared" si="35"/>
        <v>0</v>
      </c>
      <c r="AB46" s="895">
        <f t="shared" si="2"/>
        <v>0</v>
      </c>
      <c r="AC46" s="896">
        <f t="shared" si="36"/>
        <v>0</v>
      </c>
      <c r="AD46" s="181"/>
      <c r="AE46" s="883" t="str">
        <f t="shared" si="3"/>
        <v/>
      </c>
      <c r="AF46" s="883" t="str">
        <f t="shared" si="4"/>
        <v/>
      </c>
      <c r="AG46" s="883" t="str">
        <f t="shared" si="5"/>
        <v/>
      </c>
      <c r="AH46" s="884" t="str">
        <f t="shared" si="6"/>
        <v/>
      </c>
      <c r="AI46" s="317" t="str">
        <f t="shared" si="7"/>
        <v/>
      </c>
      <c r="AJ46" s="304" t="str">
        <f t="shared" si="8"/>
        <v/>
      </c>
      <c r="AK46" s="304" t="str">
        <f t="shared" si="9"/>
        <v/>
      </c>
      <c r="AL46" s="318" t="str">
        <f t="shared" si="10"/>
        <v/>
      </c>
      <c r="AM46" s="318" t="str">
        <f t="shared" si="11"/>
        <v/>
      </c>
      <c r="AN46" s="319" t="str">
        <f t="shared" si="12"/>
        <v/>
      </c>
      <c r="AO46" s="319" t="str">
        <f t="shared" si="13"/>
        <v/>
      </c>
      <c r="AP46" s="318" t="str">
        <f t="shared" si="14"/>
        <v/>
      </c>
      <c r="AQ46" s="320" t="str">
        <f t="shared" si="15"/>
        <v/>
      </c>
      <c r="AR46" s="306" t="str">
        <f t="shared" si="16"/>
        <v/>
      </c>
      <c r="AS46" s="308" t="str">
        <f t="shared" si="17"/>
        <v/>
      </c>
      <c r="AT46" s="308" t="str">
        <f t="shared" si="18"/>
        <v/>
      </c>
      <c r="AU46" s="308" t="str">
        <f t="shared" si="19"/>
        <v/>
      </c>
      <c r="AV46" s="308" t="str">
        <f t="shared" si="20"/>
        <v/>
      </c>
      <c r="AW46" s="310" t="str">
        <f t="shared" si="21"/>
        <v/>
      </c>
      <c r="AX46" s="321" t="str">
        <f t="shared" si="22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4"/>
        <v/>
      </c>
      <c r="BB46" s="314" t="str">
        <f>IF(C46="","",IF(L46="N/A",0,VLOOKUP(L46,'COST - SELL'!$B$60:$I$63,8,0)))</f>
        <v/>
      </c>
      <c r="BC46" s="313" t="str">
        <f t="shared" si="25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6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7"/>
        <v/>
      </c>
      <c r="BJ46" s="316" t="str">
        <f t="shared" si="28"/>
        <v/>
      </c>
    </row>
    <row r="47" spans="2:62" x14ac:dyDescent="0.25">
      <c r="B47" s="231">
        <f t="shared" si="3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30"/>
        <v>0</v>
      </c>
      <c r="U47" s="668">
        <v>0.3</v>
      </c>
      <c r="V47" s="669">
        <v>0.5</v>
      </c>
      <c r="W47" s="896" t="str">
        <f t="shared" si="1"/>
        <v/>
      </c>
      <c r="X47" s="694">
        <v>0.3</v>
      </c>
      <c r="Y47" s="690">
        <v>0.3</v>
      </c>
      <c r="Z47" s="667">
        <f t="shared" si="34"/>
        <v>0</v>
      </c>
      <c r="AA47" s="659">
        <f t="shared" si="35"/>
        <v>0</v>
      </c>
      <c r="AB47" s="895">
        <f t="shared" si="2"/>
        <v>0</v>
      </c>
      <c r="AC47" s="896">
        <f t="shared" si="36"/>
        <v>0</v>
      </c>
      <c r="AD47" s="181"/>
      <c r="AE47" s="883" t="str">
        <f t="shared" si="3"/>
        <v/>
      </c>
      <c r="AF47" s="883" t="str">
        <f t="shared" si="4"/>
        <v/>
      </c>
      <c r="AG47" s="883" t="str">
        <f t="shared" si="5"/>
        <v/>
      </c>
      <c r="AH47" s="884" t="str">
        <f t="shared" si="6"/>
        <v/>
      </c>
      <c r="AI47" s="317" t="str">
        <f t="shared" si="7"/>
        <v/>
      </c>
      <c r="AJ47" s="304" t="str">
        <f t="shared" si="8"/>
        <v/>
      </c>
      <c r="AK47" s="304" t="str">
        <f t="shared" si="9"/>
        <v/>
      </c>
      <c r="AL47" s="318" t="str">
        <f t="shared" si="10"/>
        <v/>
      </c>
      <c r="AM47" s="318" t="str">
        <f t="shared" si="11"/>
        <v/>
      </c>
      <c r="AN47" s="319" t="str">
        <f t="shared" si="12"/>
        <v/>
      </c>
      <c r="AO47" s="319" t="str">
        <f t="shared" si="13"/>
        <v/>
      </c>
      <c r="AP47" s="318" t="str">
        <f t="shared" si="14"/>
        <v/>
      </c>
      <c r="AQ47" s="320" t="str">
        <f t="shared" si="15"/>
        <v/>
      </c>
      <c r="AR47" s="306" t="str">
        <f t="shared" si="16"/>
        <v/>
      </c>
      <c r="AS47" s="308" t="str">
        <f t="shared" si="17"/>
        <v/>
      </c>
      <c r="AT47" s="308" t="str">
        <f t="shared" si="18"/>
        <v/>
      </c>
      <c r="AU47" s="308" t="str">
        <f t="shared" si="19"/>
        <v/>
      </c>
      <c r="AV47" s="308" t="str">
        <f t="shared" si="20"/>
        <v/>
      </c>
      <c r="AW47" s="310" t="str">
        <f t="shared" si="21"/>
        <v/>
      </c>
      <c r="AX47" s="321" t="str">
        <f t="shared" si="22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4"/>
        <v/>
      </c>
      <c r="BB47" s="314" t="str">
        <f>IF(C47="","",IF(L47="N/A",0,VLOOKUP(L47,'COST - SELL'!$B$60:$I$63,8,0)))</f>
        <v/>
      </c>
      <c r="BC47" s="313" t="str">
        <f t="shared" si="25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6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7"/>
        <v/>
      </c>
      <c r="BJ47" s="316" t="str">
        <f t="shared" si="28"/>
        <v/>
      </c>
    </row>
    <row r="48" spans="2:62" x14ac:dyDescent="0.25">
      <c r="B48" s="231">
        <f t="shared" si="3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30"/>
        <v>0</v>
      </c>
      <c r="U48" s="668">
        <v>0.3</v>
      </c>
      <c r="V48" s="669">
        <v>0.5</v>
      </c>
      <c r="W48" s="896" t="str">
        <f t="shared" si="1"/>
        <v/>
      </c>
      <c r="X48" s="694">
        <v>0.3</v>
      </c>
      <c r="Y48" s="690">
        <v>0.3</v>
      </c>
      <c r="Z48" s="667">
        <f t="shared" si="34"/>
        <v>0</v>
      </c>
      <c r="AA48" s="659">
        <f t="shared" si="35"/>
        <v>0</v>
      </c>
      <c r="AB48" s="895">
        <f t="shared" si="2"/>
        <v>0</v>
      </c>
      <c r="AC48" s="896">
        <f t="shared" si="36"/>
        <v>0</v>
      </c>
      <c r="AD48" s="181"/>
      <c r="AE48" s="883" t="str">
        <f t="shared" si="3"/>
        <v/>
      </c>
      <c r="AF48" s="883" t="str">
        <f t="shared" si="4"/>
        <v/>
      </c>
      <c r="AG48" s="883" t="str">
        <f t="shared" si="5"/>
        <v/>
      </c>
      <c r="AH48" s="884" t="str">
        <f t="shared" si="6"/>
        <v/>
      </c>
      <c r="AI48" s="317" t="str">
        <f t="shared" si="7"/>
        <v/>
      </c>
      <c r="AJ48" s="304" t="str">
        <f t="shared" si="8"/>
        <v/>
      </c>
      <c r="AK48" s="304" t="str">
        <f t="shared" si="9"/>
        <v/>
      </c>
      <c r="AL48" s="318" t="str">
        <f t="shared" si="10"/>
        <v/>
      </c>
      <c r="AM48" s="318" t="str">
        <f t="shared" si="11"/>
        <v/>
      </c>
      <c r="AN48" s="319" t="str">
        <f t="shared" si="12"/>
        <v/>
      </c>
      <c r="AO48" s="319" t="str">
        <f t="shared" si="13"/>
        <v/>
      </c>
      <c r="AP48" s="318" t="str">
        <f t="shared" si="14"/>
        <v/>
      </c>
      <c r="AQ48" s="320" t="str">
        <f t="shared" si="15"/>
        <v/>
      </c>
      <c r="AR48" s="306" t="str">
        <f t="shared" si="16"/>
        <v/>
      </c>
      <c r="AS48" s="308" t="str">
        <f t="shared" si="17"/>
        <v/>
      </c>
      <c r="AT48" s="308" t="str">
        <f t="shared" si="18"/>
        <v/>
      </c>
      <c r="AU48" s="308" t="str">
        <f t="shared" si="19"/>
        <v/>
      </c>
      <c r="AV48" s="308" t="str">
        <f t="shared" si="20"/>
        <v/>
      </c>
      <c r="AW48" s="310" t="str">
        <f t="shared" si="21"/>
        <v/>
      </c>
      <c r="AX48" s="321" t="str">
        <f t="shared" si="22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4"/>
        <v/>
      </c>
      <c r="BB48" s="314" t="str">
        <f>IF(C48="","",IF(L48="N/A",0,VLOOKUP(L48,'COST - SELL'!$B$60:$I$63,8,0)))</f>
        <v/>
      </c>
      <c r="BC48" s="313" t="str">
        <f t="shared" si="25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6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7"/>
        <v/>
      </c>
      <c r="BJ48" s="316" t="str">
        <f t="shared" si="28"/>
        <v/>
      </c>
    </row>
    <row r="49" spans="2:62" x14ac:dyDescent="0.25">
      <c r="B49" s="231">
        <f t="shared" si="3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30"/>
        <v>0</v>
      </c>
      <c r="U49" s="668">
        <v>0.3</v>
      </c>
      <c r="V49" s="669">
        <v>0.5</v>
      </c>
      <c r="W49" s="896" t="str">
        <f t="shared" si="1"/>
        <v/>
      </c>
      <c r="X49" s="694">
        <v>0.3</v>
      </c>
      <c r="Y49" s="690">
        <v>0.3</v>
      </c>
      <c r="Z49" s="667">
        <f t="shared" si="34"/>
        <v>0</v>
      </c>
      <c r="AA49" s="659">
        <f t="shared" si="35"/>
        <v>0</v>
      </c>
      <c r="AB49" s="895">
        <f t="shared" si="2"/>
        <v>0</v>
      </c>
      <c r="AC49" s="896">
        <f t="shared" si="36"/>
        <v>0</v>
      </c>
      <c r="AD49" s="181"/>
      <c r="AE49" s="883" t="str">
        <f t="shared" si="3"/>
        <v/>
      </c>
      <c r="AF49" s="883" t="str">
        <f t="shared" si="4"/>
        <v/>
      </c>
      <c r="AG49" s="883" t="str">
        <f t="shared" si="5"/>
        <v/>
      </c>
      <c r="AH49" s="884" t="str">
        <f t="shared" si="6"/>
        <v/>
      </c>
      <c r="AI49" s="317" t="str">
        <f t="shared" si="7"/>
        <v/>
      </c>
      <c r="AJ49" s="304" t="str">
        <f t="shared" si="8"/>
        <v/>
      </c>
      <c r="AK49" s="304" t="str">
        <f t="shared" si="9"/>
        <v/>
      </c>
      <c r="AL49" s="318" t="str">
        <f t="shared" si="10"/>
        <v/>
      </c>
      <c r="AM49" s="318" t="str">
        <f t="shared" si="11"/>
        <v/>
      </c>
      <c r="AN49" s="319" t="str">
        <f t="shared" si="12"/>
        <v/>
      </c>
      <c r="AO49" s="319" t="str">
        <f t="shared" si="13"/>
        <v/>
      </c>
      <c r="AP49" s="318" t="str">
        <f t="shared" si="14"/>
        <v/>
      </c>
      <c r="AQ49" s="320" t="str">
        <f t="shared" si="15"/>
        <v/>
      </c>
      <c r="AR49" s="306" t="str">
        <f t="shared" si="16"/>
        <v/>
      </c>
      <c r="AS49" s="308" t="str">
        <f t="shared" si="17"/>
        <v/>
      </c>
      <c r="AT49" s="308" t="str">
        <f t="shared" si="18"/>
        <v/>
      </c>
      <c r="AU49" s="308" t="str">
        <f t="shared" si="19"/>
        <v/>
      </c>
      <c r="AV49" s="308" t="str">
        <f t="shared" si="20"/>
        <v/>
      </c>
      <c r="AW49" s="310" t="str">
        <f t="shared" si="21"/>
        <v/>
      </c>
      <c r="AX49" s="321" t="str">
        <f t="shared" si="22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4"/>
        <v/>
      </c>
      <c r="BB49" s="314" t="str">
        <f>IF(C49="","",IF(L49="N/A",0,VLOOKUP(L49,'COST - SELL'!$B$60:$I$63,8,0)))</f>
        <v/>
      </c>
      <c r="BC49" s="313" t="str">
        <f t="shared" si="25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6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7"/>
        <v/>
      </c>
      <c r="BJ49" s="316" t="str">
        <f t="shared" si="28"/>
        <v/>
      </c>
    </row>
    <row r="50" spans="2:62" x14ac:dyDescent="0.25">
      <c r="B50" s="231">
        <f t="shared" si="3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30"/>
        <v>0</v>
      </c>
      <c r="U50" s="668">
        <v>0.3</v>
      </c>
      <c r="V50" s="669">
        <v>0.5</v>
      </c>
      <c r="W50" s="896" t="str">
        <f t="shared" si="1"/>
        <v/>
      </c>
      <c r="X50" s="694">
        <v>0.3</v>
      </c>
      <c r="Y50" s="690">
        <v>0.3</v>
      </c>
      <c r="Z50" s="667">
        <f t="shared" si="34"/>
        <v>0</v>
      </c>
      <c r="AA50" s="659">
        <f t="shared" si="35"/>
        <v>0</v>
      </c>
      <c r="AB50" s="895">
        <f t="shared" si="2"/>
        <v>0</v>
      </c>
      <c r="AC50" s="896">
        <f t="shared" si="36"/>
        <v>0</v>
      </c>
      <c r="AD50" s="181"/>
      <c r="AE50" s="883" t="str">
        <f t="shared" si="3"/>
        <v/>
      </c>
      <c r="AF50" s="883" t="str">
        <f t="shared" si="4"/>
        <v/>
      </c>
      <c r="AG50" s="883" t="str">
        <f t="shared" si="5"/>
        <v/>
      </c>
      <c r="AH50" s="884" t="str">
        <f t="shared" si="6"/>
        <v/>
      </c>
      <c r="AI50" s="317" t="str">
        <f t="shared" si="7"/>
        <v/>
      </c>
      <c r="AJ50" s="304" t="str">
        <f t="shared" si="8"/>
        <v/>
      </c>
      <c r="AK50" s="304" t="str">
        <f t="shared" si="9"/>
        <v/>
      </c>
      <c r="AL50" s="318" t="str">
        <f t="shared" si="10"/>
        <v/>
      </c>
      <c r="AM50" s="318" t="str">
        <f t="shared" si="11"/>
        <v/>
      </c>
      <c r="AN50" s="319" t="str">
        <f t="shared" si="12"/>
        <v/>
      </c>
      <c r="AO50" s="319" t="str">
        <f t="shared" si="13"/>
        <v/>
      </c>
      <c r="AP50" s="318" t="str">
        <f t="shared" si="14"/>
        <v/>
      </c>
      <c r="AQ50" s="320" t="str">
        <f t="shared" si="15"/>
        <v/>
      </c>
      <c r="AR50" s="306" t="str">
        <f t="shared" si="16"/>
        <v/>
      </c>
      <c r="AS50" s="308" t="str">
        <f t="shared" si="17"/>
        <v/>
      </c>
      <c r="AT50" s="308" t="str">
        <f t="shared" si="18"/>
        <v/>
      </c>
      <c r="AU50" s="308" t="str">
        <f t="shared" si="19"/>
        <v/>
      </c>
      <c r="AV50" s="308" t="str">
        <f t="shared" si="20"/>
        <v/>
      </c>
      <c r="AW50" s="310" t="str">
        <f t="shared" si="21"/>
        <v/>
      </c>
      <c r="AX50" s="321" t="str">
        <f t="shared" si="22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4"/>
        <v/>
      </c>
      <c r="BB50" s="314" t="str">
        <f>IF(C50="","",IF(L50="N/A",0,VLOOKUP(L50,'COST - SELL'!$B$60:$I$63,8,0)))</f>
        <v/>
      </c>
      <c r="BC50" s="313" t="str">
        <f t="shared" si="25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6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7"/>
        <v/>
      </c>
      <c r="BJ50" s="316" t="str">
        <f t="shared" si="28"/>
        <v/>
      </c>
    </row>
    <row r="51" spans="2:62" x14ac:dyDescent="0.25">
      <c r="B51" s="231">
        <f t="shared" si="3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30"/>
        <v>0</v>
      </c>
      <c r="U51" s="668">
        <v>0.3</v>
      </c>
      <c r="V51" s="669">
        <v>0.5</v>
      </c>
      <c r="W51" s="896" t="str">
        <f t="shared" si="1"/>
        <v/>
      </c>
      <c r="X51" s="694">
        <v>0.3</v>
      </c>
      <c r="Y51" s="690">
        <v>0.3</v>
      </c>
      <c r="Z51" s="667">
        <f t="shared" si="34"/>
        <v>0</v>
      </c>
      <c r="AA51" s="659">
        <f t="shared" si="35"/>
        <v>0</v>
      </c>
      <c r="AB51" s="895">
        <f t="shared" si="2"/>
        <v>0</v>
      </c>
      <c r="AC51" s="896">
        <f t="shared" si="36"/>
        <v>0</v>
      </c>
      <c r="AD51" s="181"/>
      <c r="AE51" s="883" t="str">
        <f t="shared" si="3"/>
        <v/>
      </c>
      <c r="AF51" s="883" t="str">
        <f t="shared" si="4"/>
        <v/>
      </c>
      <c r="AG51" s="883" t="str">
        <f t="shared" si="5"/>
        <v/>
      </c>
      <c r="AH51" s="884" t="str">
        <f t="shared" si="6"/>
        <v/>
      </c>
      <c r="AI51" s="317" t="str">
        <f t="shared" si="7"/>
        <v/>
      </c>
      <c r="AJ51" s="304" t="str">
        <f t="shared" si="8"/>
        <v/>
      </c>
      <c r="AK51" s="304" t="str">
        <f t="shared" si="9"/>
        <v/>
      </c>
      <c r="AL51" s="318" t="str">
        <f t="shared" si="10"/>
        <v/>
      </c>
      <c r="AM51" s="318" t="str">
        <f t="shared" si="11"/>
        <v/>
      </c>
      <c r="AN51" s="319" t="str">
        <f t="shared" si="12"/>
        <v/>
      </c>
      <c r="AO51" s="319" t="str">
        <f t="shared" si="13"/>
        <v/>
      </c>
      <c r="AP51" s="318" t="str">
        <f t="shared" si="14"/>
        <v/>
      </c>
      <c r="AQ51" s="320" t="str">
        <f t="shared" si="15"/>
        <v/>
      </c>
      <c r="AR51" s="306" t="str">
        <f t="shared" si="16"/>
        <v/>
      </c>
      <c r="AS51" s="308" t="str">
        <f t="shared" si="17"/>
        <v/>
      </c>
      <c r="AT51" s="308" t="str">
        <f t="shared" si="18"/>
        <v/>
      </c>
      <c r="AU51" s="308" t="str">
        <f t="shared" si="19"/>
        <v/>
      </c>
      <c r="AV51" s="308" t="str">
        <f t="shared" si="20"/>
        <v/>
      </c>
      <c r="AW51" s="310" t="str">
        <f t="shared" si="21"/>
        <v/>
      </c>
      <c r="AX51" s="321" t="str">
        <f t="shared" si="22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4"/>
        <v/>
      </c>
      <c r="BB51" s="314" t="str">
        <f>IF(C51="","",IF(L51="N/A",0,VLOOKUP(L51,'COST - SELL'!$B$60:$I$63,8,0)))</f>
        <v/>
      </c>
      <c r="BC51" s="313" t="str">
        <f t="shared" si="25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6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7"/>
        <v/>
      </c>
      <c r="BJ51" s="316" t="str">
        <f t="shared" si="28"/>
        <v/>
      </c>
    </row>
    <row r="52" spans="2:62" x14ac:dyDescent="0.25">
      <c r="B52" s="231">
        <f t="shared" si="3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30"/>
        <v>0</v>
      </c>
      <c r="U52" s="668">
        <v>0.3</v>
      </c>
      <c r="V52" s="669">
        <v>0.5</v>
      </c>
      <c r="W52" s="896" t="str">
        <f t="shared" si="1"/>
        <v/>
      </c>
      <c r="X52" s="694">
        <v>0.3</v>
      </c>
      <c r="Y52" s="690">
        <v>0.3</v>
      </c>
      <c r="Z52" s="667">
        <f t="shared" si="34"/>
        <v>0</v>
      </c>
      <c r="AA52" s="659">
        <f t="shared" si="35"/>
        <v>0</v>
      </c>
      <c r="AB52" s="895">
        <f t="shared" si="2"/>
        <v>0</v>
      </c>
      <c r="AC52" s="896">
        <f t="shared" si="36"/>
        <v>0</v>
      </c>
      <c r="AD52" s="181"/>
      <c r="AE52" s="883" t="str">
        <f t="shared" si="3"/>
        <v/>
      </c>
      <c r="AF52" s="883" t="str">
        <f t="shared" si="4"/>
        <v/>
      </c>
      <c r="AG52" s="883" t="str">
        <f t="shared" si="5"/>
        <v/>
      </c>
      <c r="AH52" s="884" t="str">
        <f t="shared" si="6"/>
        <v/>
      </c>
      <c r="AI52" s="317" t="str">
        <f t="shared" si="7"/>
        <v/>
      </c>
      <c r="AJ52" s="304" t="str">
        <f t="shared" si="8"/>
        <v/>
      </c>
      <c r="AK52" s="304" t="str">
        <f t="shared" si="9"/>
        <v/>
      </c>
      <c r="AL52" s="318" t="str">
        <f t="shared" si="10"/>
        <v/>
      </c>
      <c r="AM52" s="318" t="str">
        <f t="shared" si="11"/>
        <v/>
      </c>
      <c r="AN52" s="319" t="str">
        <f t="shared" si="12"/>
        <v/>
      </c>
      <c r="AO52" s="319" t="str">
        <f t="shared" si="13"/>
        <v/>
      </c>
      <c r="AP52" s="318" t="str">
        <f t="shared" si="14"/>
        <v/>
      </c>
      <c r="AQ52" s="320" t="str">
        <f t="shared" si="15"/>
        <v/>
      </c>
      <c r="AR52" s="306" t="str">
        <f t="shared" si="16"/>
        <v/>
      </c>
      <c r="AS52" s="308" t="str">
        <f t="shared" si="17"/>
        <v/>
      </c>
      <c r="AT52" s="308" t="str">
        <f t="shared" si="18"/>
        <v/>
      </c>
      <c r="AU52" s="308" t="str">
        <f t="shared" si="19"/>
        <v/>
      </c>
      <c r="AV52" s="308" t="str">
        <f t="shared" si="20"/>
        <v/>
      </c>
      <c r="AW52" s="310" t="str">
        <f t="shared" si="21"/>
        <v/>
      </c>
      <c r="AX52" s="321" t="str">
        <f t="shared" si="22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4"/>
        <v/>
      </c>
      <c r="BB52" s="314" t="str">
        <f>IF(C52="","",IF(L52="N/A",0,VLOOKUP(L52,'COST - SELL'!$B$60:$I$63,8,0)))</f>
        <v/>
      </c>
      <c r="BC52" s="313" t="str">
        <f t="shared" si="25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6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7"/>
        <v/>
      </c>
      <c r="BJ52" s="316" t="str">
        <f t="shared" si="28"/>
        <v/>
      </c>
    </row>
    <row r="53" spans="2:62" x14ac:dyDescent="0.25">
      <c r="B53" s="231">
        <f t="shared" si="3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30"/>
        <v>0</v>
      </c>
      <c r="U53" s="668">
        <v>0.3</v>
      </c>
      <c r="V53" s="669">
        <v>0.5</v>
      </c>
      <c r="W53" s="896" t="str">
        <f t="shared" si="1"/>
        <v/>
      </c>
      <c r="X53" s="694">
        <v>0.3</v>
      </c>
      <c r="Y53" s="690">
        <v>0.3</v>
      </c>
      <c r="Z53" s="667">
        <f t="shared" si="34"/>
        <v>0</v>
      </c>
      <c r="AA53" s="659">
        <f t="shared" si="35"/>
        <v>0</v>
      </c>
      <c r="AB53" s="895">
        <f t="shared" si="2"/>
        <v>0</v>
      </c>
      <c r="AC53" s="896">
        <f t="shared" si="36"/>
        <v>0</v>
      </c>
      <c r="AD53" s="181"/>
      <c r="AE53" s="883" t="str">
        <f t="shared" si="3"/>
        <v/>
      </c>
      <c r="AF53" s="883" t="str">
        <f t="shared" si="4"/>
        <v/>
      </c>
      <c r="AG53" s="883" t="str">
        <f t="shared" si="5"/>
        <v/>
      </c>
      <c r="AH53" s="884" t="str">
        <f t="shared" si="6"/>
        <v/>
      </c>
      <c r="AI53" s="317" t="str">
        <f t="shared" si="7"/>
        <v/>
      </c>
      <c r="AJ53" s="304" t="str">
        <f t="shared" si="8"/>
        <v/>
      </c>
      <c r="AK53" s="304" t="str">
        <f t="shared" si="9"/>
        <v/>
      </c>
      <c r="AL53" s="318" t="str">
        <f t="shared" si="10"/>
        <v/>
      </c>
      <c r="AM53" s="318" t="str">
        <f t="shared" si="11"/>
        <v/>
      </c>
      <c r="AN53" s="319" t="str">
        <f t="shared" si="12"/>
        <v/>
      </c>
      <c r="AO53" s="319" t="str">
        <f t="shared" si="13"/>
        <v/>
      </c>
      <c r="AP53" s="318" t="str">
        <f t="shared" si="14"/>
        <v/>
      </c>
      <c r="AQ53" s="320" t="str">
        <f t="shared" si="15"/>
        <v/>
      </c>
      <c r="AR53" s="306" t="str">
        <f t="shared" si="16"/>
        <v/>
      </c>
      <c r="AS53" s="308" t="str">
        <f t="shared" si="17"/>
        <v/>
      </c>
      <c r="AT53" s="308" t="str">
        <f t="shared" si="18"/>
        <v/>
      </c>
      <c r="AU53" s="308" t="str">
        <f t="shared" si="19"/>
        <v/>
      </c>
      <c r="AV53" s="308" t="str">
        <f t="shared" si="20"/>
        <v/>
      </c>
      <c r="AW53" s="310" t="str">
        <f t="shared" si="21"/>
        <v/>
      </c>
      <c r="AX53" s="321" t="str">
        <f t="shared" si="22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4"/>
        <v/>
      </c>
      <c r="BB53" s="314" t="str">
        <f>IF(C53="","",IF(L53="N/A",0,VLOOKUP(L53,'COST - SELL'!$B$60:$I$63,8,0)))</f>
        <v/>
      </c>
      <c r="BC53" s="313" t="str">
        <f t="shared" si="25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6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7"/>
        <v/>
      </c>
      <c r="BJ53" s="316" t="str">
        <f t="shared" si="28"/>
        <v/>
      </c>
    </row>
    <row r="54" spans="2:62" x14ac:dyDescent="0.25">
      <c r="B54" s="231">
        <f t="shared" si="3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30"/>
        <v>0</v>
      </c>
      <c r="U54" s="668">
        <v>0.3</v>
      </c>
      <c r="V54" s="669">
        <v>0.5</v>
      </c>
      <c r="W54" s="896" t="str">
        <f t="shared" si="1"/>
        <v/>
      </c>
      <c r="X54" s="694">
        <v>0.3</v>
      </c>
      <c r="Y54" s="690">
        <v>0.3</v>
      </c>
      <c r="Z54" s="667">
        <f t="shared" si="34"/>
        <v>0</v>
      </c>
      <c r="AA54" s="659">
        <f t="shared" si="35"/>
        <v>0</v>
      </c>
      <c r="AB54" s="895">
        <f t="shared" si="2"/>
        <v>0</v>
      </c>
      <c r="AC54" s="896">
        <f t="shared" si="36"/>
        <v>0</v>
      </c>
      <c r="AD54" s="181"/>
      <c r="AE54" s="883" t="str">
        <f t="shared" si="3"/>
        <v/>
      </c>
      <c r="AF54" s="883" t="str">
        <f t="shared" si="4"/>
        <v/>
      </c>
      <c r="AG54" s="883" t="str">
        <f t="shared" si="5"/>
        <v/>
      </c>
      <c r="AH54" s="884" t="str">
        <f t="shared" si="6"/>
        <v/>
      </c>
      <c r="AI54" s="317" t="str">
        <f t="shared" si="7"/>
        <v/>
      </c>
      <c r="AJ54" s="304" t="str">
        <f t="shared" si="8"/>
        <v/>
      </c>
      <c r="AK54" s="304" t="str">
        <f t="shared" si="9"/>
        <v/>
      </c>
      <c r="AL54" s="318" t="str">
        <f t="shared" si="10"/>
        <v/>
      </c>
      <c r="AM54" s="318" t="str">
        <f t="shared" si="11"/>
        <v/>
      </c>
      <c r="AN54" s="319" t="str">
        <f t="shared" si="12"/>
        <v/>
      </c>
      <c r="AO54" s="319" t="str">
        <f t="shared" si="13"/>
        <v/>
      </c>
      <c r="AP54" s="318" t="str">
        <f t="shared" si="14"/>
        <v/>
      </c>
      <c r="AQ54" s="320" t="str">
        <f t="shared" si="15"/>
        <v/>
      </c>
      <c r="AR54" s="306" t="str">
        <f t="shared" si="16"/>
        <v/>
      </c>
      <c r="AS54" s="308" t="str">
        <f t="shared" si="17"/>
        <v/>
      </c>
      <c r="AT54" s="308" t="str">
        <f t="shared" si="18"/>
        <v/>
      </c>
      <c r="AU54" s="308" t="str">
        <f t="shared" si="19"/>
        <v/>
      </c>
      <c r="AV54" s="308" t="str">
        <f t="shared" si="20"/>
        <v/>
      </c>
      <c r="AW54" s="310" t="str">
        <f t="shared" si="21"/>
        <v/>
      </c>
      <c r="AX54" s="321" t="str">
        <f t="shared" si="22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4"/>
        <v/>
      </c>
      <c r="BB54" s="314" t="str">
        <f>IF(C54="","",IF(L54="N/A",0,VLOOKUP(L54,'COST - SELL'!$B$60:$I$63,8,0)))</f>
        <v/>
      </c>
      <c r="BC54" s="313" t="str">
        <f t="shared" si="25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6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7"/>
        <v/>
      </c>
      <c r="BJ54" s="316" t="str">
        <f t="shared" si="28"/>
        <v/>
      </c>
    </row>
    <row r="55" spans="2:62" x14ac:dyDescent="0.25">
      <c r="B55" s="231">
        <f t="shared" si="3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30"/>
        <v>0</v>
      </c>
      <c r="U55" s="668">
        <v>0.3</v>
      </c>
      <c r="V55" s="669">
        <v>0.5</v>
      </c>
      <c r="W55" s="896" t="str">
        <f t="shared" si="1"/>
        <v/>
      </c>
      <c r="X55" s="694">
        <v>0.3</v>
      </c>
      <c r="Y55" s="690">
        <v>0.3</v>
      </c>
      <c r="Z55" s="667">
        <f t="shared" si="34"/>
        <v>0</v>
      </c>
      <c r="AA55" s="659">
        <f t="shared" si="35"/>
        <v>0</v>
      </c>
      <c r="AB55" s="895">
        <f t="shared" si="2"/>
        <v>0</v>
      </c>
      <c r="AC55" s="896">
        <f t="shared" si="36"/>
        <v>0</v>
      </c>
      <c r="AD55" s="181"/>
      <c r="AE55" s="883" t="str">
        <f t="shared" si="3"/>
        <v/>
      </c>
      <c r="AF55" s="883" t="str">
        <f t="shared" si="4"/>
        <v/>
      </c>
      <c r="AG55" s="883" t="str">
        <f t="shared" si="5"/>
        <v/>
      </c>
      <c r="AH55" s="884" t="str">
        <f t="shared" si="6"/>
        <v/>
      </c>
      <c r="AI55" s="317" t="str">
        <f t="shared" si="7"/>
        <v/>
      </c>
      <c r="AJ55" s="304" t="str">
        <f t="shared" si="8"/>
        <v/>
      </c>
      <c r="AK55" s="304" t="str">
        <f t="shared" si="9"/>
        <v/>
      </c>
      <c r="AL55" s="318" t="str">
        <f t="shared" si="10"/>
        <v/>
      </c>
      <c r="AM55" s="318" t="str">
        <f t="shared" si="11"/>
        <v/>
      </c>
      <c r="AN55" s="319" t="str">
        <f t="shared" si="12"/>
        <v/>
      </c>
      <c r="AO55" s="319" t="str">
        <f t="shared" si="13"/>
        <v/>
      </c>
      <c r="AP55" s="318" t="str">
        <f t="shared" si="14"/>
        <v/>
      </c>
      <c r="AQ55" s="320" t="str">
        <f t="shared" si="15"/>
        <v/>
      </c>
      <c r="AR55" s="306" t="str">
        <f t="shared" si="16"/>
        <v/>
      </c>
      <c r="AS55" s="308" t="str">
        <f t="shared" si="17"/>
        <v/>
      </c>
      <c r="AT55" s="308" t="str">
        <f t="shared" si="18"/>
        <v/>
      </c>
      <c r="AU55" s="308" t="str">
        <f t="shared" si="19"/>
        <v/>
      </c>
      <c r="AV55" s="308" t="str">
        <f t="shared" si="20"/>
        <v/>
      </c>
      <c r="AW55" s="310" t="str">
        <f t="shared" si="21"/>
        <v/>
      </c>
      <c r="AX55" s="321" t="str">
        <f t="shared" si="22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4"/>
        <v/>
      </c>
      <c r="BB55" s="314" t="str">
        <f>IF(C55="","",IF(L55="N/A",0,VLOOKUP(L55,'COST - SELL'!$B$60:$I$63,8,0)))</f>
        <v/>
      </c>
      <c r="BC55" s="313" t="str">
        <f t="shared" si="25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6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7"/>
        <v/>
      </c>
      <c r="BJ55" s="316" t="str">
        <f t="shared" si="28"/>
        <v/>
      </c>
    </row>
    <row r="56" spans="2:62" x14ac:dyDescent="0.25">
      <c r="B56" s="231">
        <f t="shared" si="3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30"/>
        <v>0</v>
      </c>
      <c r="U56" s="668">
        <v>0.3</v>
      </c>
      <c r="V56" s="669">
        <v>0.5</v>
      </c>
      <c r="W56" s="896" t="str">
        <f t="shared" si="1"/>
        <v/>
      </c>
      <c r="X56" s="694">
        <v>0.3</v>
      </c>
      <c r="Y56" s="690">
        <v>0.3</v>
      </c>
      <c r="Z56" s="667">
        <f t="shared" si="34"/>
        <v>0</v>
      </c>
      <c r="AA56" s="659">
        <f t="shared" si="35"/>
        <v>0</v>
      </c>
      <c r="AB56" s="895">
        <f t="shared" si="2"/>
        <v>0</v>
      </c>
      <c r="AC56" s="896">
        <f t="shared" si="36"/>
        <v>0</v>
      </c>
      <c r="AD56" s="181"/>
      <c r="AE56" s="883" t="str">
        <f t="shared" si="3"/>
        <v/>
      </c>
      <c r="AF56" s="883" t="str">
        <f t="shared" si="4"/>
        <v/>
      </c>
      <c r="AG56" s="883" t="str">
        <f t="shared" si="5"/>
        <v/>
      </c>
      <c r="AH56" s="884" t="str">
        <f t="shared" si="6"/>
        <v/>
      </c>
      <c r="AI56" s="317" t="str">
        <f t="shared" si="7"/>
        <v/>
      </c>
      <c r="AJ56" s="304" t="str">
        <f t="shared" si="8"/>
        <v/>
      </c>
      <c r="AK56" s="304" t="str">
        <f t="shared" si="9"/>
        <v/>
      </c>
      <c r="AL56" s="318" t="str">
        <f t="shared" si="10"/>
        <v/>
      </c>
      <c r="AM56" s="318" t="str">
        <f t="shared" si="11"/>
        <v/>
      </c>
      <c r="AN56" s="319" t="str">
        <f t="shared" si="12"/>
        <v/>
      </c>
      <c r="AO56" s="319" t="str">
        <f t="shared" si="13"/>
        <v/>
      </c>
      <c r="AP56" s="318" t="str">
        <f t="shared" si="14"/>
        <v/>
      </c>
      <c r="AQ56" s="320" t="str">
        <f t="shared" si="15"/>
        <v/>
      </c>
      <c r="AR56" s="306" t="str">
        <f t="shared" si="16"/>
        <v/>
      </c>
      <c r="AS56" s="308" t="str">
        <f t="shared" si="17"/>
        <v/>
      </c>
      <c r="AT56" s="308" t="str">
        <f t="shared" si="18"/>
        <v/>
      </c>
      <c r="AU56" s="308" t="str">
        <f t="shared" si="19"/>
        <v/>
      </c>
      <c r="AV56" s="308" t="str">
        <f t="shared" si="20"/>
        <v/>
      </c>
      <c r="AW56" s="310" t="str">
        <f t="shared" si="21"/>
        <v/>
      </c>
      <c r="AX56" s="321" t="str">
        <f t="shared" si="22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4"/>
        <v/>
      </c>
      <c r="BB56" s="314" t="str">
        <f>IF(C56="","",IF(L56="N/A",0,VLOOKUP(L56,'COST - SELL'!$B$60:$I$63,8,0)))</f>
        <v/>
      </c>
      <c r="BC56" s="313" t="str">
        <f t="shared" si="25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6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7"/>
        <v/>
      </c>
      <c r="BJ56" s="316" t="str">
        <f t="shared" si="28"/>
        <v/>
      </c>
    </row>
    <row r="57" spans="2:62" x14ac:dyDescent="0.25">
      <c r="B57" s="231">
        <f t="shared" si="3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30"/>
        <v>0</v>
      </c>
      <c r="U57" s="668">
        <v>0.3</v>
      </c>
      <c r="V57" s="669">
        <v>0.5</v>
      </c>
      <c r="W57" s="896" t="str">
        <f t="shared" si="1"/>
        <v/>
      </c>
      <c r="X57" s="694">
        <v>0.3</v>
      </c>
      <c r="Y57" s="690">
        <v>0.3</v>
      </c>
      <c r="Z57" s="667">
        <f t="shared" si="34"/>
        <v>0</v>
      </c>
      <c r="AA57" s="659">
        <f t="shared" si="35"/>
        <v>0</v>
      </c>
      <c r="AB57" s="895">
        <f t="shared" si="2"/>
        <v>0</v>
      </c>
      <c r="AC57" s="896">
        <f t="shared" si="36"/>
        <v>0</v>
      </c>
      <c r="AD57" s="181"/>
      <c r="AE57" s="883" t="str">
        <f t="shared" si="3"/>
        <v/>
      </c>
      <c r="AF57" s="883" t="str">
        <f t="shared" si="4"/>
        <v/>
      </c>
      <c r="AG57" s="883" t="str">
        <f t="shared" si="5"/>
        <v/>
      </c>
      <c r="AH57" s="884" t="str">
        <f t="shared" si="6"/>
        <v/>
      </c>
      <c r="AI57" s="317" t="str">
        <f t="shared" si="7"/>
        <v/>
      </c>
      <c r="AJ57" s="304" t="str">
        <f t="shared" si="8"/>
        <v/>
      </c>
      <c r="AK57" s="304" t="str">
        <f t="shared" si="9"/>
        <v/>
      </c>
      <c r="AL57" s="318" t="str">
        <f t="shared" si="10"/>
        <v/>
      </c>
      <c r="AM57" s="318" t="str">
        <f t="shared" si="11"/>
        <v/>
      </c>
      <c r="AN57" s="319" t="str">
        <f t="shared" si="12"/>
        <v/>
      </c>
      <c r="AO57" s="319" t="str">
        <f t="shared" si="13"/>
        <v/>
      </c>
      <c r="AP57" s="318" t="str">
        <f t="shared" si="14"/>
        <v/>
      </c>
      <c r="AQ57" s="320" t="str">
        <f t="shared" si="15"/>
        <v/>
      </c>
      <c r="AR57" s="306" t="str">
        <f t="shared" si="16"/>
        <v/>
      </c>
      <c r="AS57" s="308" t="str">
        <f t="shared" si="17"/>
        <v/>
      </c>
      <c r="AT57" s="308" t="str">
        <f t="shared" si="18"/>
        <v/>
      </c>
      <c r="AU57" s="308" t="str">
        <f t="shared" si="19"/>
        <v/>
      </c>
      <c r="AV57" s="308" t="str">
        <f t="shared" si="20"/>
        <v/>
      </c>
      <c r="AW57" s="310" t="str">
        <f t="shared" si="21"/>
        <v/>
      </c>
      <c r="AX57" s="321" t="str">
        <f t="shared" si="22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4"/>
        <v/>
      </c>
      <c r="BB57" s="314" t="str">
        <f>IF(C57="","",IF(L57="N/A",0,VLOOKUP(L57,'COST - SELL'!$B$60:$I$63,8,0)))</f>
        <v/>
      </c>
      <c r="BC57" s="313" t="str">
        <f t="shared" si="25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6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7"/>
        <v/>
      </c>
      <c r="BJ57" s="316" t="str">
        <f t="shared" si="28"/>
        <v/>
      </c>
    </row>
    <row r="58" spans="2:62" x14ac:dyDescent="0.25">
      <c r="B58" s="231">
        <f t="shared" si="3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30"/>
        <v>0</v>
      </c>
      <c r="U58" s="668">
        <v>0.3</v>
      </c>
      <c r="V58" s="669">
        <v>0.5</v>
      </c>
      <c r="W58" s="896" t="str">
        <f t="shared" si="1"/>
        <v/>
      </c>
      <c r="X58" s="694">
        <v>0.3</v>
      </c>
      <c r="Y58" s="690">
        <v>0.3</v>
      </c>
      <c r="Z58" s="667">
        <f t="shared" si="34"/>
        <v>0</v>
      </c>
      <c r="AA58" s="659">
        <f t="shared" si="35"/>
        <v>0</v>
      </c>
      <c r="AB58" s="895">
        <f t="shared" si="2"/>
        <v>0</v>
      </c>
      <c r="AC58" s="896">
        <f t="shared" si="36"/>
        <v>0</v>
      </c>
      <c r="AD58" s="181"/>
      <c r="AE58" s="883" t="str">
        <f t="shared" si="3"/>
        <v/>
      </c>
      <c r="AF58" s="883" t="str">
        <f t="shared" si="4"/>
        <v/>
      </c>
      <c r="AG58" s="883" t="str">
        <f t="shared" si="5"/>
        <v/>
      </c>
      <c r="AH58" s="884" t="str">
        <f t="shared" si="6"/>
        <v/>
      </c>
      <c r="AI58" s="317" t="str">
        <f t="shared" si="7"/>
        <v/>
      </c>
      <c r="AJ58" s="304" t="str">
        <f t="shared" si="8"/>
        <v/>
      </c>
      <c r="AK58" s="304" t="str">
        <f t="shared" si="9"/>
        <v/>
      </c>
      <c r="AL58" s="318" t="str">
        <f t="shared" si="10"/>
        <v/>
      </c>
      <c r="AM58" s="318" t="str">
        <f t="shared" si="11"/>
        <v/>
      </c>
      <c r="AN58" s="319" t="str">
        <f t="shared" si="12"/>
        <v/>
      </c>
      <c r="AO58" s="319" t="str">
        <f t="shared" si="13"/>
        <v/>
      </c>
      <c r="AP58" s="318" t="str">
        <f t="shared" si="14"/>
        <v/>
      </c>
      <c r="AQ58" s="320" t="str">
        <f t="shared" si="15"/>
        <v/>
      </c>
      <c r="AR58" s="306" t="str">
        <f t="shared" si="16"/>
        <v/>
      </c>
      <c r="AS58" s="308" t="str">
        <f t="shared" si="17"/>
        <v/>
      </c>
      <c r="AT58" s="308" t="str">
        <f t="shared" si="18"/>
        <v/>
      </c>
      <c r="AU58" s="308" t="str">
        <f t="shared" si="19"/>
        <v/>
      </c>
      <c r="AV58" s="308" t="str">
        <f t="shared" si="20"/>
        <v/>
      </c>
      <c r="AW58" s="310" t="str">
        <f t="shared" si="21"/>
        <v/>
      </c>
      <c r="AX58" s="321" t="str">
        <f t="shared" si="22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4"/>
        <v/>
      </c>
      <c r="BB58" s="314" t="str">
        <f>IF(C58="","",IF(L58="N/A",0,VLOOKUP(L58,'COST - SELL'!$B$60:$I$63,8,0)))</f>
        <v/>
      </c>
      <c r="BC58" s="313" t="str">
        <f t="shared" si="25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6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7"/>
        <v/>
      </c>
      <c r="BJ58" s="316" t="str">
        <f t="shared" si="28"/>
        <v/>
      </c>
    </row>
    <row r="59" spans="2:62" x14ac:dyDescent="0.25">
      <c r="B59" s="231">
        <f t="shared" si="3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30"/>
        <v>0</v>
      </c>
      <c r="U59" s="668">
        <v>0.3</v>
      </c>
      <c r="V59" s="669">
        <v>0.5</v>
      </c>
      <c r="W59" s="896" t="str">
        <f t="shared" si="1"/>
        <v/>
      </c>
      <c r="X59" s="694">
        <v>0.3</v>
      </c>
      <c r="Y59" s="690">
        <v>0.3</v>
      </c>
      <c r="Z59" s="667">
        <f t="shared" si="34"/>
        <v>0</v>
      </c>
      <c r="AA59" s="659">
        <f t="shared" si="35"/>
        <v>0</v>
      </c>
      <c r="AB59" s="895">
        <f t="shared" si="2"/>
        <v>0</v>
      </c>
      <c r="AC59" s="896">
        <f t="shared" si="36"/>
        <v>0</v>
      </c>
      <c r="AD59" s="181"/>
      <c r="AE59" s="883" t="str">
        <f t="shared" si="3"/>
        <v/>
      </c>
      <c r="AF59" s="883" t="str">
        <f t="shared" si="4"/>
        <v/>
      </c>
      <c r="AG59" s="883" t="str">
        <f t="shared" si="5"/>
        <v/>
      </c>
      <c r="AH59" s="884" t="str">
        <f t="shared" si="6"/>
        <v/>
      </c>
      <c r="AI59" s="317" t="str">
        <f t="shared" si="7"/>
        <v/>
      </c>
      <c r="AJ59" s="304" t="str">
        <f t="shared" si="8"/>
        <v/>
      </c>
      <c r="AK59" s="304" t="str">
        <f t="shared" si="9"/>
        <v/>
      </c>
      <c r="AL59" s="318" t="str">
        <f t="shared" si="10"/>
        <v/>
      </c>
      <c r="AM59" s="318" t="str">
        <f t="shared" si="11"/>
        <v/>
      </c>
      <c r="AN59" s="319" t="str">
        <f t="shared" si="12"/>
        <v/>
      </c>
      <c r="AO59" s="319" t="str">
        <f t="shared" si="13"/>
        <v/>
      </c>
      <c r="AP59" s="318" t="str">
        <f t="shared" si="14"/>
        <v/>
      </c>
      <c r="AQ59" s="320" t="str">
        <f t="shared" si="15"/>
        <v/>
      </c>
      <c r="AR59" s="306" t="str">
        <f t="shared" si="16"/>
        <v/>
      </c>
      <c r="AS59" s="308" t="str">
        <f t="shared" si="17"/>
        <v/>
      </c>
      <c r="AT59" s="308" t="str">
        <f t="shared" si="18"/>
        <v/>
      </c>
      <c r="AU59" s="308" t="str">
        <f t="shared" si="19"/>
        <v/>
      </c>
      <c r="AV59" s="308" t="str">
        <f t="shared" si="20"/>
        <v/>
      </c>
      <c r="AW59" s="310" t="str">
        <f t="shared" si="21"/>
        <v/>
      </c>
      <c r="AX59" s="321" t="str">
        <f t="shared" si="22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4"/>
        <v/>
      </c>
      <c r="BB59" s="314" t="str">
        <f>IF(C59="","",IF(L59="N/A",0,VLOOKUP(L59,'COST - SELL'!$B$60:$I$63,8,0)))</f>
        <v/>
      </c>
      <c r="BC59" s="313" t="str">
        <f t="shared" si="25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6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7"/>
        <v/>
      </c>
      <c r="BJ59" s="316" t="str">
        <f t="shared" si="28"/>
        <v/>
      </c>
    </row>
    <row r="60" spans="2:62" x14ac:dyDescent="0.25">
      <c r="B60" s="231">
        <f t="shared" si="3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30"/>
        <v>0</v>
      </c>
      <c r="U60" s="668">
        <v>0.3</v>
      </c>
      <c r="V60" s="669">
        <v>0.5</v>
      </c>
      <c r="W60" s="896" t="str">
        <f t="shared" si="1"/>
        <v/>
      </c>
      <c r="X60" s="694">
        <v>0.3</v>
      </c>
      <c r="Y60" s="690">
        <v>0.3</v>
      </c>
      <c r="Z60" s="667">
        <f t="shared" si="34"/>
        <v>0</v>
      </c>
      <c r="AA60" s="659">
        <f t="shared" si="35"/>
        <v>0</v>
      </c>
      <c r="AB60" s="895">
        <f t="shared" si="2"/>
        <v>0</v>
      </c>
      <c r="AC60" s="896">
        <f t="shared" si="36"/>
        <v>0</v>
      </c>
      <c r="AD60" s="181"/>
      <c r="AE60" s="883" t="str">
        <f t="shared" si="3"/>
        <v/>
      </c>
      <c r="AF60" s="883" t="str">
        <f t="shared" si="4"/>
        <v/>
      </c>
      <c r="AG60" s="883" t="str">
        <f t="shared" si="5"/>
        <v/>
      </c>
      <c r="AH60" s="884" t="str">
        <f t="shared" si="6"/>
        <v/>
      </c>
      <c r="AI60" s="317" t="str">
        <f t="shared" si="7"/>
        <v/>
      </c>
      <c r="AJ60" s="304" t="str">
        <f t="shared" si="8"/>
        <v/>
      </c>
      <c r="AK60" s="304" t="str">
        <f t="shared" si="9"/>
        <v/>
      </c>
      <c r="AL60" s="318" t="str">
        <f t="shared" si="10"/>
        <v/>
      </c>
      <c r="AM60" s="318" t="str">
        <f t="shared" si="11"/>
        <v/>
      </c>
      <c r="AN60" s="319" t="str">
        <f t="shared" si="12"/>
        <v/>
      </c>
      <c r="AO60" s="319" t="str">
        <f t="shared" si="13"/>
        <v/>
      </c>
      <c r="AP60" s="318" t="str">
        <f t="shared" si="14"/>
        <v/>
      </c>
      <c r="AQ60" s="320" t="str">
        <f t="shared" si="15"/>
        <v/>
      </c>
      <c r="AR60" s="306" t="str">
        <f t="shared" si="16"/>
        <v/>
      </c>
      <c r="AS60" s="308" t="str">
        <f t="shared" si="17"/>
        <v/>
      </c>
      <c r="AT60" s="308" t="str">
        <f t="shared" si="18"/>
        <v/>
      </c>
      <c r="AU60" s="308" t="str">
        <f t="shared" si="19"/>
        <v/>
      </c>
      <c r="AV60" s="308" t="str">
        <f t="shared" si="20"/>
        <v/>
      </c>
      <c r="AW60" s="310" t="str">
        <f t="shared" si="21"/>
        <v/>
      </c>
      <c r="AX60" s="321" t="str">
        <f t="shared" si="22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4"/>
        <v/>
      </c>
      <c r="BB60" s="314" t="str">
        <f>IF(C60="","",IF(L60="N/A",0,VLOOKUP(L60,'COST - SELL'!$B$60:$I$63,8,0)))</f>
        <v/>
      </c>
      <c r="BC60" s="313" t="str">
        <f t="shared" si="25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6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7"/>
        <v/>
      </c>
      <c r="BJ60" s="316" t="str">
        <f t="shared" si="28"/>
        <v/>
      </c>
    </row>
    <row r="61" spans="2:62" x14ac:dyDescent="0.25">
      <c r="B61" s="231">
        <f t="shared" si="3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30"/>
        <v>0</v>
      </c>
      <c r="U61" s="668">
        <v>0.3</v>
      </c>
      <c r="V61" s="669">
        <v>0.5</v>
      </c>
      <c r="W61" s="896" t="str">
        <f t="shared" si="1"/>
        <v/>
      </c>
      <c r="X61" s="694">
        <v>0.3</v>
      </c>
      <c r="Y61" s="690">
        <v>0.3</v>
      </c>
      <c r="Z61" s="667">
        <f t="shared" si="34"/>
        <v>0</v>
      </c>
      <c r="AA61" s="659">
        <f t="shared" si="35"/>
        <v>0</v>
      </c>
      <c r="AB61" s="895">
        <f t="shared" si="2"/>
        <v>0</v>
      </c>
      <c r="AC61" s="896">
        <f t="shared" si="36"/>
        <v>0</v>
      </c>
      <c r="AD61" s="181"/>
      <c r="AE61" s="883" t="str">
        <f t="shared" si="3"/>
        <v/>
      </c>
      <c r="AF61" s="883" t="str">
        <f t="shared" si="4"/>
        <v/>
      </c>
      <c r="AG61" s="883" t="str">
        <f t="shared" si="5"/>
        <v/>
      </c>
      <c r="AH61" s="884" t="str">
        <f t="shared" si="6"/>
        <v/>
      </c>
      <c r="AI61" s="317" t="str">
        <f t="shared" si="7"/>
        <v/>
      </c>
      <c r="AJ61" s="304" t="str">
        <f t="shared" si="8"/>
        <v/>
      </c>
      <c r="AK61" s="304" t="str">
        <f t="shared" si="9"/>
        <v/>
      </c>
      <c r="AL61" s="318" t="str">
        <f t="shared" si="10"/>
        <v/>
      </c>
      <c r="AM61" s="318" t="str">
        <f t="shared" si="11"/>
        <v/>
      </c>
      <c r="AN61" s="319" t="str">
        <f t="shared" si="12"/>
        <v/>
      </c>
      <c r="AO61" s="319" t="str">
        <f t="shared" si="13"/>
        <v/>
      </c>
      <c r="AP61" s="318" t="str">
        <f t="shared" si="14"/>
        <v/>
      </c>
      <c r="AQ61" s="320" t="str">
        <f t="shared" si="15"/>
        <v/>
      </c>
      <c r="AR61" s="306" t="str">
        <f t="shared" si="16"/>
        <v/>
      </c>
      <c r="AS61" s="308" t="str">
        <f t="shared" si="17"/>
        <v/>
      </c>
      <c r="AT61" s="308" t="str">
        <f t="shared" si="18"/>
        <v/>
      </c>
      <c r="AU61" s="308" t="str">
        <f t="shared" si="19"/>
        <v/>
      </c>
      <c r="AV61" s="308" t="str">
        <f t="shared" si="20"/>
        <v/>
      </c>
      <c r="AW61" s="310" t="str">
        <f t="shared" si="21"/>
        <v/>
      </c>
      <c r="AX61" s="321" t="str">
        <f t="shared" si="22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4"/>
        <v/>
      </c>
      <c r="BB61" s="314" t="str">
        <f>IF(C61="","",IF(L61="N/A",0,VLOOKUP(L61,'COST - SELL'!$B$60:$I$63,8,0)))</f>
        <v/>
      </c>
      <c r="BC61" s="313" t="str">
        <f t="shared" si="25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6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7"/>
        <v/>
      </c>
      <c r="BJ61" s="316" t="str">
        <f t="shared" si="28"/>
        <v/>
      </c>
    </row>
    <row r="62" spans="2:62" ht="15.75" thickBot="1" x14ac:dyDescent="0.3">
      <c r="B62" s="231">
        <f t="shared" si="3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30"/>
        <v>0</v>
      </c>
      <c r="U62" s="668">
        <v>0.3</v>
      </c>
      <c r="V62" s="669">
        <v>0.5</v>
      </c>
      <c r="W62" s="896" t="str">
        <f t="shared" si="1"/>
        <v/>
      </c>
      <c r="X62" s="694">
        <v>0.3</v>
      </c>
      <c r="Y62" s="690">
        <v>0.3</v>
      </c>
      <c r="Z62" s="667">
        <f t="shared" si="34"/>
        <v>0</v>
      </c>
      <c r="AA62" s="659">
        <f t="shared" si="35"/>
        <v>0</v>
      </c>
      <c r="AB62" s="895">
        <f t="shared" si="2"/>
        <v>0</v>
      </c>
      <c r="AC62" s="896">
        <f t="shared" si="36"/>
        <v>0</v>
      </c>
      <c r="AD62" s="181"/>
      <c r="AE62" s="883" t="str">
        <f t="shared" si="3"/>
        <v/>
      </c>
      <c r="AF62" s="883" t="str">
        <f t="shared" si="4"/>
        <v/>
      </c>
      <c r="AG62" s="883" t="str">
        <f t="shared" si="5"/>
        <v/>
      </c>
      <c r="AH62" s="884" t="str">
        <f t="shared" si="6"/>
        <v/>
      </c>
      <c r="AI62" s="317" t="str">
        <f t="shared" si="7"/>
        <v/>
      </c>
      <c r="AJ62" s="304" t="str">
        <f t="shared" si="8"/>
        <v/>
      </c>
      <c r="AK62" s="304" t="str">
        <f t="shared" si="9"/>
        <v/>
      </c>
      <c r="AL62" s="318" t="str">
        <f t="shared" si="10"/>
        <v/>
      </c>
      <c r="AM62" s="318" t="str">
        <f t="shared" si="11"/>
        <v/>
      </c>
      <c r="AN62" s="319" t="str">
        <f t="shared" si="12"/>
        <v/>
      </c>
      <c r="AO62" s="319" t="str">
        <f t="shared" si="13"/>
        <v/>
      </c>
      <c r="AP62" s="318" t="str">
        <f t="shared" si="14"/>
        <v/>
      </c>
      <c r="AQ62" s="320" t="str">
        <f t="shared" si="15"/>
        <v/>
      </c>
      <c r="AR62" s="306" t="str">
        <f t="shared" si="16"/>
        <v/>
      </c>
      <c r="AS62" s="308" t="str">
        <f t="shared" si="17"/>
        <v/>
      </c>
      <c r="AT62" s="308" t="str">
        <f t="shared" si="18"/>
        <v/>
      </c>
      <c r="AU62" s="308" t="str">
        <f t="shared" si="19"/>
        <v/>
      </c>
      <c r="AV62" s="308" t="str">
        <f t="shared" si="20"/>
        <v/>
      </c>
      <c r="AW62" s="310" t="str">
        <f t="shared" si="21"/>
        <v/>
      </c>
      <c r="AX62" s="321" t="str">
        <f t="shared" si="22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4"/>
        <v/>
      </c>
      <c r="BB62" s="314" t="str">
        <f>IF(C62="","",IF(L62="N/A",0,VLOOKUP(L62,'COST - SELL'!$B$60:$I$63,8,0)))</f>
        <v/>
      </c>
      <c r="BC62" s="313" t="str">
        <f t="shared" si="25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6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7"/>
        <v/>
      </c>
      <c r="BJ62" s="316" t="str">
        <f t="shared" si="28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3" t="str">
        <f>IF('FILL QUOTE-CALCULATIONS'!S4="INGLES","DESCRIPTION OF ADDITIONAL SERVICES","DESCRIPCION DE SERVICIOS ADICIONALES")</f>
        <v>DESCRIPTION OF ADDITIONAL SERVICES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/>
      <c r="AD64" s="181"/>
    </row>
    <row r="65" spans="2:35" ht="18.75" x14ac:dyDescent="0.25">
      <c r="B65" s="231">
        <f t="shared" ref="B65:B67" si="38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/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1841.5500000000002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0.49805734299910404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917.1975000000001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924.35250000000008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LIST'!$P$16:$P$25</xm:f>
          </x14:formula1>
          <xm:sqref>U15:U62 X15:X62</xm:sqref>
        </x14:dataValidation>
        <x14:dataValidation type="list" allowBlank="1" showInputMessage="1" showErrorMessage="1">
          <x14:formula1>
            <xm:f>'DROP LIST'!$F$36:$F$38</xm:f>
          </x14:formula1>
          <xm:sqref>L4</xm:sqref>
        </x14:dataValidation>
        <x14:dataValidation type="list" allowBlank="1" showInputMessage="1" showErrorMessage="1">
          <x14:formula1>
            <xm:f>'DROP LIST'!$Q$16:$Q$25</xm:f>
          </x14:formula1>
          <xm:sqref>V15:W62 Y15:Y62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LIST'!$H$25:$H$37</xm:f>
          </x14:formula1>
          <xm:sqref>Q15:Q62</xm:sqref>
        </x14:dataValidation>
        <x14:dataValidation type="list" allowBlank="1" showInputMessage="1" showErrorMessage="1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6" t="s">
        <v>172</v>
      </c>
      <c r="G7" s="947"/>
      <c r="H7" s="948"/>
      <c r="J7" s="949" t="s">
        <v>329</v>
      </c>
      <c r="L7" s="946" t="s">
        <v>172</v>
      </c>
      <c r="M7" s="947"/>
      <c r="N7" s="948"/>
    </row>
    <row r="8" spans="2:16" ht="15" hidden="1" customHeight="1" x14ac:dyDescent="0.25">
      <c r="B8" s="958" t="s">
        <v>328</v>
      </c>
      <c r="C8" s="959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0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0"/>
      <c r="C9" s="961"/>
      <c r="D9" s="437">
        <v>0.4</v>
      </c>
      <c r="F9" s="438" t="s">
        <v>77</v>
      </c>
      <c r="G9" s="438" t="s">
        <v>174</v>
      </c>
      <c r="H9" s="438" t="s">
        <v>175</v>
      </c>
      <c r="J9" s="951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6" t="s">
        <v>172</v>
      </c>
      <c r="F22" s="947"/>
      <c r="G22" s="948"/>
      <c r="O22" s="946" t="s">
        <v>172</v>
      </c>
      <c r="P22" s="947"/>
      <c r="Q22" s="948"/>
    </row>
    <row r="23" spans="2:17" hidden="1" x14ac:dyDescent="0.25">
      <c r="B23" s="952" t="s">
        <v>181</v>
      </c>
      <c r="C23" s="953"/>
      <c r="D23" s="954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2" t="s">
        <v>185</v>
      </c>
      <c r="K23" s="953"/>
      <c r="L23" s="953"/>
      <c r="M23" s="953"/>
      <c r="N23" s="954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5"/>
      <c r="C24" s="956"/>
      <c r="D24" s="957"/>
      <c r="E24" s="438" t="s">
        <v>77</v>
      </c>
      <c r="F24" s="438" t="s">
        <v>174</v>
      </c>
      <c r="G24" s="438" t="s">
        <v>175</v>
      </c>
      <c r="J24" s="955"/>
      <c r="K24" s="956"/>
      <c r="L24" s="956"/>
      <c r="M24" s="956"/>
      <c r="N24" s="957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6" t="s">
        <v>172</v>
      </c>
      <c r="H32" s="947"/>
      <c r="I32" s="948"/>
    </row>
    <row r="33" spans="1:12" hidden="1" x14ac:dyDescent="0.25">
      <c r="B33" s="962" t="s">
        <v>662</v>
      </c>
      <c r="C33" s="963"/>
      <c r="D33" s="963"/>
      <c r="E33" s="963"/>
      <c r="F33" s="964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5"/>
      <c r="C34" s="966"/>
      <c r="D34" s="966"/>
      <c r="E34" s="966"/>
      <c r="F34" s="967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6" t="s">
        <v>172</v>
      </c>
      <c r="H56" s="947"/>
      <c r="I56" s="948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6" t="s">
        <v>172</v>
      </c>
      <c r="H67" s="937"/>
      <c r="I67" s="937"/>
      <c r="J67" s="937"/>
      <c r="K67" s="936" t="s">
        <v>172</v>
      </c>
      <c r="L67" s="937"/>
      <c r="M67" s="937"/>
      <c r="N67" s="938"/>
      <c r="O67" s="457"/>
      <c r="P67" s="936" t="s">
        <v>172</v>
      </c>
      <c r="Q67" s="937"/>
      <c r="R67" s="937"/>
      <c r="S67" s="938"/>
    </row>
    <row r="68" spans="2:19" ht="15.75" hidden="1" x14ac:dyDescent="0.25">
      <c r="C68" s="936" t="s">
        <v>196</v>
      </c>
      <c r="D68" s="937"/>
      <c r="E68" s="937"/>
      <c r="F68" s="938"/>
      <c r="G68" s="930">
        <f>'MARK UP''s'!D12</f>
        <v>0.5</v>
      </c>
      <c r="H68" s="931"/>
      <c r="I68" s="931"/>
      <c r="J68" s="931"/>
      <c r="K68" s="930">
        <f>'MARK UP''s'!E12</f>
        <v>0.4</v>
      </c>
      <c r="L68" s="931"/>
      <c r="M68" s="931"/>
      <c r="N68" s="932"/>
      <c r="O68" s="458"/>
      <c r="P68" s="930">
        <f>'MARK UP''s'!F12</f>
        <v>0.3</v>
      </c>
      <c r="Q68" s="931"/>
      <c r="R68" s="931"/>
      <c r="S68" s="932"/>
    </row>
    <row r="69" spans="2:19" ht="16.5" hidden="1" thickBot="1" x14ac:dyDescent="0.3">
      <c r="C69" s="927" t="s">
        <v>77</v>
      </c>
      <c r="D69" s="928"/>
      <c r="E69" s="928"/>
      <c r="F69" s="929"/>
      <c r="G69" s="927" t="s">
        <v>77</v>
      </c>
      <c r="H69" s="928"/>
      <c r="I69" s="928"/>
      <c r="J69" s="928"/>
      <c r="K69" s="927" t="s">
        <v>174</v>
      </c>
      <c r="L69" s="928"/>
      <c r="M69" s="928"/>
      <c r="N69" s="929"/>
      <c r="O69" s="459"/>
      <c r="P69" s="927" t="s">
        <v>175</v>
      </c>
      <c r="Q69" s="928"/>
      <c r="R69" s="928"/>
      <c r="S69" s="929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3" t="s">
        <v>172</v>
      </c>
      <c r="E78" s="934"/>
      <c r="F78" s="935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9" t="s">
        <v>708</v>
      </c>
      <c r="C98" s="940"/>
      <c r="D98" s="943" t="s">
        <v>339</v>
      </c>
      <c r="E98" s="944"/>
      <c r="F98" s="944"/>
      <c r="G98" s="944"/>
      <c r="H98" s="944"/>
      <c r="I98" s="945"/>
    </row>
    <row r="99" spans="2:9" ht="15.75" hidden="1" thickBot="1" x14ac:dyDescent="0.3">
      <c r="B99" s="941"/>
      <c r="C99" s="942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'DROP LIST'!$P$11:$P$12</xm:f>
          </x14:formula1>
          <xm:sqref>AA4:AG4</xm:sqref>
        </x14:dataValidation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LIST'!$P$16:$P$25</xm:f>
          </x14:formula1>
          <xm:sqref>AI70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LIST'!$P$11:$P$12</xm:f>
          </x14:formula1>
          <xm:sqref>AA4:AG4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LIST'!$P$16:$P$25</xm:f>
          </x14:formula1>
          <xm:sqref>AI70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'DROP LIST'!$M$15:$M$35</xm:f>
          </x14:formula1>
          <xm:sqref>I15:I62</xm:sqref>
        </x14:dataValidation>
        <x14:dataValidation type="list" allowBlank="1" showInputMessage="1" showErrorMessage="1">
          <x14:formula1>
            <xm:f>'DROP LIST'!$P$11:$P$12</xm:f>
          </x14:formula1>
          <xm:sqref>AA4:AG4</xm:sqref>
        </x14:dataValidation>
        <x14:dataValidation type="list" allowBlank="1" showInputMessage="1" showErrorMessage="1">
          <x14:formula1>
            <xm:f>'DROP LIST'!$P$7:$P$8</xm:f>
          </x14:formula1>
          <xm:sqref>S4</xm:sqref>
        </x14:dataValidation>
        <x14:dataValidation type="list" allowBlank="1" showInputMessage="1" showErrorMessage="1">
          <x14:formula1>
            <xm:f>'DROP LIST'!$E$25:$E$27</xm:f>
          </x14:formula1>
          <xm:sqref>P15:P62</xm:sqref>
        </x14:dataValidation>
        <x14:dataValidation type="list" allowBlank="1" showInputMessage="1" showErrorMessage="1">
          <x14:formula1>
            <xm:f>'DROP LIST'!$B$25:$B$31</xm:f>
          </x14:formula1>
          <xm:sqref>L15:L62</xm:sqref>
        </x14:dataValidation>
        <x14:dataValidation type="list" allowBlank="1" showInputMessage="1" showErrorMessage="1">
          <x14:formula1>
            <xm:f>'DROP LIST'!$M$7:$M$10</xm:f>
          </x14:formula1>
          <xm:sqref>H15:H62</xm:sqref>
        </x14:dataValidation>
        <x14:dataValidation type="list" allowBlank="1" showInputMessage="1" showErrorMessage="1">
          <x14:formula1>
            <xm:f>'DROP LIST'!$E$7:$E$15</xm:f>
          </x14:formula1>
          <xm:sqref>E15:E62</xm:sqref>
        </x14:dataValidation>
        <x14:dataValidation type="list" allowBlank="1" showInputMessage="1" showErrorMessage="1">
          <x14:formula1>
            <xm:f>'DROP LIST'!$H$7:$H$19</xm:f>
          </x14:formula1>
          <xm:sqref>F15:F62</xm:sqref>
        </x14:dataValidation>
        <x14:dataValidation type="list" allowBlank="1" showInputMessage="1" showErrorMessage="1">
          <x14:formula1>
            <xm:f>'DROP LIST'!$B$7:$B$13</xm:f>
          </x14:formula1>
          <xm:sqref>D15:D62</xm:sqref>
        </x14:dataValidation>
        <x14:dataValidation type="list" allowBlank="1" showInputMessage="1" showErrorMessage="1">
          <x14:formula1>
            <xm:f>'DROP LIST'!$K$7:$K$14</xm:f>
          </x14:formula1>
          <xm:sqref>G15:G62</xm:sqref>
        </x14:dataValidation>
        <x14:dataValidation type="list" allowBlank="1" showInputMessage="1" showErrorMessage="1">
          <x14:formula1>
            <xm:f>'DROP LIST'!$P$16:$P$25</xm:f>
          </x14:formula1>
          <xm:sqref>AI70</xm:sqref>
        </x14:dataValidation>
        <x14:dataValidation type="list" allowBlank="1" showInputMessage="1" showErrorMessage="1">
          <x14:formula1>
            <xm:f>'DROP LIST'!$H$43:$H$46</xm:f>
          </x14:formula1>
          <xm:sqref>S15:S62</xm:sqref>
        </x14:dataValidation>
        <x14:dataValidation type="list" allowBlank="1" showInputMessage="1" showErrorMessage="1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LENOVO</cp:lastModifiedBy>
  <cp:lastPrinted>2025-10-31T19:21:52Z</cp:lastPrinted>
  <dcterms:created xsi:type="dcterms:W3CDTF">2021-02-10T23:07:35Z</dcterms:created>
  <dcterms:modified xsi:type="dcterms:W3CDTF">2025-12-08T19:42:24Z</dcterms:modified>
</cp:coreProperties>
</file>