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LICIA VALTIERRA\orden final\"/>
    </mc:Choice>
  </mc:AlternateContent>
  <xr:revisionPtr revIDLastSave="0" documentId="8_{CA157C34-1DCC-4435-AE9A-BD74D5264298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5" l="1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/>
  <c r="AK15" i="5"/>
  <c r="AS15" i="5"/>
  <c r="AT15" i="5"/>
  <c r="AX15" i="5"/>
  <c r="BG15" i="5" s="1"/>
  <c r="AY15" i="5"/>
  <c r="BH15" i="5" s="1"/>
  <c r="AZ15" i="5"/>
  <c r="BB15" i="5"/>
  <c r="BD15" i="5"/>
  <c r="B16" i="5"/>
  <c r="J16" i="5"/>
  <c r="AE16" i="5"/>
  <c r="AF16" i="5"/>
  <c r="AG16" i="5"/>
  <c r="AH16" i="5"/>
  <c r="AJ16" i="5" s="1"/>
  <c r="AK16" i="5"/>
  <c r="AS16" i="5"/>
  <c r="AT16" i="5"/>
  <c r="AX16" i="5"/>
  <c r="AY16" i="5"/>
  <c r="BH16" i="5" s="1"/>
  <c r="AZ16" i="5"/>
  <c r="BB16" i="5"/>
  <c r="BD16" i="5"/>
  <c r="BG16" i="5"/>
  <c r="B17" i="5"/>
  <c r="J17" i="5"/>
  <c r="AE17" i="5"/>
  <c r="AF17" i="5"/>
  <c r="AG17" i="5"/>
  <c r="AH17" i="5"/>
  <c r="AI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BG18" i="5"/>
  <c r="B19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B20" i="5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B21" i="5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BC25" i="5" l="1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N17" i="5" s="1"/>
  <c r="AP17" i="5" s="1"/>
  <c r="BA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BC31" i="5" l="1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Q17" i="5"/>
  <c r="AN16" i="5"/>
  <c r="AP16" i="5" s="1"/>
  <c r="AQ16" i="5" s="1"/>
  <c r="AO20" i="5"/>
  <c r="BE20" i="5" s="1"/>
  <c r="AO19" i="5"/>
  <c r="BE19" i="5" s="1"/>
  <c r="AO17" i="5"/>
  <c r="BE17" i="5" s="1"/>
  <c r="BF17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AW27" i="5" l="1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BJ17" i="5"/>
  <c r="T17" i="5"/>
  <c r="T20" i="5"/>
  <c r="T22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BJ29" i="5" l="1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T18" i="5"/>
  <c r="Z18" i="5" s="1"/>
  <c r="AA18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C85" i="10"/>
  <c r="T16" i="5" l="1"/>
  <c r="Z16" i="5" s="1"/>
  <c r="AA16" i="5" s="1"/>
  <c r="AB18" i="5"/>
  <c r="AC18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6" i="5" l="1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<sst xmlns="http://schemas.openxmlformats.org/spreadsheetml/2006/main" count="9411" uniqueCount="758">
  <si>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</si>
  <si>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</si>
  <si>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</si>
  <si>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</si>
  <si>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</si>
  <si>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</si>
  <si>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</si>
  <si>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</si>
  <si>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</si>
  <si>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</si>
  <si>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</si>
  <si>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</si>
  <si>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</si>
  <si>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</si>
  <si>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</si>
  <si>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</si>
  <si>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</si>
  <si>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</si>
  <si>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</si>
  <si>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</si>
  <si>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</si>
  <si>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</si>
  <si>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</si>
  <si>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</si>
  <si>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</si>
  <si>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</si>
  <si>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</si>
  <si>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</si>
  <si>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</si>
  <si>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</si>
  <si>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</si>
  <si>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</si>
  <si>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</si>
  <si>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</si>
  <si>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</si>
  <si>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</si>
  <si>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</si>
  <si>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</si>
  <si>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</si>
  <si>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</si>
  <si>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</si>
  <si>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</si>
  <si>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</si>
  <si>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</si>
  <si>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</si>
  <si>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</si>
  <si>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</si>
  <si>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</si>
  <si>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</si>
  <si>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</si>
  <si>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</si>
  <si>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</si>
  <si>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</si>
  <si>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</si>
  <si>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</si>
  <si>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</si>
  <si>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</si>
  <si>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</si>
  <si>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</si>
  <si>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</si>
  <si>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</si>
  <si>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</si>
  <si>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</si>
  <si>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</si>
  <si>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</si>
  <si>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</si>
  <si>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</si>
  <si>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</si>
  <si>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</si>
  <si>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</si>
  <si>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</si>
  <si>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</si>
  <si>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</si>
  <si>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</si>
  <si>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</si>
  <si>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</si>
  <si>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</si>
  <si>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</si>
  <si>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</si>
  <si>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</si>
  <si>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</si>
  <si>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</si>
  <si>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</si>
  <si>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</si>
  <si>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</si>
  <si>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</si>
  <si>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</si>
  <si>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</si>
  <si>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</si>
  <si>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</si>
  <si>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</si>
  <si>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</si>
  <si>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</si>
  <si>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</si>
  <si>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</si>
  <si>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</si>
  <si>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</si>
  <si>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</si>
  <si>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</si>
  <si>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</si>
  <si>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</si>
  <si>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</si>
  <si>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</si>
  <si>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</si>
  <si>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</si>
  <si>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</si>
  <si>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</si>
  <si>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</si>
  <si>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</si>
  <si>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</si>
  <si>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</si>
  <si>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</si>
  <si>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</si>
  <si>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</si>
  <si>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</si>
  <si>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</si>
  <si>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</si>
  <si>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</si>
  <si>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</si>
  <si>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</si>
  <si>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</si>
  <si>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</si>
  <si>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</si>
  <si>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</si>
  <si>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</si>
  <si>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</si>
  <si>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</si>
  <si>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</si>
  <si>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</si>
  <si>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</si>
  <si>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</si>
  <si>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</si>
  <si>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</si>
  <si>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</si>
  <si>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</si>
  <si>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</si>
  <si>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</si>
  <si>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</si>
  <si>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</si>
  <si>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</si>
  <si>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</si>
  <si>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</si>
  <si>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</si>
  <si>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</si>
  <si>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</si>
  <si>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</si>
  <si>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</si>
  <si>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</si>
  <si>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</si>
  <si>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</si>
  <si>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</si>
  <si>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</si>
  <si>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</si>
  <si>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</si>
  <si>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</si>
  <si>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</si>
  <si>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</si>
  <si>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</si>
  <si>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</si>
  <si>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</si>
  <si>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</si>
  <si>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</si>
  <si>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</si>
  <si>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</si>
  <si>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</si>
  <si>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</si>
  <si>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</si>
  <si>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</si>
  <si>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</si>
  <si>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</si>
  <si>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</si>
  <si>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</si>
  <si>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</si>
  <si>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</si>
  <si>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</si>
  <si>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</si>
  <si>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</si>
  <si>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</si>
  <si>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</si>
  <si>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</si>
  <si>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</si>
  <si>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</si>
  <si>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</si>
  <si>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</si>
  <si>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</si>
  <si>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</si>
  <si>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</si>
  <si>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</si>
  <si>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</si>
  <si>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</si>
  <si>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</si>
  <si>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</si>
  <si>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</si>
  <si>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</si>
  <si>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</si>
  <si>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</si>
  <si>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</si>
  <si>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</si>
  <si>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</si>
  <si>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</si>
  <si>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</si>
  <si>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</si>
  <si>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</si>
  <si>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</si>
  <si>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</si>
  <si>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</si>
  <si>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</si>
  <si>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</si>
  <si>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</si>
  <si>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</si>
  <si>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</si>
  <si>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</si>
  <si>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</si>
  <si>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</si>
  <si>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</si>
  <si>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</si>
  <si>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</si>
  <si>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</si>
  <si>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</si>
  <si>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</si>
  <si>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</si>
  <si>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</si>
  <si>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</si>
  <si>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</si>
  <si>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</si>
  <si>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</si>
  <si>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</si>
  <si>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</si>
  <si>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</si>
  <si>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</si>
  <si>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</si>
  <si>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</si>
  <si>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</si>
  <si>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</si>
  <si>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</si>
  <si>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</si>
  <si>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</si>
  <si>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</si>
  <si>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</si>
  <si>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</si>
  <si>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</si>
  <si>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</si>
  <si>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</si>
  <si>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</si>
  <si>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</si>
  <si>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</si>
  <si>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</si>
  <si>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</si>
  <si>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</si>
  <si>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</si>
  <si>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</si>
  <si>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</si>
  <si>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</si>
  <si>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</si>
  <si>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</si>
  <si>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</si>
  <si>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</si>
  <si>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</si>
  <si>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</si>
  <si>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</si>
  <si>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</si>
  <si>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</si>
  <si>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</si>
  <si>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</si>
  <si>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</si>
  <si>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</si>
  <si>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</si>
  <si>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</si>
  <si>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</si>
  <si>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</si>
  <si>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</si>
  <si>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</si>
  <si>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</si>
  <si>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</si>
  <si>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</si>
  <si>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</si>
  <si>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</si>
  <si>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</si>
  <si>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</si>
  <si>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</si>
  <si>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</si>
  <si>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</si>
  <si>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</si>
  <si>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</si>
  <si>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</si>
  <si>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</si>
  <si>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</si>
  <si>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</si>
  <si>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</si>
  <si>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</si>
  <si>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</si>
  <si>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</si>
  <si>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</si>
  <si>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</si>
  <si>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</si>
  <si>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</si>
  <si>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</si>
  <si>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</si>
  <si>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</si>
  <si>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</si>
  <si>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</si>
  <si>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</si>
  <si>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</si>
  <si>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</si>
  <si>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</si>
  <si>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</si>
  <si>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</si>
  <si>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</si>
  <si>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</si>
  <si>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</si>
  <si>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</si>
  <si>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</si>
  <si>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</si>
  <si>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</si>
  <si>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</si>
  <si>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</si>
  <si>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</si>
  <si>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</si>
  <si>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</si>
  <si>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</si>
  <si>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</si>
  <si>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</si>
  <si>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</si>
  <si>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</si>
  <si>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</si>
  <si>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</si>
  <si>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</si>
  <si>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</si>
  <si>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</si>
  <si>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</si>
  <si>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</si>
  <si>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</si>
  <si>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</si>
  <si>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</si>
  <si>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</si>
  <si>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</si>
  <si>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</si>
  <si>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</si>
  <si>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</si>
  <si>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</si>
  <si>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</si>
  <si>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</si>
  <si>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</si>
  <si>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</si>
  <si>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</si>
  <si>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</si>
  <si>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</si>
  <si>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</si>
  <si>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</si>
  <si>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</si>
  <si>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</si>
  <si>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</si>
  <si>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</si>
  <si>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</si>
  <si>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</si>
  <si>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</si>
  <si>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</si>
  <si>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</si>
  <si>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</si>
  <si>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</si>
  <si>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</si>
  <si>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</si>
  <si>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</si>
  <si>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</si>
  <si>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</si>
  <si>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</si>
  <si>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</si>
  <si>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</si>
  <si>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</si>
  <si>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</si>
  <si>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</si>
  <si>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</si>
  <si>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</si>
  <si>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</si>
  <si>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</si>
  <si>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</si>
  <si>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</si>
  <si>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</si>
  <si>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</si>
  <si>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</si>
  <si>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</si>
  <si>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</si>
  <si>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</si>
  <si>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</si>
  <si>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</si>
  <si>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</si>
  <si>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</si>
  <si>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</si>
  <si>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</si>
  <si>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</si>
  <si>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</si>
  <si>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</si>
  <si>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</si>
  <si>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</si>
  <si>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</si>
  <si>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</si>
  <si>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</si>
  <si>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</si>
  <si>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</si>
  <si>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</si>
  <si>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</si>
  <si>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</si>
  <si>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</si>
  <si>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</si>
  <si>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</si>
  <si>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</si>
  <si>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</si>
  <si>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</si>
  <si>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</si>
  <si>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</si>
  <si>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</si>
  <si>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</si>
  <si>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</si>
  <si>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</si>
  <si>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</si>
  <si>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</si>
  <si>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</si>
  <si>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</si>
  <si>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</si>
  <si>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</si>
  <si>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</si>
  <si>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</si>
  <si>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</si>
  <si>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</si>
  <si>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</si>
  <si>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</si>
  <si>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</si>
  <si>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</si>
  <si>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</si>
  <si>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</si>
  <si>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</si>
  <si>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</si>
  <si>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</si>
  <si>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</si>
  <si>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</si>
  <si>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</si>
  <si>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</si>
  <si>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</si>
  <si>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</si>
  <si>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</si>
  <si>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</si>
  <si>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</si>
  <si>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</si>
  <si>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</si>
  <si>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</si>
  <si>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</si>
  <si>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</si>
  <si>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</si>
  <si>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</si>
  <si>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</si>
  <si>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</si>
  <si>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</si>
  <si>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</si>
  <si>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</si>
  <si>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</si>
  <si>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</si>
  <si>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</si>
  <si>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</si>
  <si>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</si>
  <si>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</si>
  <si>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</si>
  <si>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</si>
  <si>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</si>
  <si>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</si>
  <si>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</si>
  <si>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</si>
  <si>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</si>
  <si>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</si>
  <si>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</si>
  <si>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</si>
  <si>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</si>
  <si>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</si>
  <si>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</si>
  <si>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</si>
  <si>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</si>
  <si>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</si>
  <si>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</si>
  <si>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</si>
  <si>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</si>
  <si>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</si>
  <si>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</si>
  <si>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</si>
  <si>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</si>
  <si>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</si>
  <si>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</si>
  <si>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</si>
  <si>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</si>
  <si>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</si>
  <si>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</si>
  <si>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</si>
  <si>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</si>
  <si>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</si>
  <si>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</si>
  <si>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</si>
  <si>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</si>
  <si>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</si>
  <si>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</si>
  <si>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</si>
  <si>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</si>
  <si>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</si>
  <si>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</si>
  <si>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</si>
  <si>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</si>
  <si>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</si>
  <si>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</si>
  <si>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</si>
  <si>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</si>
  <si>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</si>
  <si>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</si>
  <si>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</si>
  <si>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</si>
  <si>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</si>
  <si>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</si>
  <si>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</si>
  <si>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</si>
  <si>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</si>
  <si>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</si>
  <si>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</si>
  <si>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</si>
  <si>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</si>
  <si>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</si>
  <si>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</si>
  <si>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</si>
  <si>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</si>
  <si>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</si>
  <si>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</si>
  <si>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</si>
  <si>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</si>
  <si>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</si>
  <si>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</si>
  <si>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</si>
  <si>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</si>
  <si>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</si>
  <si>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</si>
  <si>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</si>
  <si>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</si>
  <si>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</si>
  <si>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</si>
  <si>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</si>
  <si>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</si>
  <si>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</si>
  <si>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</si>
  <si>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</si>
  <si>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</si>
  <si>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</si>
  <si>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</si>
  <si>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</si>
  <si>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</si>
  <si>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</si>
  <si>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</si>
  <si>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</si>
  <si>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</si>
  <si>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</si>
  <si>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</si>
  <si>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</si>
  <si>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</si>
  <si>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</si>
  <si>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</si>
  <si>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</si>
  <si>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</si>
  <si>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</si>
  <si>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</si>
  <si>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</si>
  <si>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</si>
  <si>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</si>
  <si>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</si>
  <si>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</si>
  <si>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</si>
  <si>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</si>
  <si>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</si>
  <si>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</si>
  <si>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</si>
  <si>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</si>
  <si>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</si>
  <si>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</si>
  <si>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</si>
  <si>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</si>
  <si>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</si>
  <si>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</si>
  <si>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</si>
  <si>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</si>
  <si>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</si>
  <si>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</si>
  <si>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</si>
  <si>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</si>
  <si>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</si>
  <si>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</si>
  <si>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</si>
  <si>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</si>
  <si>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</si>
  <si>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</si>
  <si>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</si>
  <si>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</si>
  <si>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</si>
  <si>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</si>
  <si>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</si>
  <si>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</si>
  <si>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</si>
  <si>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</si>
  <si>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</si>
  <si>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</si>
  <si>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</si>
  <si>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</si>
  <si>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</si>
  <si>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</si>
  <si>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</si>
  <si>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</si>
  <si>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</si>
  <si>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</si>
  <si>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</si>
  <si>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</si>
  <si>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</si>
  <si>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</si>
  <si>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</si>
  <si>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</si>
  <si>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</si>
  <si>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</si>
  <si>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</si>
  <si>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</si>
  <si>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</si>
  <si>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</si>
  <si>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</si>
  <si>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</si>
  <si>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</si>
  <si>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</si>
  <si>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</si>
  <si>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</si>
  <si>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</si>
  <si>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</si>
  <si>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</si>
  <si>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</si>
  <si>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</si>
  <si>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</si>
  <si>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</si>
  <si>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</si>
  <si>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</si>
  <si>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</si>
  <si>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</si>
  <si>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</si>
  <si>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</si>
  <si>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</si>
  <si>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</si>
  <si>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</si>
  <si>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</si>
  <si>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</si>
  <si>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</si>
  <si>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</si>
  <si>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</si>
  <si>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</si>
  <si>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</si>
  <si>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</si>
  <si>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</si>
  <si>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</si>
  <si>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</si>
  <si>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</si>
  <si>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</si>
  <si>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</si>
  <si>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</si>
  <si>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</si>
  <si>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</si>
  <si>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</si>
  <si>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</si>
  <si>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</si>
  <si>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</si>
  <si>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</si>
  <si>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</si>
  <si>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</si>
  <si>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</si>
  <si>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</si>
  <si>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</si>
  <si>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</si>
  <si>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</si>
  <si>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</si>
  <si>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</si>
  <si>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</si>
  <si>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</si>
  <si>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</si>
  <si>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</si>
  <si>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</si>
  <si>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</si>
  <si>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</si>
  <si>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</si>
  <si>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</si>
  <si>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</si>
  <si>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</si>
  <si>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</si>
  <si>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</si>
  <si>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</si>
  <si>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</si>
  <si>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</si>
  <si>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</si>
  <si>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</si>
  <si>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</si>
  <si>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</si>
  <si>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</si>
  <si>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</si>
  <si>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</si>
  <si>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</si>
  <si>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</si>
  <si>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</si>
  <si>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</si>
  <si>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</si>
  <si>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</si>
  <si>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</si>
  <si>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</si>
  <si>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</si>
  <si>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</si>
  <si>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</si>
  <si>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</si>
  <si>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</si>
  <si>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</si>
  <si>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</si>
  <si>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</si>
  <si>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</si>
  <si>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</si>
  <si>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</si>
  <si>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</si>
  <si>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</si>
  <si>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</si>
  <si>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</si>
  <si>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</si>
  <si>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</si>
  <si>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</si>
  <si>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</si>
  <si>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</si>
  <si>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</si>
  <si>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</si>
  <si>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</si>
  <si>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</si>
  <si>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</si>
  <si>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</si>
  <si>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</si>
  <si>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</si>
  <si>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</si>
  <si>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</si>
  <si>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</si>
  <si>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</si>
  <si>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</si>
  <si>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</si>
  <si>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</si>
  <si>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</si>
  <si>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</si>
  <si>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</si>
  <si>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</si>
  <si>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</si>
  <si>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</si>
  <si>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</si>
  <si>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</si>
  <si>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</si>
  <si>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</si>
  <si>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</si>
  <si>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ALICIA VALTIERRA </t>
  </si>
  <si>
    <t xml:space="preserve">RESIDENCIA ALICA VALTIERRA </t>
  </si>
  <si>
    <t xml:space="preserve">C. STA. CLAUDIA 5816  HACIENDA DE AGUA CALIENTE </t>
  </si>
  <si>
    <t>32°29'36.4"N 117°00'03.9"W</t>
  </si>
  <si>
    <t xml:space="preserve">BS 241023 CASA  REV 1  </t>
  </si>
  <si>
    <t>VF-TT26-10-0</t>
  </si>
  <si>
    <t xml:space="preserve">SALA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</si>
</sst>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434D5F"/>
      <name val="Arial"/>
      <family val="2"/>
    </font>
    <font>
      <sz val="10"/>
      <color rgb="FF20212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61" fillId="0" borderId="0" xfId="0" applyFont="1"/>
    <xf numFmtId="0" fontId="62" fillId="0" borderId="0" xfId="0" applyFont="1" applyAlignment="1">
      <alignment horizontal="left" vertical="center" wrapText="1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8</xdr:row>
      <xdr:rowOff>316349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Local%20Settings\Temporary%20Internet%20Files\Content.Outlook\OB4X7RL1\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iguera\Documents\!!%20QUOTES\MASTER%20FOR%20QUOTES\OLD%20MASTER%20TEMPLATES%20FOR%20QUOTING\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85" zoomScaleNormal="85" workbookViewId="0">
      <selection activeCell="D12" sqref="D12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241023 CASA  REV 1 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RESIDENCIA ALICA VALTIERRA </v>
      </c>
      <c r="L4" s="340"/>
      <c r="N4" s="340" t="str">
        <f>'FILL QUOTE-CALCULATIONS'!O6</f>
        <v xml:space="preserve">C. STA. CLAUDIA 5816  HACIENDA DE AGUA CALIENTE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ALICIA VALTIERRA </v>
      </c>
      <c r="L7" s="340"/>
      <c r="N7" s="347" t="str">
        <f>'FILL QUOTE-CALCULATIONS'!O9</f>
        <v>32°29'36.4"N 117°00'03.9"W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45588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PNL-IZQ.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>VF-TT26-10-0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SALA </v>
      </c>
      <c r="N12" s="362">
        <f>IF(OR(C12&lt;1,C12=""),"",'FILL QUOTE-CALCULATIONS'!N15)</f>
        <v>108</v>
      </c>
      <c r="O12" s="362">
        <f>IF(OR(C12&lt;1,C12=""),"",'FILL QUOTE-CALCULATIONS'!O15)</f>
        <v>103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HOTELERO - BASTON - RIPP.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BLANCO</v>
      </c>
      <c r="T12" s="363">
        <f>IF(OR(C12&lt;1,C12=""),"",'FILL QUOTE-CALCULATIONS'!T15)</f>
        <v>538.45000000000005</v>
      </c>
      <c r="U12" s="364">
        <f>IF(OR(C12&lt;1,C12=""),"",'FILL QUOTE-CALCULATIONS'!W15)</f>
        <v>134.1</v>
      </c>
      <c r="V12" s="365">
        <f>IF(OR(C12&lt;1,C12=""),"",IF('FILL QUOTE-CALCULATIONS'!$S$3="DOLLARS",'FILL QUOTE-CALCULATIONS'!AB15,'FILL QUOTE-CALCULATIONS'!AB15*'FILL QUOTE-CALCULATIONS'!$AC$4))</f>
        <v>672.55000000000007</v>
      </c>
      <c r="W12" s="366">
        <f>IF(OR(C12&lt;1,C12=""),"",IF('FILL QUOTE-CALCULATIONS'!$S$3="DOLLARS",'FILL QUOTE-CALCULATIONS'!AC15,'FILL QUOTE-CALCULATIONS'!AC15*'FILL QUOTE-CALCULATIONS'!$AC$4))</f>
        <v>672.55000000000007</v>
      </c>
      <c r="Y12" s="327"/>
      <c r="AA12" s="695" t="s">
        <v>746</v>
      </c>
    </row>
    <row r="13" spans="2:27" s="353" customFormat="1" ht="30" customHeight="1" x14ac:dyDescent="0.25">
      <c r="B13" s="359" t="str">
        <f>IF(OR('FILL QUOTE-CALCULATIONS'!C16=0,'FILL QUOTE-CALCULATIONS'!C16=""),"",'FILL QUOTE-CALCULATIONS'!B16)</f>
        <v/>
      </c>
      <c r="C13" s="360" t="str">
        <f>IF(OR('FILL QUOTE-CALCULATIONS'!C16&lt;1,'FILL QUOTE-CALCULATIONS'!C16=""),"",'FILL QUOTE-CALCULATIONS'!C16)</f>
        <v/>
      </c>
      <c r="D13" s="360" t="str">
        <f>IF(OR(C13&lt;1,C13=""),"",IF('FILL QUOTE-CALCULATIONS'!$S$4="INGLES",'FILL QUOTE-CALCULATIONS'!D16,VLOOKUP('FILL QUOTE-CALCULATIONS'!D16,'DROP LIST'!$B$7:$C$13,2,0)))</f>
        <v/>
      </c>
      <c r="E13" s="360" t="str">
        <f>IF(OR(C13&lt;1,C13=""),"",IF('FILL QUOTE-CALCULATIONS'!$S$4="INGLES",'FILL QUOTE-CALCULATIONS'!E16,VLOOKUP('FILL QUOTE-CALCULATIONS'!E16,'DROP LIST'!$E$7:$F$15,2,0)))</f>
        <v/>
      </c>
      <c r="F13" s="360" t="str">
        <f>IF(OR(C13&lt;1,C13=""),"",IF('FILL QUOTE-CALCULATIONS'!$S$4="INGLES",'FILL QUOTE-CALCULATIONS'!F16,VLOOKUP('FILL QUOTE-CALCULATIONS'!F16,'DROP LIST'!$H$7:$I$19,2,0)))</f>
        <v/>
      </c>
      <c r="G13" s="361" t="str">
        <f>IF(OR(C13&lt;1,C13=""),"",'FILL QUOTE-CALCULATIONS'!G16)</f>
        <v/>
      </c>
      <c r="H13" s="360" t="str">
        <f>IF(OR(C13&lt;1,C13=""),"",IF('FILL QUOTE-CALCULATIONS'!$S$4="INGLES",'FILL QUOTE-CALCULATIONS'!H16,VLOOKUP('FILL QUOTE-CALCULATIONS'!H16,'DROP LIST'!$M$7:$N$10,2,0)))</f>
        <v/>
      </c>
      <c r="I13" s="360" t="str">
        <f>IF(OR(C13&lt;1,C13=""),"",IF('FILL QUOTE-CALCULATIONS'!$S$4="INGLES",'FILL QUOTE-CALCULATIONS'!I16,VLOOKUP('FILL QUOTE-CALCULATIONS'!I16,'DROP LIST'!$M$15:$N$18,2,0)))</f>
        <v/>
      </c>
      <c r="J13" s="360" t="str">
        <f>'FILL QUOTE-CALCULATIONS'!J16</f>
        <v/>
      </c>
      <c r="K13" s="360" t="str">
        <f>IF(OR(C13&lt;1,C13=""),"",'FILL QUOTE-CALCULATIONS'!K16)</f>
        <v/>
      </c>
      <c r="L13" s="360" t="str">
        <f>IF(OR(C13&lt;1,C13=""),"",IF('FILL QUOTE-CALCULATIONS'!$S$4="INGLES",'FILL QUOTE-CALCULATIONS'!L16,VLOOKUP('FILL QUOTE-CALCULATIONS'!L16,'DROP LIST'!$B$25:$C$31,2,0)))</f>
        <v/>
      </c>
      <c r="M13" s="360" t="str">
        <f>IF(OR(E13&lt;1,E13=""),"",'FILL QUOTE-CALCULATIONS'!M16)</f>
        <v/>
      </c>
      <c r="N13" s="362" t="str">
        <f>IF(OR(C13&lt;1,C13=""),"",'FILL QUOTE-CALCULATIONS'!N16)</f>
        <v/>
      </c>
      <c r="O13" s="362" t="str">
        <f>IF(OR(C13&lt;1,C13=""),"",'FILL QUOTE-CALCULATIONS'!O16)</f>
        <v/>
      </c>
      <c r="P13" s="360" t="str">
        <f>IF(OR(C13&lt;1,C13=""),"",IF('FILL QUOTE-CALCULATIONS'!$S$4="INGLES",'FILL QUOTE-CALCULATIONS'!P16, VLOOKUP('FILL QUOTE-CALCULATIONS'!P16,'DROP LIST'!$E$25:$F$27,2,0)))</f>
        <v/>
      </c>
      <c r="Q13" s="360" t="str">
        <f>IF(OR(C13&lt;1,C13=""),"",IF('FILL QUOTE-CALCULATIONS'!$S$4="INGLES",'FILL QUOTE-CALCULATIONS'!Q16,VLOOKUP('FILL QUOTE-CALCULATIONS'!Q16,'DROP LIST'!$H$25:$I$36,2,0)))</f>
        <v/>
      </c>
      <c r="R13" s="362"/>
      <c r="S13" s="360" t="str">
        <f>IF(OR(C13&lt;1,C13=""),"",IF('FILL QUOTE-CALCULATIONS'!$S$4="INGLES",'FILL QUOTE-CALCULATIONS'!S16,VLOOKUP('FILL QUOTE-CALCULATIONS'!S16,'DROP LIST'!$H$43:$I$46,2,0)))</f>
        <v/>
      </c>
      <c r="T13" s="363" t="str">
        <f>IF(OR(C13&lt;1,C13=""),"",'FILL QUOTE-CALCULATIONS'!T16)</f>
        <v/>
      </c>
      <c r="U13" s="364" t="str">
        <f>IF(OR(C13&lt;1,C13=""),"",'FILL QUOTE-CALCULATIONS'!W16)</f>
        <v/>
      </c>
      <c r="V13" s="365" t="str">
        <f>IF(OR(C13&lt;1,C13=""),"",IF('FILL QUOTE-CALCULATIONS'!$S$3="DOLLARS",'FILL QUOTE-CALCULATIONS'!AB16,'FILL QUOTE-CALCULATIONS'!AB16*'FILL QUOTE-CALCULATIONS'!$AC$4))</f>
        <v/>
      </c>
      <c r="W13" s="366" t="str">
        <f>IF(OR(C13&lt;1,C13=""),"",IF('FILL QUOTE-CALCULATIONS'!$S$3="DOLLARS",'FILL QUOTE-CALCULATIONS'!AC16,'FILL QUOTE-CALCULATIONS'!AC16*'FILL QUOTE-CALCULATIONS'!$AC$4))</f>
        <v/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 t="str">
        <f>'FILL QUOTE-CALCULATIONS'!J17</f>
        <v/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672.55000000000007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0.5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336.27500000000003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336.27500000000003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538.45000000000005</v>
      </c>
      <c r="D19" s="109" t="str">
        <f>'FILL QUOTE-CALCULATIONS'!BF16</f>
        <v/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4.5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1076.9000000000001</v>
      </c>
      <c r="D29" s="119" t="str">
        <f>E19</f>
        <v/>
      </c>
      <c r="E29" s="119" t="str">
        <f>E19</f>
        <v/>
      </c>
      <c r="F29" s="119" t="e">
        <f>D19*2</f>
        <v>#VALUE!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4.5</v>
      </c>
      <c r="D24" s="73" t="str">
        <f>'FILL QUOTE-CALCULATIONS'!AN16</f>
        <v/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AC2" sqref="AC2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755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724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752</v>
      </c>
      <c r="L6" s="214"/>
      <c r="O6" s="907" t="s">
        <v>753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39" customHeight="1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751</v>
      </c>
      <c r="L9" s="214"/>
      <c r="O9" s="908" t="s">
        <v>754</v>
      </c>
      <c r="P9" s="214"/>
      <c r="Q9" s="214"/>
      <c r="R9" s="211"/>
      <c r="S9" s="213" t="s">
        <v>205</v>
      </c>
      <c r="T9" s="214"/>
      <c r="AC9" s="221">
        <v>45588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273</v>
      </c>
      <c r="E15" s="179" t="s">
        <v>132</v>
      </c>
      <c r="F15" s="179" t="s">
        <v>136</v>
      </c>
      <c r="G15" s="671">
        <v>2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756</v>
      </c>
      <c r="L15" s="179" t="s">
        <v>122</v>
      </c>
      <c r="M15" s="672" t="s">
        <v>757</v>
      </c>
      <c r="N15" s="673">
        <v>108</v>
      </c>
      <c r="O15" s="673">
        <v>103</v>
      </c>
      <c r="P15" s="197" t="s">
        <v>287</v>
      </c>
      <c r="Q15" s="178" t="s">
        <v>737</v>
      </c>
      <c r="R15" s="176" t="s">
        <v>750</v>
      </c>
      <c r="S15" s="179" t="s">
        <v>289</v>
      </c>
      <c r="T15" s="895">
        <f t="shared" ref="T15:T62" si="1">IF(E15="",0,IF(OR(C15&lt;1,C15=""),"",BF15))</f>
        <v>538.45000000000005</v>
      </c>
      <c r="U15" s="668">
        <v>0.4</v>
      </c>
      <c r="V15" s="669">
        <v>0.5</v>
      </c>
      <c r="W15" s="896">
        <f t="shared" ref="W15:W62" si="2">IF(OR(C15&lt;1,C15=""),"",BI15)</f>
        <v>134.1</v>
      </c>
      <c r="X15" s="694">
        <v>0.4</v>
      </c>
      <c r="Y15" s="690">
        <v>0.5</v>
      </c>
      <c r="Z15" s="667">
        <f>T15*IF($L$4="RESIDENCIAL",1-U15,1-V15)+W15*IF($L$4="RESIDENCIAL",1-X15,1-Y15)</f>
        <v>336.27500000000003</v>
      </c>
      <c r="AA15" s="659">
        <f>IF(E15="",0,IF(OR(C15&lt;1,C15=""),"",IF($S$3="PESOS",Z15*C15*$AC$4,Z15*C15)))</f>
        <v>336.27500000000003</v>
      </c>
      <c r="AB15" s="895">
        <f t="shared" ref="AB15:AB62" si="3">IF(E15="",0,IF(OR(C15&lt;1,C15=""),"",T15+W15))</f>
        <v>672.55000000000007</v>
      </c>
      <c r="AC15" s="896">
        <f>IF(E15="",0,IF(OR(C15&lt;1,C15=""),"",IF($S$3="PESOS",AB15*C15*$AC$4, AB15*C15)))</f>
        <v>672.55000000000007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5.4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233.9</v>
      </c>
      <c r="AJ15" s="307">
        <f t="shared" ref="AJ15:AJ62" si="9">IF(C15="","",O15+AG15+AH15)</f>
        <v>120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4.3314814814814815</v>
      </c>
      <c r="AN15" s="309">
        <f t="shared" ref="AN15:AN62" si="13">IF(C15="","",IF(AL15="RAILROAD","N/A",IF(AK15&lt;60,CEILING(AM15,0.5),CEILING(AM15,0.25))))</f>
        <v>4.5</v>
      </c>
      <c r="AO15" s="309">
        <f t="shared" ref="AO15:AO62" si="14">IF(C15="","",IF(AL15="VERTICAL",AN15*AK15/54,CEILING(AI15/54,0.5)))</f>
        <v>4.5</v>
      </c>
      <c r="AP15" s="308">
        <f t="shared" ref="AP15:AP62" si="15">IF(C15="","",IF(AL15="VERTICAL",CEILING(AN15*AJ15/36/0.93,0.25),CEILING(AI15/36/0.93,0.25)))</f>
        <v>16.25</v>
      </c>
      <c r="AQ15" s="310">
        <f t="shared" ref="AQ15:AQ62" si="16">IF(C15="","",AP15*C15)</f>
        <v>16.25</v>
      </c>
      <c r="AR15" s="306">
        <f t="shared" ref="AR15:AR62" si="17">IF(C15="","",CEILING(AI15,1))</f>
        <v>234</v>
      </c>
      <c r="AS15" s="308">
        <f t="shared" ref="AS15:AS62" si="18">IF(C15="","",O15+(2*$AG$3)+2+1)</f>
        <v>114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15.200000000000001</v>
      </c>
      <c r="AW15" s="310">
        <f t="shared" ref="AW15:AW62" si="22">IF(C15="","",AV15*C15)</f>
        <v>15.200000000000001</v>
      </c>
      <c r="AX15" s="311">
        <f t="shared" ref="AX15:AX62" si="23">IF(C15="","",N15/12/(1-$AX$13))</f>
        <v>9.7826086956521738</v>
      </c>
      <c r="AY15" s="308">
        <f t="shared" ref="AY15:AY24" si="24">IF(C15="","",IF(S15="N/A","N/A",IF(O15&lt;100.01,36,IF(O15&gt;136.01,"N/A",IF(AND(O15&gt;100.011,O15&lt;112.01),48,IF(AND(O15&gt;112.011,O15&lt;124.01),60,72))))))</f>
        <v>48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453.37500000000006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85.050000000000011</v>
      </c>
      <c r="BF15" s="313">
        <f>IF(C15="","",CEILING(BA15+BC15+BE15,0.05))</f>
        <v>538.45000000000005</v>
      </c>
      <c r="BG15" s="316">
        <f>IF(C15="","",IF(Q15="N/A",0,VLOOKUP(Q15,'COST - SELL'!$B$80:$I$91,8,0)*'FILL QUOTE-CALCULATIONS'!AX15))</f>
        <v>122.28260869565217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11.8</v>
      </c>
      <c r="BI15" s="316">
        <f t="shared" ref="BI15:BI62" si="28">IF(C15="","",CEILING(BG15+BH15,0.05))</f>
        <v>134.1</v>
      </c>
      <c r="BJ15" s="316">
        <f t="shared" ref="BJ15:BJ62" si="29">IF(C15="","",BF15+BI15)</f>
        <v>672.55000000000007</v>
      </c>
      <c r="BL15" s="222">
        <f>BG15/AX15</f>
        <v>12.5</v>
      </c>
      <c r="BM15" s="222"/>
      <c r="BN15" s="222"/>
    </row>
    <row r="16" spans="2:70" x14ac:dyDescent="0.25">
      <c r="B16" s="231">
        <f>1+B15</f>
        <v>2</v>
      </c>
      <c r="C16" s="180"/>
      <c r="D16" s="178"/>
      <c r="E16" s="179"/>
      <c r="F16" s="179"/>
      <c r="G16" s="671"/>
      <c r="H16" s="906"/>
      <c r="I16" s="906"/>
      <c r="J16" s="179" t="str">
        <f t="shared" si="0"/>
        <v/>
      </c>
      <c r="K16" s="672"/>
      <c r="L16" s="179"/>
      <c r="M16" s="672"/>
      <c r="N16" s="673"/>
      <c r="O16" s="673"/>
      <c r="P16" s="197"/>
      <c r="Q16" s="178"/>
      <c r="R16" s="176"/>
      <c r="S16" s="179" t="s">
        <v>289</v>
      </c>
      <c r="T16" s="895">
        <f t="shared" si="1"/>
        <v>0</v>
      </c>
      <c r="U16" s="668">
        <v>0.4</v>
      </c>
      <c r="V16" s="669">
        <v>0.5</v>
      </c>
      <c r="W16" s="896" t="str">
        <f t="shared" si="2"/>
        <v/>
      </c>
      <c r="X16" s="694">
        <v>0.4</v>
      </c>
      <c r="Y16" s="690">
        <v>0.3</v>
      </c>
      <c r="Z16" s="667">
        <f>IF(E16="",0,T16*IF($L$4="RESIDENCIAL",1-U16,1-V16)+W16*IF($L$4="RESIDENCIAL",1-X16,1-Y16))</f>
        <v>0</v>
      </c>
      <c r="AA16" s="659">
        <f>IF(E16="",0,IF(OR(C16&lt;1,C16=""),"",IF($S$3="PESOS",Z16*C16*$AC$4, Z16*C16)))</f>
        <v>0</v>
      </c>
      <c r="AB16" s="895">
        <f t="shared" si="3"/>
        <v>0</v>
      </c>
      <c r="AC16" s="896">
        <f>IF(E16="",0,IF(OR(C16&lt;1,C16=""),"",IF($S$3="PESOS",AB16*C16*$AC$4, AB16*C16)))</f>
        <v>0</v>
      </c>
      <c r="AD16" s="181"/>
      <c r="AE16" s="883" t="str">
        <f t="shared" si="4"/>
        <v/>
      </c>
      <c r="AF16" s="883" t="str">
        <f t="shared" si="5"/>
        <v/>
      </c>
      <c r="AG16" s="883" t="str">
        <f t="shared" si="6"/>
        <v/>
      </c>
      <c r="AH16" s="884" t="str">
        <f t="shared" si="7"/>
        <v/>
      </c>
      <c r="AI16" s="317" t="str">
        <f t="shared" si="8"/>
        <v/>
      </c>
      <c r="AJ16" s="304" t="str">
        <f t="shared" si="9"/>
        <v/>
      </c>
      <c r="AK16" s="304" t="str">
        <f t="shared" si="10"/>
        <v/>
      </c>
      <c r="AL16" s="318" t="str">
        <f t="shared" si="11"/>
        <v/>
      </c>
      <c r="AM16" s="318" t="str">
        <f t="shared" si="12"/>
        <v/>
      </c>
      <c r="AN16" s="319" t="str">
        <f t="shared" si="13"/>
        <v/>
      </c>
      <c r="AO16" s="319" t="str">
        <f t="shared" si="14"/>
        <v/>
      </c>
      <c r="AP16" s="318" t="str">
        <f t="shared" si="15"/>
        <v/>
      </c>
      <c r="AQ16" s="320" t="str">
        <f t="shared" si="16"/>
        <v/>
      </c>
      <c r="AR16" s="306" t="str">
        <f t="shared" si="17"/>
        <v/>
      </c>
      <c r="AS16" s="308" t="str">
        <f t="shared" si="18"/>
        <v/>
      </c>
      <c r="AT16" s="308" t="str">
        <f t="shared" si="19"/>
        <v/>
      </c>
      <c r="AU16" s="308" t="str">
        <f t="shared" si="20"/>
        <v/>
      </c>
      <c r="AV16" s="308" t="str">
        <f t="shared" si="21"/>
        <v/>
      </c>
      <c r="AW16" s="310" t="str">
        <f t="shared" si="22"/>
        <v/>
      </c>
      <c r="AX16" s="321" t="str">
        <f t="shared" si="23"/>
        <v/>
      </c>
      <c r="AY16" s="308" t="str">
        <f t="shared" si="24"/>
        <v/>
      </c>
      <c r="AZ16" s="312" t="str">
        <f>IF(C16="","",IF(H16="STOCK",VLOOKUP(I16,'COST - SELL'!$B$26:$G$29,6,0),IF(H16="LINE-ATELIER",VLOOKUP(I16,'COST - SELL'!$J$26:$Q$29,8,0),IF(H16="LINE-VTLUX",VLOOKUP(I16,'COST - SELL'!$B$36:$I$51,8,0),0))))</f>
        <v/>
      </c>
      <c r="BA16" s="313" t="str">
        <f t="shared" si="25"/>
        <v/>
      </c>
      <c r="BB16" s="314" t="str">
        <f>IF(C16="","",IF(L16="N/A",0,VLOOKUP(L16,'COST - SELL'!$B$60:$I$63,8,0)))</f>
        <v/>
      </c>
      <c r="BC16" s="313" t="str">
        <f t="shared" si="26"/>
        <v/>
      </c>
      <c r="BD16" s="315" t="str">
        <f>IF(C16="","",IF(H16="C.O.M.",VLOOKUP(F16,'COST - SELL'!$J$11:$N$19,5,0),VLOOKUP(F16,'COST - SELL'!$B$11:$H$19,7,0)))</f>
        <v/>
      </c>
      <c r="BE16" s="315" t="str">
        <f t="shared" si="27"/>
        <v/>
      </c>
      <c r="BF16" s="313" t="str">
        <f t="shared" ref="BF16:BF62" si="30">IF(C16="","",CEILING(BA16+BC16+BE16,0.05))</f>
        <v/>
      </c>
      <c r="BG16" s="316" t="str">
        <f>IF(C16="","",IF(Q16="N/A",0,VLOOKUP(Q16,'COST - SELL'!$B$80:$I$91,8,0)*'FILL QUOTE-CALCULATIONS'!AX16))</f>
        <v/>
      </c>
      <c r="BH16" s="316" t="str">
        <f>IF(C16="","",IF(S16="N/A",0,IF(AY16="N/A",0,INDEX('COST - SELL'!$O$70:$S$73,MATCH('FILL QUOTE-CALCULATIONS'!S16,'COST - SELL'!$O$70:$O$73,0),MATCH('FILL QUOTE-CALCULATIONS'!AY16,'COST - SELL'!$O$70:$S$70,0)))))</f>
        <v/>
      </c>
      <c r="BI16" s="316" t="str">
        <f t="shared" si="28"/>
        <v/>
      </c>
      <c r="BJ16" s="316" t="str">
        <f t="shared" si="29"/>
        <v/>
      </c>
    </row>
    <row r="17" spans="2:62" x14ac:dyDescent="0.25">
      <c r="B17" s="231">
        <f t="shared" ref="B17:B62" si="31">1+B16</f>
        <v>3</v>
      </c>
      <c r="C17" s="180"/>
      <c r="D17" s="178"/>
      <c r="E17" s="179"/>
      <c r="F17" s="179"/>
      <c r="G17" s="671">
        <v>2</v>
      </c>
      <c r="H17" s="906"/>
      <c r="I17" s="906"/>
      <c r="J17" s="179" t="str">
        <f t="shared" si="0"/>
        <v/>
      </c>
      <c r="K17" s="672"/>
      <c r="L17" s="179"/>
      <c r="M17" s="672"/>
      <c r="N17" s="673"/>
      <c r="O17" s="673"/>
      <c r="P17" s="197" t="s">
        <v>122</v>
      </c>
      <c r="Q17" s="178"/>
      <c r="R17" s="176"/>
      <c r="S17" s="179" t="s">
        <v>289</v>
      </c>
      <c r="T17" s="895">
        <f t="shared" si="1"/>
        <v>0</v>
      </c>
      <c r="U17" s="668">
        <v>0.4</v>
      </c>
      <c r="V17" s="669">
        <v>0.5</v>
      </c>
      <c r="W17" s="896" t="str">
        <f t="shared" si="2"/>
        <v/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0</v>
      </c>
      <c r="AA17" s="659">
        <f t="shared" ref="AA17:AA62" si="33">IF(E17="",0,IF(OR(C17&lt;1,C17=""),"",IF($S$3="PESOS",Z17*C17*$AC$4, Z17*C17)))</f>
        <v>0</v>
      </c>
      <c r="AB17" s="895">
        <f t="shared" si="3"/>
        <v>0</v>
      </c>
      <c r="AC17" s="896">
        <f t="shared" ref="AC17:AC62" si="34">IF(E17="",0,IF(OR(C17&lt;1,C17=""),"",IF($S$3="PESOS",AB17*C17*$AC$4, AB17*C17)))</f>
        <v>0</v>
      </c>
      <c r="AD17" s="181"/>
      <c r="AE17" s="883" t="str">
        <f t="shared" si="4"/>
        <v/>
      </c>
      <c r="AF17" s="883" t="str">
        <f t="shared" si="5"/>
        <v/>
      </c>
      <c r="AG17" s="883" t="str">
        <f t="shared" si="6"/>
        <v/>
      </c>
      <c r="AH17" s="884" t="str">
        <f t="shared" si="7"/>
        <v/>
      </c>
      <c r="AI17" s="317" t="str">
        <f t="shared" si="8"/>
        <v/>
      </c>
      <c r="AJ17" s="304" t="str">
        <f t="shared" si="9"/>
        <v/>
      </c>
      <c r="AK17" s="304" t="str">
        <f t="shared" si="10"/>
        <v/>
      </c>
      <c r="AL17" s="318" t="str">
        <f t="shared" si="11"/>
        <v/>
      </c>
      <c r="AM17" s="318" t="str">
        <f t="shared" si="12"/>
        <v/>
      </c>
      <c r="AN17" s="319" t="str">
        <f t="shared" si="13"/>
        <v/>
      </c>
      <c r="AO17" s="319" t="str">
        <f t="shared" si="14"/>
        <v/>
      </c>
      <c r="AP17" s="318" t="str">
        <f t="shared" si="15"/>
        <v/>
      </c>
      <c r="AQ17" s="320" t="str">
        <f t="shared" si="16"/>
        <v/>
      </c>
      <c r="AR17" s="306" t="str">
        <f t="shared" si="17"/>
        <v/>
      </c>
      <c r="AS17" s="308" t="str">
        <f t="shared" si="18"/>
        <v/>
      </c>
      <c r="AT17" s="308" t="str">
        <f t="shared" si="19"/>
        <v/>
      </c>
      <c r="AU17" s="308" t="str">
        <f t="shared" si="20"/>
        <v/>
      </c>
      <c r="AV17" s="308" t="str">
        <f t="shared" si="21"/>
        <v/>
      </c>
      <c r="AW17" s="310" t="str">
        <f t="shared" si="22"/>
        <v/>
      </c>
      <c r="AX17" s="321" t="str">
        <f t="shared" si="23"/>
        <v/>
      </c>
      <c r="AY17" s="308" t="str">
        <f t="shared" si="24"/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si="25"/>
        <v/>
      </c>
      <c r="BB17" s="314" t="str">
        <f>IF(C17="","",IF(L17="N/A",0,VLOOKUP(L17,'COST - SELL'!$B$60:$I$63,8,0)))</f>
        <v/>
      </c>
      <c r="BC17" s="313" t="str">
        <f t="shared" si="26"/>
        <v/>
      </c>
      <c r="BD17" s="315" t="str">
        <f>IF(C17="","",IF(H17="C.O.M.",VLOOKUP(F17,'COST - SELL'!$J$11:$N$19,5,0),VLOOKUP(F17,'COST - SELL'!$B$11:$H$19,7,0)))</f>
        <v/>
      </c>
      <c r="BE17" s="315" t="str">
        <f t="shared" si="27"/>
        <v/>
      </c>
      <c r="BF17" s="313" t="str">
        <f t="shared" si="30"/>
        <v/>
      </c>
      <c r="BG17" s="316" t="str">
        <f>IF(C17="","",IF(Q17="N/A",0,VLOOKUP(Q17,'COST - SELL'!$B$80:$I$91,8,0)*'FILL QUOTE-CALCULATIONS'!AX17))</f>
        <v/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si="28"/>
        <v/>
      </c>
      <c r="BJ17" s="316" t="str">
        <f t="shared" si="29"/>
        <v/>
      </c>
    </row>
    <row r="18" spans="2:62" x14ac:dyDescent="0.25">
      <c r="B18" s="231">
        <f t="shared" si="31"/>
        <v>4</v>
      </c>
      <c r="C18" s="180"/>
      <c r="D18" s="178"/>
      <c r="E18" s="179"/>
      <c r="F18" s="179"/>
      <c r="G18" s="671">
        <v>2</v>
      </c>
      <c r="H18" s="906"/>
      <c r="I18" s="906"/>
      <c r="J18" s="179" t="str">
        <f t="shared" si="0"/>
        <v/>
      </c>
      <c r="K18" s="672"/>
      <c r="L18" s="179"/>
      <c r="M18" s="672"/>
      <c r="N18" s="673"/>
      <c r="O18" s="673"/>
      <c r="P18" s="197" t="s">
        <v>122</v>
      </c>
      <c r="Q18" s="178"/>
      <c r="R18" s="176"/>
      <c r="S18" s="179" t="s">
        <v>289</v>
      </c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si="32"/>
        <v>0</v>
      </c>
      <c r="AA18" s="659">
        <f t="shared" si="33"/>
        <v>0</v>
      </c>
      <c r="AB18" s="895">
        <f t="shared" si="3"/>
        <v>0</v>
      </c>
      <c r="AC18" s="896">
        <f t="shared" si="34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0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1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0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1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0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672.55000000000007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0.5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336.27500000000003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336.27500000000003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8" t="s">
        <v>172</v>
      </c>
      <c r="G7" s="939"/>
      <c r="H7" s="940"/>
      <c r="J7" s="941" t="s">
        <v>329</v>
      </c>
      <c r="L7" s="938" t="s">
        <v>172</v>
      </c>
      <c r="M7" s="939"/>
      <c r="N7" s="940"/>
    </row>
    <row r="8" spans="2:16" ht="15" hidden="1" customHeight="1" x14ac:dyDescent="0.25">
      <c r="B8" s="950" t="s">
        <v>328</v>
      </c>
      <c r="C8" s="95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2"/>
      <c r="C9" s="953"/>
      <c r="D9" s="437">
        <v>0.4</v>
      </c>
      <c r="F9" s="438" t="s">
        <v>77</v>
      </c>
      <c r="G9" s="438" t="s">
        <v>174</v>
      </c>
      <c r="H9" s="438" t="s">
        <v>175</v>
      </c>
      <c r="J9" s="94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8" t="s">
        <v>172</v>
      </c>
      <c r="F22" s="939"/>
      <c r="G22" s="940"/>
      <c r="O22" s="938" t="s">
        <v>172</v>
      </c>
      <c r="P22" s="939"/>
      <c r="Q22" s="940"/>
    </row>
    <row r="23" spans="2:17" hidden="1" x14ac:dyDescent="0.25">
      <c r="B23" s="944" t="s">
        <v>181</v>
      </c>
      <c r="C23" s="945"/>
      <c r="D23" s="94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4" t="s">
        <v>185</v>
      </c>
      <c r="K23" s="945"/>
      <c r="L23" s="945"/>
      <c r="M23" s="945"/>
      <c r="N23" s="94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7"/>
      <c r="C24" s="948"/>
      <c r="D24" s="949"/>
      <c r="E24" s="438" t="s">
        <v>77</v>
      </c>
      <c r="F24" s="438" t="s">
        <v>174</v>
      </c>
      <c r="G24" s="438" t="s">
        <v>175</v>
      </c>
      <c r="J24" s="947"/>
      <c r="K24" s="948"/>
      <c r="L24" s="948"/>
      <c r="M24" s="948"/>
      <c r="N24" s="94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8" t="s">
        <v>172</v>
      </c>
      <c r="H32" s="939"/>
      <c r="I32" s="940"/>
    </row>
    <row r="33" spans="1:12" hidden="1" x14ac:dyDescent="0.25">
      <c r="B33" s="954" t="s">
        <v>662</v>
      </c>
      <c r="C33" s="955"/>
      <c r="D33" s="955"/>
      <c r="E33" s="955"/>
      <c r="F33" s="95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7"/>
      <c r="C34" s="958"/>
      <c r="D34" s="958"/>
      <c r="E34" s="958"/>
      <c r="F34" s="95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8" t="s">
        <v>172</v>
      </c>
      <c r="H56" s="939"/>
      <c r="I56" s="94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5" t="s">
        <v>172</v>
      </c>
      <c r="H67" s="936"/>
      <c r="I67" s="936"/>
      <c r="J67" s="936"/>
      <c r="K67" s="935" t="s">
        <v>172</v>
      </c>
      <c r="L67" s="936"/>
      <c r="M67" s="936"/>
      <c r="N67" s="937"/>
      <c r="O67" s="457"/>
      <c r="P67" s="935" t="s">
        <v>172</v>
      </c>
      <c r="Q67" s="936"/>
      <c r="R67" s="936"/>
      <c r="S67" s="937"/>
    </row>
    <row r="68" spans="2:19" ht="15.75" hidden="1" x14ac:dyDescent="0.25">
      <c r="C68" s="935" t="s">
        <v>196</v>
      </c>
      <c r="D68" s="936"/>
      <c r="E68" s="936"/>
      <c r="F68" s="937"/>
      <c r="G68" s="963">
        <f>'MARK UP''s'!D12</f>
        <v>0.5</v>
      </c>
      <c r="H68" s="964"/>
      <c r="I68" s="964"/>
      <c r="J68" s="964"/>
      <c r="K68" s="963">
        <f>'MARK UP''s'!E12</f>
        <v>0.4</v>
      </c>
      <c r="L68" s="964"/>
      <c r="M68" s="964"/>
      <c r="N68" s="965"/>
      <c r="O68" s="458"/>
      <c r="P68" s="963">
        <f>'MARK UP''s'!F12</f>
        <v>0.3</v>
      </c>
      <c r="Q68" s="964"/>
      <c r="R68" s="964"/>
      <c r="S68" s="965"/>
    </row>
    <row r="69" spans="2:19" ht="16.5" hidden="1" thickBot="1" x14ac:dyDescent="0.3">
      <c r="C69" s="960" t="s">
        <v>77</v>
      </c>
      <c r="D69" s="961"/>
      <c r="E69" s="961"/>
      <c r="F69" s="962"/>
      <c r="G69" s="960" t="s">
        <v>77</v>
      </c>
      <c r="H69" s="961"/>
      <c r="I69" s="961"/>
      <c r="J69" s="961"/>
      <c r="K69" s="960" t="s">
        <v>174</v>
      </c>
      <c r="L69" s="961"/>
      <c r="M69" s="961"/>
      <c r="N69" s="962"/>
      <c r="O69" s="459"/>
      <c r="P69" s="960" t="s">
        <v>175</v>
      </c>
      <c r="Q69" s="961"/>
      <c r="R69" s="961"/>
      <c r="S69" s="962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6" t="s">
        <v>172</v>
      </c>
      <c r="E78" s="967"/>
      <c r="F78" s="968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8" t="s">
        <v>708</v>
      </c>
      <c r="C98" s="929"/>
      <c r="D98" s="932" t="s">
        <v>339</v>
      </c>
      <c r="E98" s="933"/>
      <c r="F98" s="933"/>
      <c r="G98" s="933"/>
      <c r="H98" s="933"/>
      <c r="I98" s="934"/>
    </row>
    <row r="99" spans="2:9" ht="15.75" hidden="1" thickBot="1" x14ac:dyDescent="0.3">
      <c r="B99" s="930"/>
      <c r="C99" s="931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2024-10-23T15:50:15Z</cp:lastPrinted>
  <dcterms:created xsi:type="dcterms:W3CDTF">2021-02-10T23:07:35Z</dcterms:created>
  <dcterms:modified xsi:type="dcterms:W3CDTF">2025-12-05T17:33:25Z</dcterms:modified>
</cp:coreProperties>
</file>