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ardo.Garcia\Desktop\MARIA TRINIDAD SALCEDO\NUEVA ORDEN\"/>
    </mc:Choice>
  </mc:AlternateContent>
  <xr:revisionPtr revIDLastSave="0" documentId="13_ncr:1_{B8486E48-7645-4AC2-8905-05FFD09B16E1}" xr6:coauthVersionLast="47" xr6:coauthVersionMax="47" xr10:uidLastSave="{00000000-0000-0000-0000-000000000000}"/>
  <bookViews>
    <workbookView xWindow="20370" yWindow="-354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4" i="38" l="1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T14" i="59"/>
  <c r="X13" i="59"/>
  <c r="Z13" i="59" s="1"/>
  <c r="W13" i="59"/>
  <c r="Y13" i="59" s="1"/>
  <c r="T13" i="59"/>
  <c r="X12" i="59"/>
  <c r="Z12" i="59" s="1"/>
  <c r="W12" i="59"/>
  <c r="Y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AA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14" i="59" l="1"/>
  <c r="AA13" i="59"/>
  <c r="AA12" i="59"/>
  <c r="AA31" i="59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P20" i="38" s="1"/>
  <c r="AA14" i="57"/>
  <c r="AA13" i="56"/>
  <c r="AP19" i="38" s="1"/>
  <c r="AA13" i="57"/>
  <c r="AA13" i="55"/>
  <c r="AA12" i="57"/>
  <c r="AA12" i="56"/>
  <c r="AP18" i="38" s="1"/>
  <c r="AA12" i="55"/>
  <c r="AA11" i="55"/>
  <c r="AA11" i="57"/>
  <c r="AA11" i="56"/>
  <c r="AP17" i="38" s="1"/>
  <c r="AA10" i="57"/>
  <c r="AA10" i="55"/>
  <c r="AA10" i="56"/>
  <c r="AP16" i="38" s="1"/>
  <c r="AA9" i="55"/>
  <c r="AA9" i="57"/>
  <c r="AA9" i="56"/>
  <c r="AP15" i="38" s="1"/>
  <c r="AA8" i="57"/>
  <c r="AA8" i="55"/>
  <c r="AA8" i="56"/>
  <c r="AP14" i="38" s="1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D25" i="38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D23" i="38" s="1"/>
  <c r="AN16" i="52"/>
  <c r="AD22" i="38" s="1"/>
  <c r="AN15" i="52"/>
  <c r="AD21" i="38" s="1"/>
  <c r="AN14" i="52"/>
  <c r="AD20" i="38" s="1"/>
  <c r="AN13" i="52"/>
  <c r="AN11" i="52"/>
  <c r="AN10" i="52"/>
  <c r="AN9" i="52"/>
  <c r="AN8" i="52"/>
  <c r="AN12" i="52"/>
  <c r="AN29" i="52"/>
  <c r="AN26" i="52"/>
  <c r="AN18" i="52"/>
  <c r="AD24" i="38" s="1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C12" i="50"/>
  <c r="AC14" i="50"/>
  <c r="AC16" i="50"/>
  <c r="AF7" i="50"/>
  <c r="T58" i="46"/>
  <c r="T57" i="46"/>
  <c r="T56" i="46"/>
  <c r="AG13" i="50" l="1"/>
  <c r="H13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D15" i="38" s="1"/>
  <c r="AN11" i="35"/>
  <c r="AD17" i="38" s="1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D14" i="38" l="1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<sst xmlns="http://schemas.openxmlformats.org/spreadsheetml/2006/main" count="3368" uniqueCount="483">
  <si>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</si>
  <si>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</si>
  <si>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</si>
  <si>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</si>
  <si>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</si>
  <si>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</si>
  <si>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</si>
  <si>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</si>
  <si>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</si>
  <si>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</si>
  <si>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</si>
  <si>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</si>
  <si>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</si>
  <si>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</si>
  <si>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</si>
  <si>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</si>
  <si>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</si>
  <si>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</si>
  <si>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</si>
  <si>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</si>
  <si>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</si>
  <si>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</si>
  <si>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</si>
  <si>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</si>
  <si>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</si>
  <si>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</si>
  <si>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</si>
  <si>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</si>
  <si>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</si>
  <si>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</si>
  <si>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</si>
  <si>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</si>
  <si>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</si>
  <si>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</si>
  <si>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</si>
  <si>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</si>
  <si>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</si>
  <si>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</si>
  <si>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</si>
  <si>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</si>
  <si>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</si>
  <si>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</si>
  <si>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</si>
  <si>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</si>
  <si>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</si>
  <si>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</si>
  <si>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</si>
  <si>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</si>
  <si>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</si>
  <si>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</si>
  <si>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</si>
  <si>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</si>
  <si>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</si>
  <si>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</si>
  <si>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</si>
  <si>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</si>
  <si>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</si>
  <si>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</si>
  <si>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</si>
  <si>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</si>
  <si>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</si>
  <si>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</si>
  <si>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</si>
  <si>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</si>
  <si>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</si>
  <si>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</si>
  <si>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</si>
  <si>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</si>
  <si>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</si>
  <si>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</si>
  <si>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</si>
  <si>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</si>
  <si>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</si>
  <si>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</si>
  <si>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</si>
  <si>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</si>
  <si>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</si>
  <si>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</si>
  <si>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</si>
  <si>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</si>
  <si>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</si>
  <si>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</si>
  <si>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</si>
  <si>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</si>
  <si>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</si>
  <si>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</si>
  <si>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</si>
  <si>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</si>
  <si>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</si>
  <si>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</si>
  <si>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</si>
  <si>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</si>
  <si>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</si>
  <si>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</si>
  <si>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</si>
  <si>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</si>
  <si>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</si>
  <si>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</si>
  <si>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</si>
  <si>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</si>
  <si>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</si>
  <si>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</si>
  <si>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</si>
  <si>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</si>
  <si>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</si>
  <si>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</si>
  <si>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</si>
  <si>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</si>
  <si>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</si>
  <si>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</si>
  <si>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</si>
  <si>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</si>
  <si>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</si>
  <si>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</si>
  <si>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</si>
  <si>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</si>
  <si>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</si>
  <si>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</si>
  <si>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</si>
  <si>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</si>
  <si>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</si>
  <si>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</si>
  <si>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</si>
  <si>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</si>
  <si>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</si>
  <si>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</si>
  <si>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</si>
  <si>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</si>
  <si>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</si>
  <si>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</si>
  <si>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</si>
  <si>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</si>
  <si>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</si>
  <si>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</si>
  <si>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</si>
  <si>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</si>
  <si>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</si>
  <si>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</si>
  <si>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</si>
  <si>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</si>
  <si>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</si>
  <si>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</si>
  <si>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</si>
  <si>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</si>
  <si>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</si>
  <si>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</si>
  <si>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</si>
  <si>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</si>
  <si>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</si>
  <si>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</si>
  <si>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</si>
  <si>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</si>
  <si>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</si>
  <si>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</si>
  <si>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</si>
  <si>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</si>
  <si>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</si>
  <si>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</si>
  <si>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</si>
  <si>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</si>
  <si>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</si>
  <si>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</si>
  <si>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</si>
  <si>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</si>
  <si>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</si>
  <si>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</si>
  <si>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</si>
  <si>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</si>
  <si>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</si>
  <si>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</si>
  <si>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</si>
  <si>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</si>
  <si>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</si>
  <si>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</si>
  <si>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</si>
  <si>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</si>
  <si>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</si>
  <si>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</si>
  <si>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</si>
  <si>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</si>
  <si>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</si>
  <si>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</si>
  <si>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</si>
  <si>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</si>
  <si>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</si>
  <si>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</si>
  <si>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</si>
  <si>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</si>
  <si>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</si>
  <si>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</si>
  <si>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</si>
  <si>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</si>
  <si>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</si>
  <si>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</si>
  <si>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</si>
  <si>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</si>
  <si>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</si>
  <si>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</si>
  <si>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</si>
  <si>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</si>
  <si>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</si>
  <si>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</si>
  <si>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</si>
  <si>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</si>
  <si>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</si>
  <si>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</si>
  <si>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</si>
  <si>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</si>
  <si>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</si>
  <si>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</si>
  <si>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</si>
  <si>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</si>
  <si>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</si>
  <si>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</si>
  <si>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</si>
  <si>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</si>
  <si>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</si>
  <si>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</si>
  <si>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</si>
  <si>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</si>
  <si>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</si>
  <si>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</si>
  <si>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</si>
  <si>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</si>
  <si>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</si>
  <si>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</si>
  <si>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</si>
  <si>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</si>
  <si>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</si>
  <si>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</si>
  <si>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</si>
  <si>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</si>
  <si>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</si>
  <si>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</si>
  <si>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</si>
  <si>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</si>
  <si>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</si>
  <si>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</si>
  <si>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</si>
  <si>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</si>
  <si>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</si>
  <si>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</si>
  <si>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</si>
  <si>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</si>
  <si>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</si>
  <si>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</si>
  <si>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</si>
  <si>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</si>
  <si>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</si>
  <si>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</si>
  <si>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</si>
  <si>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</si>
  <si>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</si>
  <si>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</si>
  <si>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</si>
  <si>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</si>
  <si>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</si>
  <si>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</si>
  <si>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</si>
  <si>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</si>
  <si>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</si>
  <si>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</si>
  <si>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</si>
  <si>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</si>
  <si>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</si>
  <si>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</si>
  <si>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</si>
  <si>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</si>
  <si>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</si>
  <si>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</si>
  <si>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</si>
  <si>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</si>
  <si>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</si>
  <si>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</si>
  <si>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</si>
  <si>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</si>
  <si>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</si>
  <si>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</si>
  <si>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</si>
  <si>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</si>
  <si>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</si>
  <si>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</si>
  <si>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</si>
  <si>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</si>
  <si>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</si>
  <si>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</si>
  <si>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</si>
  <si>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</si>
  <si>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</si>
  <si>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</si>
  <si>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</si>
  <si>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</si>
  <si>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</si>
  <si>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</si>
  <si>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</si>
  <si>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</si>
  <si>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</si>
  <si>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</si>
  <si>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</si>
  <si>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</si>
  <si>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</si>
  <si>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</si>
  <si>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</si>
  <si>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</si>
  <si>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</si>
  <si>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</si>
  <si>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</si>
  <si>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</si>
  <si>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</si>
  <si>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</si>
  <si>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</si>
  <si>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</si>
  <si>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</si>
  <si>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</si>
  <si>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</si>
  <si>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</si>
  <si>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</si>
  <si>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</si>
  <si>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</si>
  <si>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</si>
  <si>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</si>
  <si>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</si>
  <si>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</si>
  <si>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</si>
  <si>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</si>
  <si>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</si>
  <si>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</si>
  <si>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</si>
  <si>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</si>
  <si>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</si>
  <si>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</si>
  <si>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</si>
  <si>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</si>
  <si>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</si>
  <si>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</si>
  <si>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</si>
  <si>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</si>
  <si>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</si>
  <si>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</si>
  <si>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</si>
  <si>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</si>
  <si>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</si>
  <si>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</si>
  <si>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</si>
  <si>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</si>
  <si>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</si>
  <si>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</si>
  <si>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</si>
  <si>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</si>
  <si>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</si>
  <si>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</si>
  <si>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</si>
  <si>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</si>
  <si>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</si>
  <si>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</si>
  <si>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</si>
  <si>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</si>
  <si>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</si>
  <si>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</si>
  <si>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</si>
  <si>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</si>
  <si>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</si>
  <si>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</si>
  <si>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</si>
  <si>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</si>
  <si>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</si>
  <si>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</si>
  <si>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</si>
  <si>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</si>
  <si>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</si>
  <si>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</si>
  <si>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</si>
  <si>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</si>
  <si>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</si>
  <si>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</si>
  <si>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</si>
  <si>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</si>
  <si>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</si>
  <si>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</si>
  <si>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</si>
  <si>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</si>
  <si>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</si>
  <si>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</si>
  <si>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</si>
  <si>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</si>
  <si>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</si>
  <si>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</si>
  <si>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</si>
  <si>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</si>
  <si>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</si>
  <si>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</si>
  <si>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</si>
  <si>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</si>
  <si>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</si>
  <si>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</si>
  <si>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</si>
  <si>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</si>
  <si>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</si>
  <si>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</si>
  <si>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</si>
  <si>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</si>
  <si>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</si>
  <si>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</si>
  <si>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</si>
  <si>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</si>
  <si>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</si>
  <si>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</si>
  <si>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</si>
  <si>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</si>
  <si>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</si>
  <si>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</si>
  <si>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</si>
  <si>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</si>
  <si>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</si>
  <si>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</si>
  <si>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</si>
  <si>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</si>
  <si>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</si>
  <si>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</si>
  <si>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</si>
  <si>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</si>
  <si>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</si>
  <si>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</si>
  <si>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</si>
  <si>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</si>
  <si>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</si>
  <si>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</si>
  <si>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</si>
  <si>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</si>
  <si>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</si>
  <si>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</si>
  <si>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</si>
  <si>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</si>
  <si>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</si>
  <si>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</si>
  <si>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</si>
  <si>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</si>
  <si>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</si>
  <si>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</si>
  <si>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</si>
  <si>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</si>
  <si>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</si>
  <si>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</si>
  <si>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</si>
  <si>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</si>
  <si>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</si>
  <si>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</si>
  <si>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</si>
  <si>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</si>
  <si>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</si>
  <si>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</si>
  <si>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</si>
  <si>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</si>
  <si>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</si>
  <si>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</si>
  <si>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</si>
  <si>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</si>
  <si>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</si>
  <si>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</si>
  <si>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</si>
  <si>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</si>
  <si>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</si>
  <si>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RICARDO GARCIA </t>
  </si>
  <si>
    <t xml:space="preserve">NO </t>
  </si>
  <si>
    <t xml:space="preserve">PENDIENTE </t>
  </si>
  <si>
    <t xml:space="preserve">DUO DIM OUT GOLDEN SAND </t>
  </si>
  <si>
    <t xml:space="preserve">COCINA VENT A </t>
  </si>
  <si>
    <t xml:space="preserve">COCINA VENT B </t>
  </si>
  <si>
    <t xml:space="preserve">REC PRINCIPAL SLD LADO A </t>
  </si>
  <si>
    <t xml:space="preserve">REC PRINCIPAL SLD LADO B </t>
  </si>
  <si>
    <t xml:space="preserve">REC 1 VISITAS SLD LADO A </t>
  </si>
  <si>
    <t xml:space="preserve">REC 1 VISITAS SLD LADO B </t>
  </si>
  <si>
    <t xml:space="preserve">REC 2 VISITAS VENTANA A </t>
  </si>
  <si>
    <t xml:space="preserve">REC 2 VISITAS VENTANA B </t>
  </si>
  <si>
    <t xml:space="preserve">RESIDENCIA PLAZA DE MAR </t>
  </si>
  <si>
    <t xml:space="preserve">MARIA TRINIDAD SALCEDO </t>
  </si>
  <si>
    <t xml:space="preserve">ENSENADA </t>
  </si>
  <si>
    <t xml:space="preserve">PLAZA DEL MAR SECC CLUB </t>
  </si>
  <si>
    <t xml:space="preserve">MARBELLA </t>
  </si>
  <si>
    <t>17-2</t>
  </si>
  <si>
    <t>928-580-2242</t>
  </si>
  <si>
    <t>*</t>
  </si>
  <si>
    <t xml:space="preserve">BS 251108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</si>
</sst>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9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zoomScale="85" zoomScaleNormal="85" workbookViewId="0">
      <selection activeCell="M79" sqref="M79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>'CALCULATOR SHEET'!T9</f>
        <v>45880</v>
      </c>
      <c r="J5" s="288"/>
      <c r="K5" s="288"/>
      <c r="L5" s="288"/>
      <c r="M5" s="289" t="str">
        <f>IF('CALCULATOR SHEET'!W2=1,"DOCUMENT #","DOCUMENTO #")</f>
        <v>DOCUMENT #</v>
      </c>
      <c r="N5" s="364" t="str">
        <f>IF('CALCULATOR SHEET'!T5&lt;&gt;"",'CALCULATOR SHEET'!T5,"")</f>
        <v xml:space="preserve">BS 251108 A </v>
      </c>
      <c r="O5" s="364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 xml:space="preserve">RESIDENCIA PLAZA DE MAR </v>
      </c>
      <c r="J7" s="365" t="str">
        <f>IF('CALCULATOR SHEET'!H8&lt;&gt;"","Calle: "&amp;'CALCULATOR SHEET'!H10&amp;", Numero: "&amp;'CALCULATOR SHEET'!H11,"")</f>
        <v>Calle: MARBELLA , Numero: 17-2</v>
      </c>
      <c r="K7" s="365"/>
      <c r="L7" s="365"/>
      <c r="N7" s="156" t="str">
        <f>IF('CALCULATOR SHEET'!P5&lt;&gt;"",'CALCULATOR SHEET'!P5,"")</f>
        <v xml:space="preserve">PENDIENTE </v>
      </c>
      <c r="O7" s="156"/>
      <c r="P7" s="178" t="str">
        <f>IF('CALCULATOR SHEET'!P4&lt;&gt;"",'CALCULATOR SHEET'!P4,"")</f>
        <v xml:space="preserve">NO </v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5" t="str">
        <f>IF('CALCULATOR SHEET'!H9&lt;&gt;"","Frac: "&amp;'CALCULATOR SHEET'!H9&amp;" - "&amp;'CALCULATOR SHEET'!H8,"")</f>
        <v xml:space="preserve">Frac: PLAZA DEL MAR SECC CLUB  - ENSENADA </v>
      </c>
      <c r="K8" s="365"/>
      <c r="L8" s="365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 xml:space="preserve">MARIA TRINIDAD SALCEDO </v>
      </c>
      <c r="J10" s="365" t="str">
        <f>IF('CALCULATOR SHEET'!K11&lt;&gt;"",'CALCULATOR SHEET'!$K$11&amp;" Cell: "&amp;'CALCULATOR SHEET'!K10,"")</f>
        <v>* Cell: 928-580-2242</v>
      </c>
      <c r="K10" s="365"/>
      <c r="L10" s="365"/>
      <c r="N10" s="365" t="str">
        <f>IF('CALCULATOR SHEET'!S70&lt;&gt;"",'CALCULATOR SHEET'!S70,"")</f>
        <v xml:space="preserve">RICARDO GARCIA </v>
      </c>
      <c r="O10" s="365"/>
      <c r="P10" s="365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ZEBRA</v>
      </c>
      <c r="F14" s="170" t="str">
        <f>IF('CALCULATOR SHEET'!E13&lt;&gt;"",'CALCULATOR SHEET'!E13,"")</f>
        <v>GROUP 5</v>
      </c>
      <c r="G14" s="170" t="str">
        <f>IF('CALCULATOR SHEET'!G13&lt;&gt;"",'CALCULATOR SHEET'!G13,"")</f>
        <v xml:space="preserve">DUO DIM OUT GOLDEN SAND </v>
      </c>
      <c r="H14" s="170" t="str">
        <f>IF('CALCULATOR SHEET'!H13&lt;&gt;"",'CALCULATOR SHEET'!H13,"")</f>
        <v xml:space="preserve">COCINA VENT A </v>
      </c>
      <c r="I14" s="171">
        <f>IF(E14&lt;&gt;"",'CALCULATOR SHEET'!I13,"")</f>
        <v>37.75</v>
      </c>
      <c r="J14" s="171">
        <f>IF(I14&lt;&gt;"",'CALCULATOR SHEET'!J13,"")</f>
        <v>45</v>
      </c>
      <c r="K14" s="169" t="str">
        <f>IF('CALCULATOR SHEET'!K13&lt;&gt;"",IF('CALCULATOR SHEET'!$W$2=1,'CALCULATOR SHEET'!K13,VLOOKUP('CALCULATOR SHEET'!K13,GENERAL!$H$6:$I$11,2,0)),"")</f>
        <v>PLASTIC CHAIN WHITE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179</v>
      </c>
      <c r="O14" s="164"/>
      <c r="P14" s="167">
        <f>IF(D14&lt;&gt;"",N14*D14,"")</f>
        <v>179</v>
      </c>
      <c r="Q14" s="194"/>
      <c r="R14" s="64" t="s">
        <v>200</v>
      </c>
      <c r="T14" s="160">
        <f>IF('CALCULATOR SHEET'!$T$58="PESOS",'CALCULATOR SHEET'!S13*'CALCULATOR SHEET'!$W$6,'CALCULATOR SHEET'!S13)</f>
        <v>179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ZEBRA</v>
      </c>
      <c r="F15" s="175" t="str">
        <f>IF('CALCULATOR SHEET'!E14&lt;&gt;"",'CALCULATOR SHEET'!E14,"")</f>
        <v>GROUP 5</v>
      </c>
      <c r="G15" s="175" t="str">
        <f>IF('CALCULATOR SHEET'!G14&lt;&gt;"",'CALCULATOR SHEET'!G14,"")</f>
        <v xml:space="preserve">DUO DIM OUT GOLDEN SAND </v>
      </c>
      <c r="H15" s="175" t="str">
        <f>IF('CALCULATOR SHEET'!H14&lt;&gt;"",'CALCULATOR SHEET'!H14,"")</f>
        <v xml:space="preserve">COCINA VENT B </v>
      </c>
      <c r="I15" s="176">
        <f>IF(E15&lt;&gt;"",'CALCULATOR SHEET'!I14,"")</f>
        <v>43.5</v>
      </c>
      <c r="J15" s="176">
        <f>IF(I15&lt;&gt;"",'CALCULATOR SHEET'!J14,"")</f>
        <v>54</v>
      </c>
      <c r="K15" s="169" t="str">
        <f>IF('CALCULATOR SHEET'!K14&lt;&gt;"",IF('CALCULATOR SHEET'!$W$2=1,'CALCULATOR SHEET'!K14,VLOOKUP('CALCULATOR SHEET'!K14,GENERAL!$H$6:$I$11,2,0)),"")</f>
        <v>PLASTIC CHAIN WHITE</v>
      </c>
      <c r="L15" s="174" t="str">
        <f>IF('CALCULATOR SHEET'!M14&lt;&gt;"",'CALCULATOR SHEET'!M14,"")</f>
        <v>L</v>
      </c>
      <c r="M15" s="174" t="str">
        <f>IF(E15&lt;&gt;"",IF(OR('CALCULATOR SHEET'!P14&lt;&gt;"NO",'CALCULATOR SHEET'!Q14&lt;&gt;"NO"),"YES",""),"")</f>
        <v/>
      </c>
      <c r="N15" s="177">
        <f>IF(E15&lt;&gt;"",T15,"")</f>
        <v>197</v>
      </c>
      <c r="O15" s="165"/>
      <c r="P15" s="166">
        <f>IF(D15&lt;&gt;"",N15*D15,"")</f>
        <v>197</v>
      </c>
      <c r="Q15" s="195"/>
      <c r="R15" s="64" t="s">
        <v>200</v>
      </c>
      <c r="T15" s="160">
        <f>IF('CALCULATOR SHEET'!$T$58="PESOS",'CALCULATOR SHEET'!S14*'CALCULATOR SHEET'!$W$6,'CALCULATOR SHEET'!S14)</f>
        <v>197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ZEBRA</v>
      </c>
      <c r="F16" s="175" t="str">
        <f>IF('CALCULATOR SHEET'!E15&lt;&gt;"",'CALCULATOR SHEET'!E15,"")</f>
        <v>GROUP 5</v>
      </c>
      <c r="G16" s="175" t="str">
        <f>IF('CALCULATOR SHEET'!G15&lt;&gt;"",'CALCULATOR SHEET'!G15,"")</f>
        <v xml:space="preserve">DUO DIM OUT GOLDEN SAND </v>
      </c>
      <c r="H16" s="175" t="str">
        <f>IF('CALCULATOR SHEET'!H15&lt;&gt;"",'CALCULATOR SHEET'!H15,"")</f>
        <v xml:space="preserve">REC PRINCIPAL SLD LADO A </v>
      </c>
      <c r="I16" s="176">
        <f>IF(E16&lt;&gt;"",'CALCULATOR SHEET'!I15,"")</f>
        <v>54</v>
      </c>
      <c r="J16" s="176">
        <f>IF(I16&lt;&gt;"",'CALCULATOR SHEET'!J15,"")</f>
        <v>83</v>
      </c>
      <c r="K16" s="169" t="str">
        <f>IF('CALCULATOR SHEET'!K15&lt;&gt;"",IF('CALCULATOR SHEET'!$W$2=1,'CALCULATOR SHEET'!K15,VLOOKUP('CALCULATOR SHEET'!K15,GENERAL!$H$6:$I$11,2,0)),"")</f>
        <v>PLASTIC CHAIN WHITE</v>
      </c>
      <c r="L16" s="174" t="str">
        <f>IF('CALCULATOR SHEET'!M15&lt;&gt;"",'CALCULATOR SHEET'!M15,"")</f>
        <v>L</v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257</v>
      </c>
      <c r="O16" s="165"/>
      <c r="P16" s="166">
        <f t="shared" ref="P16:P53" si="1">IF(D16&lt;&gt;"",N16*D16,"")</f>
        <v>257</v>
      </c>
      <c r="Q16" s="195"/>
      <c r="R16" s="64" t="s">
        <v>200</v>
      </c>
      <c r="T16" s="160">
        <f>IF('CALCULATOR SHEET'!$T$58="PESOS",'CALCULATOR SHEET'!S15*'CALCULATOR SHEET'!$W$6,'CALCULATOR SHEET'!S15)</f>
        <v>257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70" t="str">
        <f>IF('CALCULATOR SHEET'!D16&lt;&gt;"",IF('CALCULATOR SHEET'!$W$2=1,'CALCULATOR SHEET'!D16,VLOOKUP('CALCULATOR SHEET'!D16,GENERAL!$J$6:$K$13,2,0)),"")</f>
        <v>ZEBRA</v>
      </c>
      <c r="F17" s="175" t="str">
        <f>IF('CALCULATOR SHEET'!E16&lt;&gt;"",'CALCULATOR SHEET'!E16,"")</f>
        <v>GROUP 5</v>
      </c>
      <c r="G17" s="175" t="str">
        <f>IF('CALCULATOR SHEET'!G16&lt;&gt;"",'CALCULATOR SHEET'!G16,"")</f>
        <v xml:space="preserve">DUO DIM OUT GOLDEN SAND </v>
      </c>
      <c r="H17" s="175" t="str">
        <f>IF('CALCULATOR SHEET'!H16&lt;&gt;"",'CALCULATOR SHEET'!H16,"")</f>
        <v xml:space="preserve">REC PRINCIPAL SLD LADO B </v>
      </c>
      <c r="I17" s="176">
        <f>IF(E17&lt;&gt;"",'CALCULATOR SHEET'!I16,"")</f>
        <v>54</v>
      </c>
      <c r="J17" s="176">
        <f>IF(I17&lt;&gt;"",'CALCULATOR SHEET'!J16,"")</f>
        <v>83</v>
      </c>
      <c r="K17" s="169" t="str">
        <f>IF('CALCULATOR SHEET'!K16&lt;&gt;"",IF('CALCULATOR SHEET'!$W$2=1,'CALCULATOR SHEET'!K16,VLOOKUP('CALCULATOR SHEET'!K16,GENERAL!$H$6:$I$11,2,0)),"")</f>
        <v>PLASTIC CHAIN WHITE</v>
      </c>
      <c r="L17" s="174" t="str">
        <f>IF('CALCULATOR SHEET'!M16&lt;&gt;"",'CALCULATOR SHEET'!M16,"")</f>
        <v>R</v>
      </c>
      <c r="M17" s="174" t="str">
        <f>IF(E17&lt;&gt;"",IF(OR('CALCULATOR SHEET'!P16&lt;&gt;"NO",'CALCULATOR SHEET'!Q16&lt;&gt;"NO"),"YES",""),"")</f>
        <v/>
      </c>
      <c r="N17" s="177">
        <f t="shared" si="0"/>
        <v>257</v>
      </c>
      <c r="O17" s="165"/>
      <c r="P17" s="166">
        <f t="shared" si="1"/>
        <v>257</v>
      </c>
      <c r="Q17" s="195"/>
      <c r="R17" s="64" t="s">
        <v>200</v>
      </c>
      <c r="T17" s="160">
        <f>IF('CALCULATOR SHEET'!$T$58="PESOS",'CALCULATOR SHEET'!S16*'CALCULATOR SHEET'!$W$6,'CALCULATOR SHEET'!S16)</f>
        <v>257</v>
      </c>
    </row>
    <row r="18" spans="3:22" s="64" customFormat="1" ht="45" customHeight="1">
      <c r="C18" s="173">
        <f t="shared" si="2"/>
        <v>5</v>
      </c>
      <c r="D18" s="174">
        <f>IF('CALCULATOR SHEET'!C17&lt;&gt;"",'CALCULATOR SHEET'!C17,"")</f>
        <v>1</v>
      </c>
      <c r="E18" s="170" t="str">
        <f>IF('CALCULATOR SHEET'!D17&lt;&gt;"",IF('CALCULATOR SHEET'!$W$2=1,'CALCULATOR SHEET'!D17,VLOOKUP('CALCULATOR SHEET'!D17,GENERAL!$J$6:$K$13,2,0)),"")</f>
        <v>ZEBRA</v>
      </c>
      <c r="F18" s="175" t="str">
        <f>IF('CALCULATOR SHEET'!E17&lt;&gt;"",'CALCULATOR SHEET'!E17,"")</f>
        <v>GROUP 5</v>
      </c>
      <c r="G18" s="175" t="str">
        <f>IF('CALCULATOR SHEET'!G17&lt;&gt;"",'CALCULATOR SHEET'!G17,"")</f>
        <v xml:space="preserve">DUO DIM OUT GOLDEN SAND </v>
      </c>
      <c r="H18" s="175" t="str">
        <f>IF('CALCULATOR SHEET'!H17&lt;&gt;"",'CALCULATOR SHEET'!H17,"")</f>
        <v xml:space="preserve">REC 1 VISITAS SLD LADO A </v>
      </c>
      <c r="I18" s="176">
        <f>IF(E18&lt;&gt;"",'CALCULATOR SHEET'!I17,"")</f>
        <v>38</v>
      </c>
      <c r="J18" s="176">
        <f>IF(I18&lt;&gt;"",'CALCULATOR SHEET'!J17,"")</f>
        <v>86</v>
      </c>
      <c r="K18" s="169" t="str">
        <f>IF('CALCULATOR SHEET'!K17&lt;&gt;"",IF('CALCULATOR SHEET'!$W$2=1,'CALCULATOR SHEET'!K17,VLOOKUP('CALCULATOR SHEET'!K17,GENERAL!$H$6:$I$11,2,0)),"")</f>
        <v>PLASTIC CHAIN WHITE</v>
      </c>
      <c r="L18" s="174" t="str">
        <f>IF('CALCULATOR SHEET'!M17&lt;&gt;"",'CALCULATOR SHEET'!M17,"")</f>
        <v>L</v>
      </c>
      <c r="M18" s="174" t="str">
        <f>IF(E18&lt;&gt;"",IF(OR('CALCULATOR SHEET'!P17&lt;&gt;"NO",'CALCULATOR SHEET'!Q17&lt;&gt;"NO"),"YES",""),"")</f>
        <v/>
      </c>
      <c r="N18" s="177">
        <f t="shared" si="0"/>
        <v>252</v>
      </c>
      <c r="O18" s="165"/>
      <c r="P18" s="166">
        <f t="shared" si="1"/>
        <v>252</v>
      </c>
      <c r="Q18" s="195"/>
      <c r="R18" s="64" t="s">
        <v>200</v>
      </c>
      <c r="T18" s="160">
        <f>IF('CALCULATOR SHEET'!$T$58="PESOS",'CALCULATOR SHEET'!S17*'CALCULATOR SHEET'!$W$6,'CALCULATOR SHEET'!S17)</f>
        <v>252</v>
      </c>
    </row>
    <row r="19" spans="3:22" s="64" customFormat="1" ht="45" customHeight="1">
      <c r="C19" s="173">
        <f t="shared" si="2"/>
        <v>6</v>
      </c>
      <c r="D19" s="174">
        <f>IF('CALCULATOR SHEET'!C18&lt;&gt;"",'CALCULATOR SHEET'!C18,"")</f>
        <v>1</v>
      </c>
      <c r="E19" s="170" t="str">
        <f>IF('CALCULATOR SHEET'!D18&lt;&gt;"",IF('CALCULATOR SHEET'!$W$2=1,'CALCULATOR SHEET'!D18,VLOOKUP('CALCULATOR SHEET'!D18,GENERAL!$J$6:$K$13,2,0)),"")</f>
        <v>ZEBRA</v>
      </c>
      <c r="F19" s="175" t="str">
        <f>IF('CALCULATOR SHEET'!E18&lt;&gt;"",'CALCULATOR SHEET'!E18,"")</f>
        <v>GROUP 5</v>
      </c>
      <c r="G19" s="175" t="str">
        <f>IF('CALCULATOR SHEET'!G18&lt;&gt;"",'CALCULATOR SHEET'!G18,"")</f>
        <v xml:space="preserve">DUO DIM OUT GOLDEN SAND </v>
      </c>
      <c r="H19" s="175" t="str">
        <f>IF('CALCULATOR SHEET'!H18&lt;&gt;"",'CALCULATOR SHEET'!H18,"")</f>
        <v xml:space="preserve">REC 1 VISITAS SLD LADO B </v>
      </c>
      <c r="I19" s="176">
        <f>IF(E19&lt;&gt;"",'CALCULATOR SHEET'!I18,"")</f>
        <v>39</v>
      </c>
      <c r="J19" s="176">
        <f>IF(I19&lt;&gt;"",'CALCULATOR SHEET'!J18,"")</f>
        <v>86</v>
      </c>
      <c r="K19" s="169" t="str">
        <f>IF('CALCULATOR SHEET'!K18&lt;&gt;"",IF('CALCULATOR SHEET'!$W$2=1,'CALCULATOR SHEET'!K18,VLOOKUP('CALCULATOR SHEET'!K18,GENERAL!$H$6:$I$11,2,0)),"")</f>
        <v>PLASTIC CHAIN WHITE</v>
      </c>
      <c r="L19" s="174" t="str">
        <f>IF('CALCULATOR SHEET'!M18&lt;&gt;"",'CALCULATOR SHEET'!M18,"")</f>
        <v>R</v>
      </c>
      <c r="M19" s="174" t="str">
        <f>IF(E19&lt;&gt;"",IF(OR('CALCULATOR SHEET'!P18&lt;&gt;"NO",'CALCULATOR SHEET'!Q18&lt;&gt;"NO"),"YES",""),"")</f>
        <v/>
      </c>
      <c r="N19" s="177">
        <f t="shared" si="0"/>
        <v>252</v>
      </c>
      <c r="O19" s="165"/>
      <c r="P19" s="166">
        <f t="shared" si="1"/>
        <v>252</v>
      </c>
      <c r="Q19" s="195"/>
      <c r="R19" s="64" t="str">
        <f t="shared" ref="R19:R60" si="3">IF(E19&lt;&gt;"","VERDADERO","FALSO")</f>
        <v>VERDADERO</v>
      </c>
      <c r="T19" s="160">
        <f>IF('CALCULATOR SHEET'!$T$58="PESOS",'CALCULATOR SHEET'!S18*'CALCULATOR SHEET'!$W$6,'CALCULATOR SHEET'!S18)</f>
        <v>252</v>
      </c>
    </row>
    <row r="20" spans="3:22" s="64" customFormat="1" ht="45" customHeight="1">
      <c r="C20" s="173">
        <f t="shared" si="2"/>
        <v>7</v>
      </c>
      <c r="D20" s="174">
        <f>IF('CALCULATOR SHEET'!C19&lt;&gt;"",'CALCULATOR SHEET'!C19,"")</f>
        <v>1</v>
      </c>
      <c r="E20" s="170" t="str">
        <f>IF('CALCULATOR SHEET'!D19&lt;&gt;"",IF('CALCULATOR SHEET'!$W$2=1,'CALCULATOR SHEET'!D19,VLOOKUP('CALCULATOR SHEET'!D19,GENERAL!$J$6:$K$13,2,0)),"")</f>
        <v>ZEBRA</v>
      </c>
      <c r="F20" s="175" t="str">
        <f>IF('CALCULATOR SHEET'!E19&lt;&gt;"",'CALCULATOR SHEET'!E19,"")</f>
        <v>GROUP 5</v>
      </c>
      <c r="G20" s="175" t="str">
        <f>IF('CALCULATOR SHEET'!G19&lt;&gt;"",'CALCULATOR SHEET'!G19,"")</f>
        <v xml:space="preserve">DUO DIM OUT GOLDEN SAND </v>
      </c>
      <c r="H20" s="175" t="str">
        <f>IF('CALCULATOR SHEET'!H19&lt;&gt;"",'CALCULATOR SHEET'!H19,"")</f>
        <v xml:space="preserve">REC 2 VISITAS VENTANA A </v>
      </c>
      <c r="I20" s="176">
        <f>IF(E20&lt;&gt;"",'CALCULATOR SHEET'!I19,"")</f>
        <v>46</v>
      </c>
      <c r="J20" s="176">
        <f>IF(I20&lt;&gt;"",'CALCULATOR SHEET'!J19,"")</f>
        <v>54</v>
      </c>
      <c r="K20" s="169" t="str">
        <f>IF('CALCULATOR SHEET'!K19&lt;&gt;"",IF('CALCULATOR SHEET'!$W$2=1,'CALCULATOR SHEET'!K19,VLOOKUP('CALCULATOR SHEET'!K19,GENERAL!$H$6:$I$11,2,0)),"")</f>
        <v>PLASTIC CHAIN WHITE</v>
      </c>
      <c r="L20" s="174" t="str">
        <f>IF('CALCULATOR SHEET'!M19&lt;&gt;"",'CALCULATOR SHEET'!M19,"")</f>
        <v>R</v>
      </c>
      <c r="M20" s="174" t="str">
        <f>IF(E20&lt;&gt;"",IF(OR('CALCULATOR SHEET'!P19&lt;&gt;"NO",'CALCULATOR SHEET'!Q19&lt;&gt;"NO"),"YES",""),"")</f>
        <v/>
      </c>
      <c r="N20" s="177">
        <f t="shared" si="0"/>
        <v>197</v>
      </c>
      <c r="O20" s="165"/>
      <c r="P20" s="166">
        <f t="shared" si="1"/>
        <v>197</v>
      </c>
      <c r="Q20" s="195"/>
      <c r="R20" s="64" t="str">
        <f t="shared" si="3"/>
        <v>VERDADERO</v>
      </c>
      <c r="T20" s="160">
        <f>IF('CALCULATOR SHEET'!$T$58="PESOS",'CALCULATOR SHEET'!S19*'CALCULATOR SHEET'!$W$6,'CALCULATOR SHEET'!S19)</f>
        <v>197</v>
      </c>
      <c r="V20" s="162"/>
    </row>
    <row r="21" spans="3:22" s="64" customFormat="1" ht="45" customHeight="1">
      <c r="C21" s="173">
        <f t="shared" si="2"/>
        <v>8</v>
      </c>
      <c r="D21" s="174">
        <f>IF('CALCULATOR SHEET'!C20&lt;&gt;"",'CALCULATOR SHEET'!C20,"")</f>
        <v>1</v>
      </c>
      <c r="E21" s="170" t="str">
        <f>IF('CALCULATOR SHEET'!D20&lt;&gt;"",IF('CALCULATOR SHEET'!$W$2=1,'CALCULATOR SHEET'!D20,VLOOKUP('CALCULATOR SHEET'!D20,GENERAL!$J$6:$K$13,2,0)),"")</f>
        <v>ZEBRA</v>
      </c>
      <c r="F21" s="175" t="str">
        <f>IF('CALCULATOR SHEET'!E20&lt;&gt;"",'CALCULATOR SHEET'!E20,"")</f>
        <v>GROUP 5</v>
      </c>
      <c r="G21" s="175" t="str">
        <f>IF('CALCULATOR SHEET'!G20&lt;&gt;"",'CALCULATOR SHEET'!G20,"")</f>
        <v xml:space="preserve">DUO DIM OUT GOLDEN SAND </v>
      </c>
      <c r="H21" s="175" t="str">
        <f>IF('CALCULATOR SHEET'!H20&lt;&gt;"",'CALCULATOR SHEET'!H20,"")</f>
        <v xml:space="preserve">REC 2 VISITAS VENTANA B </v>
      </c>
      <c r="I21" s="176">
        <f>IF(E21&lt;&gt;"",'CALCULATOR SHEET'!I20,"")</f>
        <v>53.5</v>
      </c>
      <c r="J21" s="176">
        <f>IF(I21&lt;&gt;"",'CALCULATOR SHEET'!J20,"")</f>
        <v>54</v>
      </c>
      <c r="K21" s="169" t="str">
        <f>IF('CALCULATOR SHEET'!K20&lt;&gt;"",IF('CALCULATOR SHEET'!$W$2=1,'CALCULATOR SHEET'!K20,VLOOKUP('CALCULATOR SHEET'!K20,GENERAL!$H$6:$I$11,2,0)),"")</f>
        <v>PLASTIC CHAIN WHITE</v>
      </c>
      <c r="L21" s="174" t="str">
        <f>IF('CALCULATOR SHEET'!M20&lt;&gt;"",'CALCULATOR SHEET'!M20,"")</f>
        <v>L</v>
      </c>
      <c r="M21" s="174" t="str">
        <f>IF(E21&lt;&gt;"",IF(OR('CALCULATOR SHEET'!P20&lt;&gt;"NO",'CALCULATOR SHEET'!Q20&lt;&gt;"NO"),"YES",""),"")</f>
        <v/>
      </c>
      <c r="N21" s="177">
        <f t="shared" si="0"/>
        <v>205</v>
      </c>
      <c r="O21" s="165"/>
      <c r="P21" s="166">
        <f t="shared" si="1"/>
        <v>205</v>
      </c>
      <c r="Q21" s="195"/>
      <c r="R21" s="64" t="str">
        <f t="shared" si="3"/>
        <v>VERDADERO</v>
      </c>
      <c r="T21" s="160">
        <f>IF('CALCULATOR SHEET'!$T$58="PESOS",'CALCULATOR SHEET'!S20*'CALCULATOR SHEET'!$W$6,'CALCULATOR SHEET'!S20)</f>
        <v>205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hidden="1" customHeight="1">
      <c r="C56" s="292" t="str">
        <f>IF('CALCULATOR SHEET'!B54&lt;&gt;"",'CALCULATOR SHEET'!B54,"")</f>
        <v/>
      </c>
      <c r="D56" s="67" t="str">
        <f>IF('CALCULATOR SHEET'!C54&lt;&gt;"",'CALCULATOR SHEET'!C54,"")</f>
        <v/>
      </c>
      <c r="E56" s="291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1796</v>
      </c>
      <c r="Q62" s="188"/>
      <c r="X62" s="163" t="str">
        <f>IF('CALCULATOR SHEET'!$W$2=1,GENERAL!Q35,GENERAL!S35)</f>
        <v>SUB TOTAL</v>
      </c>
      <c r="Y62" s="222">
        <f>P62</f>
        <v>1796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0.3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0.3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538.79999999999995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1257.2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1257.2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2">
        <f>IF(Y65=0,"",Y65)</f>
        <v>1257.2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/>
      <c r="N69" s="350"/>
      <c r="O69" s="350"/>
      <c r="X69" s="163" t="str">
        <f>IF('CALCULATOR SHEET'!$W$2=1,GENERAL!Q42,GENERAL!S42)</f>
        <v>GRAND TOTAL=</v>
      </c>
      <c r="Y69" s="222">
        <f>'CALCULATOR SHEET'!T66</f>
        <v>1257.2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1257.2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 xml:space="preserve">RICARDO GARCIA 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37.75</v>
      </c>
      <c r="AK7" s="53">
        <f>'CALCULATOR SHEET'!J13</f>
        <v>45</v>
      </c>
      <c r="AL7" s="53">
        <f>IF(AJ7=0,"",MATCH(CEILING(AJ7,6),$D$4:$Z$4,0))</f>
        <v>4</v>
      </c>
      <c r="AM7" s="53">
        <f>IF(AK7=0,"",MATCH(CEILING(AK7,6),$C$7:$C$28,0))</f>
        <v>5</v>
      </c>
      <c r="AN7" s="54">
        <f>IF(AL7="","",INDEX($D$7:$Z$28,AM7,AL7))</f>
        <v>110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43.5</v>
      </c>
      <c r="AK8" s="53">
        <f>'CALCULATOR SHEET'!J14</f>
        <v>54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6</v>
      </c>
      <c r="AN8" s="54">
        <f t="shared" ref="AN8:AN71" si="2">IF(AL8="","",INDEX($D$7:$Z$28,AM8,AL8))</f>
        <v>125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54</v>
      </c>
      <c r="AK9" s="53">
        <f>'CALCULATOR SHEET'!J15</f>
        <v>83</v>
      </c>
      <c r="AL9" s="53">
        <f t="shared" si="0"/>
        <v>6</v>
      </c>
      <c r="AM9" s="53">
        <f t="shared" si="1"/>
        <v>11</v>
      </c>
      <c r="AN9" s="54">
        <f t="shared" si="2"/>
        <v>170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54</v>
      </c>
      <c r="AK10" s="53">
        <f>'CALCULATOR SHEET'!J16</f>
        <v>83</v>
      </c>
      <c r="AL10" s="53">
        <f t="shared" si="0"/>
        <v>6</v>
      </c>
      <c r="AM10" s="53">
        <f t="shared" si="1"/>
        <v>11</v>
      </c>
      <c r="AN10" s="54">
        <f t="shared" si="2"/>
        <v>170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38</v>
      </c>
      <c r="AK11" s="53">
        <f>'CALCULATOR SHEET'!J17</f>
        <v>86</v>
      </c>
      <c r="AL11" s="53">
        <f t="shared" si="0"/>
        <v>4</v>
      </c>
      <c r="AM11" s="53">
        <f t="shared" si="1"/>
        <v>12</v>
      </c>
      <c r="AN11" s="54">
        <f t="shared" si="2"/>
        <v>149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39</v>
      </c>
      <c r="AK12" s="53">
        <f>'CALCULATOR SHEET'!J18</f>
        <v>86</v>
      </c>
      <c r="AL12" s="53">
        <f t="shared" si="0"/>
        <v>4</v>
      </c>
      <c r="AM12" s="53">
        <f t="shared" si="1"/>
        <v>12</v>
      </c>
      <c r="AN12" s="54">
        <f t="shared" si="2"/>
        <v>149</v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46</v>
      </c>
      <c r="AK13" s="53">
        <f>'CALCULATOR SHEET'!J19</f>
        <v>54</v>
      </c>
      <c r="AL13" s="53">
        <f t="shared" si="0"/>
        <v>5</v>
      </c>
      <c r="AM13" s="53">
        <f t="shared" si="1"/>
        <v>6</v>
      </c>
      <c r="AN13" s="54">
        <f t="shared" si="2"/>
        <v>125</v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53.5</v>
      </c>
      <c r="AK14" s="53">
        <f>'CALCULATOR SHEET'!J20</f>
        <v>54</v>
      </c>
      <c r="AL14" s="53">
        <f t="shared" si="0"/>
        <v>6</v>
      </c>
      <c r="AM14" s="53">
        <f t="shared" si="1"/>
        <v>6</v>
      </c>
      <c r="AN14" s="54">
        <f t="shared" si="2"/>
        <v>135</v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37.75</v>
      </c>
      <c r="AK7" s="53">
        <f>'CALCULATOR SHEET'!J13</f>
        <v>45</v>
      </c>
      <c r="AL7" s="53">
        <f t="shared" ref="AL7:AL70" si="0">IF(AJ7=0,"",MATCH(CEILING(AJ7,6),$D$4:$Z$4,0))</f>
        <v>4</v>
      </c>
      <c r="AM7" s="53">
        <f>IF(AK7=0,"",MATCH(CEILING(AK7,6),$C$7:$C$28,0))</f>
        <v>5</v>
      </c>
      <c r="AN7" s="54">
        <f t="shared" ref="AN7:AN70" si="1">IF(AL7="","",INDEX($D$7:$Z$28,AM7,AL7))</f>
        <v>126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43.5</v>
      </c>
      <c r="AK8" s="53">
        <f>'CALCULATOR SHEET'!J14</f>
        <v>54</v>
      </c>
      <c r="AL8" s="53">
        <f t="shared" si="0"/>
        <v>5</v>
      </c>
      <c r="AM8" s="53">
        <f t="shared" ref="AM8:AM71" si="2">IF(AK8=0,"",MATCH(CEILING(AK8,6),$C$7:$C$28,0))</f>
        <v>6</v>
      </c>
      <c r="AN8" s="54">
        <f t="shared" si="1"/>
        <v>145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54</v>
      </c>
      <c r="AK9" s="53">
        <f>'CALCULATOR SHEET'!J15</f>
        <v>83</v>
      </c>
      <c r="AL9" s="53">
        <f t="shared" si="0"/>
        <v>6</v>
      </c>
      <c r="AM9" s="53">
        <f t="shared" si="2"/>
        <v>11</v>
      </c>
      <c r="AN9" s="54">
        <f t="shared" si="1"/>
        <v>201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54</v>
      </c>
      <c r="AK10" s="53">
        <f>'CALCULATOR SHEET'!J16</f>
        <v>83</v>
      </c>
      <c r="AL10" s="53">
        <f t="shared" si="0"/>
        <v>6</v>
      </c>
      <c r="AM10" s="53">
        <f t="shared" si="2"/>
        <v>11</v>
      </c>
      <c r="AN10" s="54">
        <f t="shared" si="1"/>
        <v>201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38</v>
      </c>
      <c r="AK11" s="53">
        <f>'CALCULATOR SHEET'!J17</f>
        <v>86</v>
      </c>
      <c r="AL11" s="53">
        <f t="shared" si="0"/>
        <v>4</v>
      </c>
      <c r="AM11" s="53">
        <f t="shared" si="2"/>
        <v>12</v>
      </c>
      <c r="AN11" s="54">
        <f t="shared" si="1"/>
        <v>175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39</v>
      </c>
      <c r="AK12" s="53">
        <f>'CALCULATOR SHEET'!J18</f>
        <v>86</v>
      </c>
      <c r="AL12" s="53">
        <f t="shared" si="0"/>
        <v>4</v>
      </c>
      <c r="AM12" s="53">
        <f t="shared" si="2"/>
        <v>12</v>
      </c>
      <c r="AN12" s="54">
        <f t="shared" si="1"/>
        <v>175</v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46</v>
      </c>
      <c r="AK13" s="53">
        <f>'CALCULATOR SHEET'!J19</f>
        <v>54</v>
      </c>
      <c r="AL13" s="53">
        <f t="shared" si="0"/>
        <v>5</v>
      </c>
      <c r="AM13" s="53">
        <f t="shared" si="2"/>
        <v>6</v>
      </c>
      <c r="AN13" s="54">
        <f t="shared" si="1"/>
        <v>145</v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53.5</v>
      </c>
      <c r="AK14" s="53">
        <f>'CALCULATOR SHEET'!J20</f>
        <v>54</v>
      </c>
      <c r="AL14" s="53">
        <f t="shared" si="0"/>
        <v>6</v>
      </c>
      <c r="AM14" s="53">
        <f t="shared" si="2"/>
        <v>6</v>
      </c>
      <c r="AN14" s="54">
        <f t="shared" si="1"/>
        <v>157</v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37.75</v>
      </c>
      <c r="AK7" s="53">
        <f>'CALCULATOR SHEET'!J13</f>
        <v>45</v>
      </c>
      <c r="AL7" s="53">
        <f>IF(AJ7=0,"",MATCH(CEILING(AJ7,6),$D$4:$Z$4,0))</f>
        <v>4</v>
      </c>
      <c r="AM7" s="53">
        <f>IF(AK7=0,"",MATCH(CEILING(AK7,6),$C$7:$C$28,0))</f>
        <v>5</v>
      </c>
      <c r="AN7" s="54">
        <f>IF(AL7="","",INDEX($D$7:$Z$28,AM7,AL7))</f>
        <v>128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43.5</v>
      </c>
      <c r="AK8" s="53">
        <f>'CALCULATOR SHEET'!J14</f>
        <v>54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6</v>
      </c>
      <c r="AN8" s="54">
        <f t="shared" ref="AN8:AN71" si="2">IF(AL8="","",INDEX($D$7:$Z$28,AM8,AL8))</f>
        <v>149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54</v>
      </c>
      <c r="AK9" s="53">
        <f>'CALCULATOR SHEET'!J15</f>
        <v>83</v>
      </c>
      <c r="AL9" s="53">
        <f t="shared" si="0"/>
        <v>6</v>
      </c>
      <c r="AM9" s="53">
        <f t="shared" si="1"/>
        <v>11</v>
      </c>
      <c r="AN9" s="54">
        <f t="shared" si="2"/>
        <v>207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54</v>
      </c>
      <c r="AK10" s="53">
        <f>'CALCULATOR SHEET'!J16</f>
        <v>83</v>
      </c>
      <c r="AL10" s="53">
        <f t="shared" si="0"/>
        <v>6</v>
      </c>
      <c r="AM10" s="53">
        <f t="shared" si="1"/>
        <v>11</v>
      </c>
      <c r="AN10" s="54">
        <f t="shared" si="2"/>
        <v>207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38</v>
      </c>
      <c r="AK11" s="53">
        <f>'CALCULATOR SHEET'!J17</f>
        <v>86</v>
      </c>
      <c r="AL11" s="53">
        <f t="shared" si="0"/>
        <v>4</v>
      </c>
      <c r="AM11" s="53">
        <f t="shared" si="1"/>
        <v>12</v>
      </c>
      <c r="AN11" s="54">
        <f t="shared" si="2"/>
        <v>179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39</v>
      </c>
      <c r="AK12" s="53">
        <f>'CALCULATOR SHEET'!J18</f>
        <v>86</v>
      </c>
      <c r="AL12" s="53">
        <f t="shared" si="0"/>
        <v>4</v>
      </c>
      <c r="AM12" s="53">
        <f t="shared" si="1"/>
        <v>12</v>
      </c>
      <c r="AN12" s="54">
        <f t="shared" si="2"/>
        <v>179</v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46</v>
      </c>
      <c r="AK13" s="53">
        <f>'CALCULATOR SHEET'!J19</f>
        <v>54</v>
      </c>
      <c r="AL13" s="53">
        <f t="shared" si="0"/>
        <v>5</v>
      </c>
      <c r="AM13" s="53">
        <f t="shared" si="1"/>
        <v>6</v>
      </c>
      <c r="AN13" s="54">
        <f t="shared" si="2"/>
        <v>149</v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53.5</v>
      </c>
      <c r="AK14" s="53">
        <f>'CALCULATOR SHEET'!J20</f>
        <v>54</v>
      </c>
      <c r="AL14" s="53">
        <f t="shared" si="0"/>
        <v>6</v>
      </c>
      <c r="AM14" s="53">
        <f t="shared" si="1"/>
        <v>6</v>
      </c>
      <c r="AN14" s="54">
        <f t="shared" si="2"/>
        <v>161</v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37.75</v>
      </c>
      <c r="AK7" s="53">
        <f>'CALCULATOR SHEET'!J13</f>
        <v>45</v>
      </c>
      <c r="AL7" s="53">
        <f>IF(AJ7=0,"",MATCH(CEILING(AJ7,6),$D$4:$Z$4,0))</f>
        <v>4</v>
      </c>
      <c r="AM7" s="53">
        <f>IF(AK7=0,"",MATCH(CEILING(AK7,6),$C$7:$C$28,0))</f>
        <v>5</v>
      </c>
      <c r="AN7" s="54">
        <f>IF(AL7="","",INDEX($D$7:$Z$28,AM7,AL7))</f>
        <v>147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43.5</v>
      </c>
      <c r="AK8" s="53">
        <f>'CALCULATOR SHEET'!J14</f>
        <v>54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6</v>
      </c>
      <c r="AN8" s="54">
        <f t="shared" ref="AN8:AN71" si="2">IF(AL8="","",INDEX($D$7:$Z$28,AM8,AL8))</f>
        <v>172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54</v>
      </c>
      <c r="AK9" s="53">
        <f>'CALCULATOR SHEET'!J15</f>
        <v>83</v>
      </c>
      <c r="AL9" s="53">
        <f t="shared" si="0"/>
        <v>6</v>
      </c>
      <c r="AM9" s="53">
        <f t="shared" si="1"/>
        <v>11</v>
      </c>
      <c r="AN9" s="54">
        <f t="shared" si="2"/>
        <v>245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54</v>
      </c>
      <c r="AK10" s="53">
        <f>'CALCULATOR SHEET'!J16</f>
        <v>83</v>
      </c>
      <c r="AL10" s="53">
        <f t="shared" si="0"/>
        <v>6</v>
      </c>
      <c r="AM10" s="53">
        <f t="shared" si="1"/>
        <v>11</v>
      </c>
      <c r="AN10" s="54">
        <f t="shared" si="2"/>
        <v>245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38</v>
      </c>
      <c r="AK11" s="53">
        <f>'CALCULATOR SHEET'!J17</f>
        <v>86</v>
      </c>
      <c r="AL11" s="53">
        <f t="shared" si="0"/>
        <v>4</v>
      </c>
      <c r="AM11" s="53">
        <f t="shared" si="1"/>
        <v>12</v>
      </c>
      <c r="AN11" s="54">
        <f t="shared" si="2"/>
        <v>211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39</v>
      </c>
      <c r="AK12" s="53">
        <f>'CALCULATOR SHEET'!J18</f>
        <v>86</v>
      </c>
      <c r="AL12" s="53">
        <f t="shared" si="0"/>
        <v>4</v>
      </c>
      <c r="AM12" s="53">
        <f t="shared" si="1"/>
        <v>12</v>
      </c>
      <c r="AN12" s="54">
        <f t="shared" si="2"/>
        <v>211</v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46</v>
      </c>
      <c r="AK13" s="53">
        <f>'CALCULATOR SHEET'!J19</f>
        <v>54</v>
      </c>
      <c r="AL13" s="53">
        <f t="shared" si="0"/>
        <v>5</v>
      </c>
      <c r="AM13" s="53">
        <f t="shared" si="1"/>
        <v>6</v>
      </c>
      <c r="AN13" s="54">
        <f t="shared" si="2"/>
        <v>172</v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53.5</v>
      </c>
      <c r="AK14" s="53">
        <f>'CALCULATOR SHEET'!J20</f>
        <v>54</v>
      </c>
      <c r="AL14" s="53">
        <f t="shared" si="0"/>
        <v>6</v>
      </c>
      <c r="AM14" s="53">
        <f t="shared" si="1"/>
        <v>6</v>
      </c>
      <c r="AN14" s="54">
        <f t="shared" si="2"/>
        <v>188</v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37.75</v>
      </c>
      <c r="AK7" s="53">
        <f>'CALCULATOR SHEET'!J13</f>
        <v>45</v>
      </c>
      <c r="AL7" s="53">
        <f>IF(AJ7=0,"",MATCH(CEILING(AJ7,6),$D$4:$Z$4,0))</f>
        <v>4</v>
      </c>
      <c r="AM7" s="53">
        <f>IF(AK7=0,"",MATCH(CEILING(AK7,6),$C$7:$C$28,0))</f>
        <v>5</v>
      </c>
      <c r="AN7" s="54">
        <f>IF(AL7="","",INDEX($D$7:$Z$28,AM7,AL7))</f>
        <v>164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43.5</v>
      </c>
      <c r="AK8" s="53">
        <f>'CALCULATOR SHEET'!J14</f>
        <v>54</v>
      </c>
      <c r="AL8" s="53">
        <f t="shared" ref="AL8:AL71" si="1">IF(AJ8=0,"",MATCH(CEILING(AJ8,6),$D$4:$Z$4,0))</f>
        <v>5</v>
      </c>
      <c r="AM8" s="53">
        <f t="shared" ref="AM8:AM71" si="2">IF(AK8=0,"",MATCH(CEILING(AK8,6),$C$7:$C$28,0))</f>
        <v>6</v>
      </c>
      <c r="AN8" s="54">
        <f t="shared" ref="AN8:AN71" si="3">IF(AL8="","",INDEX($D$7:$Z$28,AM8,AL8))</f>
        <v>194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54</v>
      </c>
      <c r="AK9" s="53">
        <f>'CALCULATOR SHEET'!J15</f>
        <v>83</v>
      </c>
      <c r="AL9" s="53">
        <f>IF(AJ9=0,"",MATCH(CEILING(AJ9,6),$D$4:$Z$4,0))</f>
        <v>6</v>
      </c>
      <c r="AM9" s="53">
        <f t="shared" si="2"/>
        <v>11</v>
      </c>
      <c r="AN9" s="54">
        <f t="shared" si="3"/>
        <v>279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54</v>
      </c>
      <c r="AK10" s="53">
        <f>'CALCULATOR SHEET'!J16</f>
        <v>83</v>
      </c>
      <c r="AL10" s="53">
        <f t="shared" si="1"/>
        <v>6</v>
      </c>
      <c r="AM10" s="53">
        <f t="shared" si="2"/>
        <v>11</v>
      </c>
      <c r="AN10" s="54">
        <f t="shared" si="3"/>
        <v>279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38</v>
      </c>
      <c r="AK11" s="53">
        <f>'CALCULATOR SHEET'!J17</f>
        <v>86</v>
      </c>
      <c r="AL11" s="53">
        <f t="shared" si="1"/>
        <v>4</v>
      </c>
      <c r="AM11" s="53">
        <f t="shared" si="2"/>
        <v>12</v>
      </c>
      <c r="AN11" s="54">
        <f t="shared" si="3"/>
        <v>239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39</v>
      </c>
      <c r="AK12" s="53">
        <f>'CALCULATOR SHEET'!J18</f>
        <v>86</v>
      </c>
      <c r="AL12" s="53">
        <f t="shared" si="1"/>
        <v>4</v>
      </c>
      <c r="AM12" s="53">
        <f t="shared" si="2"/>
        <v>12</v>
      </c>
      <c r="AN12" s="54">
        <f t="shared" si="3"/>
        <v>239</v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46</v>
      </c>
      <c r="AK13" s="53">
        <f>'CALCULATOR SHEET'!J19</f>
        <v>54</v>
      </c>
      <c r="AL13" s="53">
        <f t="shared" si="1"/>
        <v>5</v>
      </c>
      <c r="AM13" s="53">
        <f t="shared" si="2"/>
        <v>6</v>
      </c>
      <c r="AN13" s="54">
        <f t="shared" si="3"/>
        <v>194</v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53.5</v>
      </c>
      <c r="AK14" s="53">
        <f>'CALCULATOR SHEET'!J20</f>
        <v>54</v>
      </c>
      <c r="AL14" s="53">
        <f t="shared" si="1"/>
        <v>6</v>
      </c>
      <c r="AM14" s="53">
        <f t="shared" si="2"/>
        <v>6</v>
      </c>
      <c r="AN14" s="54">
        <f t="shared" si="3"/>
        <v>212</v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3" t="s">
        <v>298</v>
      </c>
      <c r="N1" s="383"/>
      <c r="O1" s="383"/>
      <c r="P1" s="383"/>
      <c r="Q1" s="383"/>
      <c r="R1" s="383"/>
      <c r="S1" s="383"/>
      <c r="T1" s="383"/>
      <c r="W1" s="24" t="s">
        <v>4</v>
      </c>
      <c r="X1" s="381">
        <v>44656</v>
      </c>
      <c r="Y1" s="381"/>
      <c r="AF1" s="8"/>
      <c r="AG1" s="8"/>
    </row>
    <row r="2" spans="1:93" s="1" customFormat="1" ht="18" customHeight="1">
      <c r="E2" s="20"/>
      <c r="M2" s="383"/>
      <c r="N2" s="383"/>
      <c r="O2" s="383"/>
      <c r="P2" s="383"/>
      <c r="Q2" s="383"/>
      <c r="R2" s="383"/>
      <c r="S2" s="383"/>
      <c r="T2" s="383"/>
      <c r="W2" s="25"/>
      <c r="AF2" s="8"/>
      <c r="AG2" s="8"/>
    </row>
    <row r="3" spans="1:93" s="1" customFormat="1" ht="18" customHeight="1" thickBot="1">
      <c r="E3" s="15"/>
      <c r="M3" s="384"/>
      <c r="N3" s="384"/>
      <c r="O3" s="384"/>
      <c r="P3" s="384"/>
      <c r="Q3" s="384"/>
      <c r="R3" s="384"/>
      <c r="S3" s="384"/>
      <c r="T3" s="384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37.75</v>
      </c>
      <c r="AK7" s="53">
        <f>'CALCULATOR SHEET'!J13</f>
        <v>45</v>
      </c>
      <c r="AL7" s="53">
        <f>IF(AJ7=0,"",MATCH(CEILING(AJ7,6),$D$4:$Z$4,0))</f>
        <v>4</v>
      </c>
      <c r="AM7" s="53">
        <f>IF(AK7=0,"",MATCH(CEILING(AK7,6),$C$7:$C$28,0))</f>
        <v>5</v>
      </c>
      <c r="AN7" s="54">
        <f>IF(AL7="","",INDEX($D$7:$Z$28,AM7,AL7))</f>
        <v>203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43.5</v>
      </c>
      <c r="AK8" s="53">
        <f>'CALCULATOR SHEET'!J14</f>
        <v>54</v>
      </c>
      <c r="AL8" s="53">
        <f t="shared" ref="AL8:AL71" si="17">IF(AJ8=0,"",MATCH(CEILING(AJ8,6),$D$4:$Z$4,0))</f>
        <v>5</v>
      </c>
      <c r="AM8" s="53">
        <f t="shared" ref="AM8:AM71" si="18">IF(AK8=0,"",MATCH(CEILING(AK8,6),$C$7:$C$28,0))</f>
        <v>6</v>
      </c>
      <c r="AN8" s="54">
        <f t="shared" ref="AN8:AN71" si="19">IF(AL8="","",INDEX($D$7:$Z$28,AM8,AL8))</f>
        <v>239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54</v>
      </c>
      <c r="AK9" s="53">
        <f>'CALCULATOR SHEET'!J15</f>
        <v>83</v>
      </c>
      <c r="AL9" s="53">
        <f t="shared" si="17"/>
        <v>6</v>
      </c>
      <c r="AM9" s="53">
        <f t="shared" si="18"/>
        <v>11</v>
      </c>
      <c r="AN9" s="54">
        <f t="shared" si="19"/>
        <v>350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54</v>
      </c>
      <c r="AK10" s="53">
        <f>'CALCULATOR SHEET'!J16</f>
        <v>83</v>
      </c>
      <c r="AL10" s="53">
        <f t="shared" si="17"/>
        <v>6</v>
      </c>
      <c r="AM10" s="53">
        <f t="shared" si="18"/>
        <v>11</v>
      </c>
      <c r="AN10" s="54">
        <f t="shared" si="19"/>
        <v>350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38</v>
      </c>
      <c r="AK11" s="53">
        <f>'CALCULATOR SHEET'!J17</f>
        <v>86</v>
      </c>
      <c r="AL11" s="53">
        <f t="shared" si="17"/>
        <v>4</v>
      </c>
      <c r="AM11" s="53">
        <f t="shared" si="18"/>
        <v>12</v>
      </c>
      <c r="AN11" s="54">
        <f t="shared" si="19"/>
        <v>299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39</v>
      </c>
      <c r="AK12" s="53">
        <f>'CALCULATOR SHEET'!J18</f>
        <v>86</v>
      </c>
      <c r="AL12" s="53">
        <f t="shared" si="17"/>
        <v>4</v>
      </c>
      <c r="AM12" s="53">
        <f t="shared" si="18"/>
        <v>12</v>
      </c>
      <c r="AN12" s="54">
        <f t="shared" si="19"/>
        <v>299</v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46</v>
      </c>
      <c r="AK13" s="53">
        <f>'CALCULATOR SHEET'!J19</f>
        <v>54</v>
      </c>
      <c r="AL13" s="53">
        <f t="shared" si="17"/>
        <v>5</v>
      </c>
      <c r="AM13" s="53">
        <f t="shared" si="18"/>
        <v>6</v>
      </c>
      <c r="AN13" s="54">
        <f t="shared" si="19"/>
        <v>239</v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53.5</v>
      </c>
      <c r="AK14" s="53">
        <f>'CALCULATOR SHEET'!J20</f>
        <v>54</v>
      </c>
      <c r="AL14" s="53">
        <f t="shared" si="17"/>
        <v>6</v>
      </c>
      <c r="AM14" s="53">
        <f t="shared" si="18"/>
        <v>6</v>
      </c>
      <c r="AN14" s="54">
        <f t="shared" si="19"/>
        <v>263</v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5" t="s">
        <v>216</v>
      </c>
      <c r="V7" s="147"/>
      <c r="W7" s="147" t="str">
        <f>'CALCULATOR SHEET'!E13</f>
        <v>GROUP 5</v>
      </c>
      <c r="X7" s="1">
        <v>1</v>
      </c>
      <c r="Y7" s="7">
        <f>'CALCULATOR SHEET'!I13</f>
        <v>37.75</v>
      </c>
      <c r="Z7" s="7">
        <f>'CALCULATOR SHEET'!J13</f>
        <v>45</v>
      </c>
      <c r="AA7" s="7">
        <f>IF(Y7=0,"",MATCH(CEILING(Y7,6),$C$7:$R$7,0))</f>
        <v>3</v>
      </c>
      <c r="AB7" s="7">
        <f>IF(Z7=0,"",MATCH(CEILING(Z7,6),$B$10:$B$26,0))</f>
        <v>3</v>
      </c>
      <c r="AC7" s="146" t="str">
        <f>IF(AA7="","",IF(W7="GROUP 1",INDEX($C$10:$R$26,AB7,AA7),IF(W7="GROUP 2",INDEX($C$39:$R$55,AB7,AA7),IF(W7="GROUP 3",INDEX($C$64:$R$80,AB7,AA7),""))))</f>
        <v/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203</v>
      </c>
      <c r="AF7" s="13">
        <f>IF(Y7&gt;0,HLOOKUP(AA7,$C$29:$R$30,2,FALSE),"")</f>
        <v>0</v>
      </c>
    </row>
    <row r="8" spans="2:32" ht="15.75">
      <c r="U8" s="385"/>
      <c r="V8" s="147"/>
      <c r="W8" s="147" t="str">
        <f>'CALCULATOR SHEET'!E14</f>
        <v>GROUP 5</v>
      </c>
      <c r="X8" s="1">
        <f>+X7+1</f>
        <v>2</v>
      </c>
      <c r="Y8" s="7">
        <f>'CALCULATOR SHEET'!I14</f>
        <v>43.5</v>
      </c>
      <c r="Z8" s="7">
        <f>'CALCULATOR SHEET'!J14</f>
        <v>54</v>
      </c>
      <c r="AA8" s="7">
        <f t="shared" ref="AA8:AA28" si="1">IF(Y8=0,"",MATCH(CEILING(Y8,6),$C$7:$R$7,0))</f>
        <v>4</v>
      </c>
      <c r="AB8" s="7">
        <f t="shared" ref="AB8:AB28" si="2">IF(Z8=0,"",MATCH(CEILING(Z8,6),$B$10:$B$26,0))</f>
        <v>4</v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204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5</v>
      </c>
      <c r="X9" s="1">
        <f t="shared" ref="X9:X28" si="6">+X8+1</f>
        <v>3</v>
      </c>
      <c r="Y9" s="7">
        <f>'CALCULATOR SHEET'!I15</f>
        <v>54</v>
      </c>
      <c r="Z9" s="7">
        <f>'CALCULATOR SHEET'!J15</f>
        <v>83</v>
      </c>
      <c r="AA9" s="7">
        <f t="shared" si="1"/>
        <v>5</v>
      </c>
      <c r="AB9" s="7">
        <f t="shared" si="2"/>
        <v>9</v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>
        <f t="shared" si="4"/>
        <v>210</v>
      </c>
      <c r="AF9" s="13">
        <f t="shared" si="5"/>
        <v>0</v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5</v>
      </c>
      <c r="X10" s="1">
        <f t="shared" si="6"/>
        <v>4</v>
      </c>
      <c r="Y10" s="7">
        <f>'CALCULATOR SHEET'!I16</f>
        <v>54</v>
      </c>
      <c r="Z10" s="7">
        <f>'CALCULATOR SHEET'!J16</f>
        <v>83</v>
      </c>
      <c r="AA10" s="7">
        <f t="shared" si="1"/>
        <v>5</v>
      </c>
      <c r="AB10" s="7">
        <f t="shared" si="2"/>
        <v>9</v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>
        <f t="shared" si="4"/>
        <v>210</v>
      </c>
      <c r="AF10" s="13">
        <f t="shared" si="5"/>
        <v>0</v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5</v>
      </c>
      <c r="X11" s="1">
        <f t="shared" si="6"/>
        <v>5</v>
      </c>
      <c r="Y11" s="7">
        <f>'CALCULATOR SHEET'!I17</f>
        <v>38</v>
      </c>
      <c r="Z11" s="7">
        <f>'CALCULATOR SHEET'!J17</f>
        <v>86</v>
      </c>
      <c r="AA11" s="7">
        <f t="shared" si="1"/>
        <v>3</v>
      </c>
      <c r="AB11" s="7">
        <f t="shared" si="2"/>
        <v>10</v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>
        <f t="shared" si="4"/>
        <v>211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 t="str">
        <f>'CALCULATOR SHEET'!E18</f>
        <v>GROUP 5</v>
      </c>
      <c r="X12" s="1">
        <f t="shared" si="6"/>
        <v>6</v>
      </c>
      <c r="Y12" s="7">
        <f>'CALCULATOR SHEET'!I18</f>
        <v>39</v>
      </c>
      <c r="Z12" s="7">
        <f>'CALCULATOR SHEET'!J18</f>
        <v>86</v>
      </c>
      <c r="AA12" s="7">
        <f t="shared" si="1"/>
        <v>3</v>
      </c>
      <c r="AB12" s="7">
        <f t="shared" si="2"/>
        <v>10</v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>
        <f t="shared" si="4"/>
        <v>211</v>
      </c>
      <c r="AF12" s="13">
        <f t="shared" si="5"/>
        <v>0</v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 t="str">
        <f>'CALCULATOR SHEET'!E19</f>
        <v>GROUP 5</v>
      </c>
      <c r="X13" s="1">
        <f t="shared" si="6"/>
        <v>7</v>
      </c>
      <c r="Y13" s="7">
        <f>'CALCULATOR SHEET'!I19</f>
        <v>46</v>
      </c>
      <c r="Z13" s="7">
        <f>'CALCULATOR SHEET'!J19</f>
        <v>54</v>
      </c>
      <c r="AA13" s="7">
        <f t="shared" si="1"/>
        <v>4</v>
      </c>
      <c r="AB13" s="7">
        <f t="shared" si="2"/>
        <v>4</v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>
        <f t="shared" si="4"/>
        <v>204</v>
      </c>
      <c r="AF13" s="13">
        <f t="shared" si="5"/>
        <v>0</v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 t="str">
        <f>'CALCULATOR SHEET'!E20</f>
        <v>GROUP 5</v>
      </c>
      <c r="X14" s="1">
        <f t="shared" si="6"/>
        <v>8</v>
      </c>
      <c r="Y14" s="7">
        <f>'CALCULATOR SHEET'!I20</f>
        <v>53.5</v>
      </c>
      <c r="Z14" s="7">
        <f>'CALCULATOR SHEET'!J20</f>
        <v>54</v>
      </c>
      <c r="AA14" s="7">
        <f t="shared" si="1"/>
        <v>5</v>
      </c>
      <c r="AB14" s="7">
        <f t="shared" si="2"/>
        <v>4</v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>
        <f t="shared" si="4"/>
        <v>204</v>
      </c>
      <c r="AF14" s="13">
        <f t="shared" si="5"/>
        <v>0</v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37.75</v>
      </c>
      <c r="W7" s="7">
        <f>'CALCULATOR SHEET'!J13</f>
        <v>45</v>
      </c>
      <c r="X7" s="7">
        <f>IF(V7=0,"",MATCH(CEILING(V7,6),$C$8:$Q$8,0))</f>
        <v>4</v>
      </c>
      <c r="Y7" s="7">
        <f>IF(W7=0,"",MATCH(CEILING(W7,6),$B$10:$B$26,0))</f>
        <v>5</v>
      </c>
      <c r="Z7" s="146">
        <f>IF(X7="","",INDEX($C$12:$Q$26,Y7,X7))</f>
        <v>191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43.5</v>
      </c>
      <c r="W8" s="7">
        <f>'CALCULATOR SHEET'!J14</f>
        <v>54</v>
      </c>
      <c r="X8" s="7">
        <f t="shared" ref="X8:X73" si="0">IF(V8=0,"",MATCH(CEILING(V8,6),$C$8:$Q$8,0))</f>
        <v>5</v>
      </c>
      <c r="Y8" s="7">
        <f t="shared" ref="Y8:Y71" si="1">IF(W8=0,"",MATCH(CEILING(W8,6),$B$10:$B$26,0))</f>
        <v>6</v>
      </c>
      <c r="Z8" s="146">
        <f>IF(X8="","",INDEX($C$12:$Q$26,Y8,X8))</f>
        <v>216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54</v>
      </c>
      <c r="W9" s="7">
        <f>'CALCULATOR SHEET'!J15</f>
        <v>83</v>
      </c>
      <c r="X9" s="7">
        <f t="shared" si="0"/>
        <v>6</v>
      </c>
      <c r="Y9" s="7">
        <f t="shared" si="1"/>
        <v>11</v>
      </c>
      <c r="Z9" s="146">
        <f>IF(X9="","",INDEX($C$12:$Q$26,Y9,X9))</f>
        <v>276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54</v>
      </c>
      <c r="W12" s="7">
        <f>'CALCULATOR SHEET'!J16</f>
        <v>83</v>
      </c>
      <c r="X12" s="7">
        <f t="shared" si="0"/>
        <v>6</v>
      </c>
      <c r="Y12" s="7">
        <f t="shared" si="1"/>
        <v>11</v>
      </c>
      <c r="Z12" s="146">
        <f t="shared" ref="Z12:Z43" si="3">IF(X12="","",INDEX($C$12:$Q$26,Y12,X12))</f>
        <v>276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38</v>
      </c>
      <c r="W13" s="7">
        <f>'CALCULATOR SHEET'!J17</f>
        <v>86</v>
      </c>
      <c r="X13" s="7">
        <f t="shared" si="0"/>
        <v>4</v>
      </c>
      <c r="Y13" s="7">
        <f t="shared" si="1"/>
        <v>12</v>
      </c>
      <c r="Z13" s="146">
        <f t="shared" si="3"/>
        <v>241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39</v>
      </c>
      <c r="W14" s="7">
        <f>'CALCULATOR SHEET'!J18</f>
        <v>86</v>
      </c>
      <c r="X14" s="7">
        <f t="shared" si="0"/>
        <v>4</v>
      </c>
      <c r="Y14" s="7">
        <f t="shared" si="1"/>
        <v>12</v>
      </c>
      <c r="Z14" s="146">
        <f t="shared" si="3"/>
        <v>241</v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46</v>
      </c>
      <c r="W15" s="7">
        <f>'CALCULATOR SHEET'!J19</f>
        <v>54</v>
      </c>
      <c r="X15" s="7">
        <f t="shared" si="0"/>
        <v>5</v>
      </c>
      <c r="Y15" s="7">
        <f t="shared" si="1"/>
        <v>6</v>
      </c>
      <c r="Z15" s="146">
        <f t="shared" si="3"/>
        <v>216</v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53.5</v>
      </c>
      <c r="W16" s="7">
        <f>'CALCULATOR SHEET'!J20</f>
        <v>54</v>
      </c>
      <c r="X16" s="7">
        <f t="shared" si="0"/>
        <v>6</v>
      </c>
      <c r="Y16" s="7">
        <f t="shared" si="1"/>
        <v>6</v>
      </c>
      <c r="Z16" s="146">
        <f t="shared" si="3"/>
        <v>234</v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6" t="s">
        <v>14</v>
      </c>
      <c r="J3" s="386"/>
      <c r="K3" s="386"/>
      <c r="L3" s="386"/>
      <c r="R3" s="34" t="s">
        <v>436</v>
      </c>
    </row>
    <row r="4" spans="2:29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5" t="s">
        <v>72</v>
      </c>
      <c r="U7" s="147"/>
      <c r="V7" s="1">
        <v>1</v>
      </c>
      <c r="W7" s="7">
        <f>'CALCULATOR SHEET'!I13</f>
        <v>37.75</v>
      </c>
      <c r="X7" s="7">
        <f>'CALCULATOR SHEET'!J13</f>
        <v>45</v>
      </c>
      <c r="Y7" s="7">
        <f>IF(W7=0,"",MATCH(CEILING(W7,6),$C$7:$Q$7,0))</f>
        <v>4</v>
      </c>
      <c r="Z7" s="7">
        <f>IF(X7=0,"",MATCH(CEILING(X7,6),$B$10:$B$26,0))</f>
        <v>5</v>
      </c>
      <c r="AA7" s="146">
        <f>IF(Y7="","",INDEX($C$10:$Q$26,Z7,Y7))</f>
        <v>113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5"/>
      <c r="U8" s="147"/>
      <c r="V8" s="1">
        <f>+V7+1</f>
        <v>2</v>
      </c>
      <c r="W8" s="7">
        <f>'CALCULATOR SHEET'!I14</f>
        <v>43.5</v>
      </c>
      <c r="X8" s="7">
        <f>'CALCULATOR SHEET'!J14</f>
        <v>54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6</v>
      </c>
      <c r="AA8" s="146">
        <f t="shared" ref="AA8:AA71" si="3">IF(Y8="","",INDEX($C$10:$Q$26,Z8,Y8))</f>
        <v>123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54</v>
      </c>
      <c r="X9" s="7">
        <f>'CALCULATOR SHEET'!J15</f>
        <v>83</v>
      </c>
      <c r="Y9" s="7">
        <f t="shared" si="1"/>
        <v>6</v>
      </c>
      <c r="Z9" s="7">
        <f t="shared" si="2"/>
        <v>11</v>
      </c>
      <c r="AA9" s="146">
        <f t="shared" si="3"/>
        <v>149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54</v>
      </c>
      <c r="X10" s="7">
        <f>'CALCULATOR SHEET'!J16</f>
        <v>83</v>
      </c>
      <c r="Y10" s="7">
        <f t="shared" si="1"/>
        <v>6</v>
      </c>
      <c r="Z10" s="7">
        <f t="shared" si="2"/>
        <v>11</v>
      </c>
      <c r="AA10" s="146">
        <f t="shared" si="3"/>
        <v>149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38</v>
      </c>
      <c r="X11" s="7">
        <f>'CALCULATOR SHEET'!J17</f>
        <v>86</v>
      </c>
      <c r="Y11" s="7">
        <f t="shared" si="1"/>
        <v>4</v>
      </c>
      <c r="Z11" s="7">
        <f t="shared" si="2"/>
        <v>12</v>
      </c>
      <c r="AA11" s="146">
        <f t="shared" si="3"/>
        <v>137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39</v>
      </c>
      <c r="X12" s="7">
        <f>'CALCULATOR SHEET'!J18</f>
        <v>86</v>
      </c>
      <c r="Y12" s="7">
        <f t="shared" si="1"/>
        <v>4</v>
      </c>
      <c r="Z12" s="7">
        <f t="shared" si="2"/>
        <v>12</v>
      </c>
      <c r="AA12" s="146">
        <f t="shared" si="3"/>
        <v>137</v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46</v>
      </c>
      <c r="X13" s="7">
        <f>'CALCULATOR SHEET'!J19</f>
        <v>54</v>
      </c>
      <c r="Y13" s="7">
        <f t="shared" si="1"/>
        <v>5</v>
      </c>
      <c r="Z13" s="7">
        <f t="shared" si="2"/>
        <v>6</v>
      </c>
      <c r="AA13" s="146">
        <f t="shared" si="3"/>
        <v>123</v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53.5</v>
      </c>
      <c r="X14" s="7">
        <f>'CALCULATOR SHEET'!J20</f>
        <v>54</v>
      </c>
      <c r="Y14" s="7">
        <f t="shared" si="1"/>
        <v>6</v>
      </c>
      <c r="Z14" s="7">
        <f t="shared" si="2"/>
        <v>6</v>
      </c>
      <c r="AA14" s="146">
        <f t="shared" si="3"/>
        <v>130</v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8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37.75</v>
      </c>
      <c r="X7" s="7">
        <f>'CALCULATOR SHEET'!J13</f>
        <v>45</v>
      </c>
      <c r="Y7" s="7">
        <f>IF(W7=0,"",MATCH(CEILING(W7,6),$C$7:$Q$7,0))</f>
        <v>4</v>
      </c>
      <c r="Z7" s="7">
        <f>IF(X7=0,"",MATCH(CEILING(X7,6),$B$10:$B$26,0))</f>
        <v>5</v>
      </c>
      <c r="AA7" s="146">
        <f>IF(Y7="","",INDEX($C$10:$Q$26,Z7,Y7))</f>
        <v>153</v>
      </c>
    </row>
    <row r="8" spans="2:27">
      <c r="T8" s="385"/>
      <c r="V8" s="1">
        <f>+V7+1</f>
        <v>2</v>
      </c>
      <c r="W8" s="7">
        <f>'CALCULATOR SHEET'!I14</f>
        <v>43.5</v>
      </c>
      <c r="X8" s="7">
        <f>'CALCULATOR SHEET'!J14</f>
        <v>54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6</v>
      </c>
      <c r="AA8" s="146">
        <f t="shared" ref="AA8:AA71" si="3">IF(Y8="","",INDEX($C$10:$Q$26,Z8,Y8))</f>
        <v>168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</v>
      </c>
      <c r="X9" s="7">
        <f>'CALCULATOR SHEET'!J15</f>
        <v>83</v>
      </c>
      <c r="Y9" s="7">
        <f t="shared" si="1"/>
        <v>6</v>
      </c>
      <c r="Z9" s="7">
        <f t="shared" si="2"/>
        <v>11</v>
      </c>
      <c r="AA9" s="146">
        <f t="shared" si="3"/>
        <v>211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54</v>
      </c>
      <c r="X10" s="7">
        <f>'CALCULATOR SHEET'!J16</f>
        <v>83</v>
      </c>
      <c r="Y10" s="7">
        <f t="shared" si="1"/>
        <v>6</v>
      </c>
      <c r="Z10" s="7">
        <f t="shared" si="2"/>
        <v>11</v>
      </c>
      <c r="AA10" s="146">
        <f t="shared" si="3"/>
        <v>211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38</v>
      </c>
      <c r="X11" s="7">
        <f>'CALCULATOR SHEET'!J17</f>
        <v>86</v>
      </c>
      <c r="Y11" s="7">
        <f t="shared" si="1"/>
        <v>4</v>
      </c>
      <c r="Z11" s="7">
        <f t="shared" si="2"/>
        <v>12</v>
      </c>
      <c r="AA11" s="146">
        <f t="shared" si="3"/>
        <v>200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39</v>
      </c>
      <c r="X12" s="7">
        <f>'CALCULATOR SHEET'!J18</f>
        <v>86</v>
      </c>
      <c r="Y12" s="7">
        <f t="shared" si="1"/>
        <v>4</v>
      </c>
      <c r="Z12" s="7">
        <f t="shared" si="2"/>
        <v>12</v>
      </c>
      <c r="AA12" s="146">
        <f t="shared" si="3"/>
        <v>200</v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46</v>
      </c>
      <c r="X13" s="7">
        <f>'CALCULATOR SHEET'!J19</f>
        <v>54</v>
      </c>
      <c r="Y13" s="7">
        <f t="shared" si="1"/>
        <v>5</v>
      </c>
      <c r="Z13" s="7">
        <f t="shared" si="2"/>
        <v>6</v>
      </c>
      <c r="AA13" s="146">
        <f t="shared" si="3"/>
        <v>168</v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53.5</v>
      </c>
      <c r="X14" s="7">
        <f>'CALCULATOR SHEET'!J20</f>
        <v>54</v>
      </c>
      <c r="Y14" s="7">
        <f t="shared" si="1"/>
        <v>6</v>
      </c>
      <c r="Z14" s="7">
        <f t="shared" si="2"/>
        <v>6</v>
      </c>
      <c r="AA14" s="146">
        <f t="shared" si="3"/>
        <v>175</v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A7" zoomScale="85" zoomScaleNormal="85" workbookViewId="0">
      <selection activeCell="M25" sqref="M25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9.285156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7"/>
      <c r="Q3" s="367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 t="s">
        <v>463</v>
      </c>
      <c r="Q4" s="285"/>
      <c r="R4" s="34" t="s">
        <v>39</v>
      </c>
      <c r="S4" s="19" t="s">
        <v>41</v>
      </c>
      <c r="T4" s="236" t="s">
        <v>43</v>
      </c>
      <c r="Z4" s="370" t="s">
        <v>309</v>
      </c>
      <c r="AA4" s="369">
        <f>FLOOR(SUMIF(C8:C47,"&gt;0")/2,1)</f>
        <v>4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 t="s">
        <v>464</v>
      </c>
      <c r="Q5" s="285"/>
      <c r="R5" s="19"/>
      <c r="S5" s="19" t="s">
        <v>42</v>
      </c>
      <c r="T5" s="49" t="s">
        <v>482</v>
      </c>
      <c r="W5" s="34" t="s">
        <v>134</v>
      </c>
      <c r="Z5" s="370"/>
      <c r="AA5" s="369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0"/>
      <c r="AA6" s="369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476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8" t="str">
        <f>IF(AA10&gt;(AA9/2),"REVISAR PERSIANAS","")</f>
        <v/>
      </c>
      <c r="Z8" s="368"/>
      <c r="AA8" s="368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474</v>
      </c>
      <c r="E9" s="39"/>
      <c r="F9" s="1"/>
      <c r="G9" s="38" t="s">
        <v>443</v>
      </c>
      <c r="H9" s="343" t="s">
        <v>477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v>45880</v>
      </c>
      <c r="Z9" s="38" t="s">
        <v>304</v>
      </c>
      <c r="AA9" s="34">
        <f>SUMIF(C13:C52,"&gt;0")</f>
        <v>8</v>
      </c>
      <c r="AD9" s="366" t="s">
        <v>91</v>
      </c>
      <c r="AE9" s="366"/>
      <c r="AF9" s="366"/>
      <c r="AG9" s="366"/>
      <c r="AH9" s="366"/>
      <c r="AI9" s="366"/>
      <c r="AJ9" s="366"/>
      <c r="AK9" s="269"/>
      <c r="AL9" s="366" t="s">
        <v>92</v>
      </c>
      <c r="AM9" s="366"/>
      <c r="AN9" s="366"/>
      <c r="AO9" s="269"/>
      <c r="AP9" s="366" t="s">
        <v>93</v>
      </c>
      <c r="AQ9" s="366"/>
      <c r="AR9" s="366"/>
      <c r="AS9" s="269"/>
      <c r="AT9" s="366" t="s">
        <v>217</v>
      </c>
      <c r="AU9" s="366"/>
      <c r="AV9" s="14"/>
      <c r="AW9" s="14"/>
    </row>
    <row r="10" spans="1:73" ht="15.75">
      <c r="B10" s="43"/>
      <c r="C10" s="24" t="s">
        <v>39</v>
      </c>
      <c r="D10" s="191" t="s">
        <v>475</v>
      </c>
      <c r="E10" s="149"/>
      <c r="F10" s="1"/>
      <c r="G10" s="341" t="s">
        <v>444</v>
      </c>
      <c r="H10" s="343" t="s">
        <v>478</v>
      </c>
      <c r="I10" s="1"/>
      <c r="J10" s="3" t="s">
        <v>449</v>
      </c>
      <c r="K10" s="344" t="s">
        <v>480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6"/>
      <c r="AE10" s="366"/>
      <c r="AF10" s="366"/>
      <c r="AG10" s="366"/>
      <c r="AH10" s="366"/>
      <c r="AI10" s="366"/>
      <c r="AJ10" s="366"/>
      <c r="AL10" s="366"/>
      <c r="AM10" s="366"/>
      <c r="AN10" s="366"/>
      <c r="AP10" s="366"/>
      <c r="AQ10" s="366"/>
      <c r="AR10" s="366"/>
      <c r="AT10" s="366"/>
      <c r="AU10" s="366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 t="s">
        <v>479</v>
      </c>
      <c r="I11" s="46"/>
      <c r="J11" s="38" t="s">
        <v>448</v>
      </c>
      <c r="K11" s="301" t="s">
        <v>481</v>
      </c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90</v>
      </c>
      <c r="E13" s="69" t="s">
        <v>23</v>
      </c>
      <c r="F13" s="69"/>
      <c r="G13" s="68" t="s">
        <v>465</v>
      </c>
      <c r="H13" s="68" t="s">
        <v>466</v>
      </c>
      <c r="I13" s="81">
        <v>37.75</v>
      </c>
      <c r="J13" s="81">
        <v>45</v>
      </c>
      <c r="K13" s="254" t="s">
        <v>207</v>
      </c>
      <c r="L13" s="70"/>
      <c r="M13" s="284" t="s">
        <v>129</v>
      </c>
      <c r="N13" s="254" t="s">
        <v>213</v>
      </c>
      <c r="O13" s="254" t="s">
        <v>319</v>
      </c>
      <c r="P13" s="70" t="s">
        <v>45</v>
      </c>
      <c r="Q13" s="70" t="s">
        <v>45</v>
      </c>
      <c r="R13" s="70" t="s">
        <v>45</v>
      </c>
      <c r="S13" s="71">
        <f>IF(U13="REVISAR MEDIDA","NO APLICA",W13+X13)</f>
        <v>179</v>
      </c>
      <c r="T13" s="316">
        <f t="shared" ref="T13:T52" si="0">IF(S13="","",S13*C13)</f>
        <v>179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179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ZEBRA</v>
      </c>
      <c r="AC13" s="271"/>
      <c r="AD13" s="120" t="str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/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 t="str">
        <f>IF(K13="METAL CHAIN",'ROLLER G1'!AU7,"")</f>
        <v/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>179</v>
      </c>
      <c r="AQ13" s="120" t="str">
        <f>IF(OR(L13="",L13="NO"),"",IF(AB13="ZEBRA",VLOOKUP(L13,GENERAL!$E$6:$F$12,2,FALSE),""))</f>
        <v/>
      </c>
      <c r="AR13" s="120" t="str">
        <f>IF(K13="METAL CHAIN",AJ13,"")</f>
        <v/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90</v>
      </c>
      <c r="E14" s="69" t="s">
        <v>23</v>
      </c>
      <c r="F14" s="69"/>
      <c r="G14" s="68" t="s">
        <v>465</v>
      </c>
      <c r="H14" s="68" t="s">
        <v>467</v>
      </c>
      <c r="I14" s="81">
        <v>43.5</v>
      </c>
      <c r="J14" s="81">
        <v>54</v>
      </c>
      <c r="K14" s="254" t="s">
        <v>207</v>
      </c>
      <c r="L14" s="70"/>
      <c r="M14" s="284" t="s">
        <v>129</v>
      </c>
      <c r="N14" s="254" t="s">
        <v>213</v>
      </c>
      <c r="O14" s="254" t="s">
        <v>319</v>
      </c>
      <c r="P14" s="70" t="s">
        <v>45</v>
      </c>
      <c r="Q14" s="70" t="s">
        <v>45</v>
      </c>
      <c r="R14" s="70" t="s">
        <v>45</v>
      </c>
      <c r="S14" s="71">
        <f t="shared" ref="S14:S52" si="1">IF(U14="REVISAR MEDIDA","NO APLICA",W14+X14)</f>
        <v>197</v>
      </c>
      <c r="T14" s="316">
        <f t="shared" si="0"/>
        <v>197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197</v>
      </c>
      <c r="X14" s="290">
        <v>0</v>
      </c>
      <c r="Y14" s="274">
        <f t="shared" ref="Y14:Y52" si="3">B14</f>
        <v>2</v>
      </c>
      <c r="Z14" s="128" t="s">
        <v>6</v>
      </c>
      <c r="AA14" s="310">
        <f t="shared" ref="AA14:AA52" si="4">IF(Z14&lt;&gt;"N/A",S14,0)</f>
        <v>0</v>
      </c>
      <c r="AB14" s="16" t="str">
        <f t="shared" ref="AB14:AB52" si="5">D14</f>
        <v>ZEBRA</v>
      </c>
      <c r="AC14" s="271"/>
      <c r="AD14" s="120" t="str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/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>197</v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90</v>
      </c>
      <c r="E15" s="69" t="s">
        <v>23</v>
      </c>
      <c r="F15" s="69"/>
      <c r="G15" s="68" t="s">
        <v>465</v>
      </c>
      <c r="H15" s="68" t="s">
        <v>468</v>
      </c>
      <c r="I15" s="81">
        <v>54</v>
      </c>
      <c r="J15" s="81">
        <v>83</v>
      </c>
      <c r="K15" s="254" t="s">
        <v>207</v>
      </c>
      <c r="L15" s="70"/>
      <c r="M15" s="284" t="s">
        <v>129</v>
      </c>
      <c r="N15" s="254" t="s">
        <v>213</v>
      </c>
      <c r="O15" s="254" t="s">
        <v>319</v>
      </c>
      <c r="P15" s="70" t="s">
        <v>45</v>
      </c>
      <c r="Q15" s="70" t="s">
        <v>45</v>
      </c>
      <c r="R15" s="70" t="s">
        <v>45</v>
      </c>
      <c r="S15" s="71">
        <f t="shared" si="1"/>
        <v>257</v>
      </c>
      <c r="T15" s="316">
        <f t="shared" si="0"/>
        <v>257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257</v>
      </c>
      <c r="X15" s="290">
        <v>0</v>
      </c>
      <c r="Y15" s="274">
        <f t="shared" si="3"/>
        <v>3</v>
      </c>
      <c r="Z15" s="128" t="s">
        <v>6</v>
      </c>
      <c r="AA15" s="310">
        <f t="shared" si="4"/>
        <v>0</v>
      </c>
      <c r="AB15" s="16" t="str">
        <f t="shared" si="5"/>
        <v>ZEBRA</v>
      </c>
      <c r="AC15" s="271"/>
      <c r="AD15" s="120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/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>257</v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90</v>
      </c>
      <c r="E16" s="69" t="s">
        <v>23</v>
      </c>
      <c r="F16" s="69"/>
      <c r="G16" s="68" t="s">
        <v>465</v>
      </c>
      <c r="H16" s="68" t="s">
        <v>469</v>
      </c>
      <c r="I16" s="81">
        <v>54</v>
      </c>
      <c r="J16" s="81">
        <v>83</v>
      </c>
      <c r="K16" s="254" t="s">
        <v>207</v>
      </c>
      <c r="L16" s="70"/>
      <c r="M16" s="284" t="s">
        <v>130</v>
      </c>
      <c r="N16" s="254" t="s">
        <v>213</v>
      </c>
      <c r="O16" s="254" t="s">
        <v>319</v>
      </c>
      <c r="P16" s="70" t="s">
        <v>45</v>
      </c>
      <c r="Q16" s="70" t="s">
        <v>45</v>
      </c>
      <c r="R16" s="70" t="s">
        <v>45</v>
      </c>
      <c r="S16" s="71">
        <f t="shared" si="1"/>
        <v>257</v>
      </c>
      <c r="T16" s="316">
        <f t="shared" si="0"/>
        <v>257</v>
      </c>
      <c r="U16" s="179" t="str">
        <f t="shared" si="2"/>
        <v/>
      </c>
      <c r="V16" s="120"/>
      <c r="W16" s="124">
        <f t="shared" si="8"/>
        <v>257</v>
      </c>
      <c r="X16" s="290">
        <v>0</v>
      </c>
      <c r="Y16" s="274">
        <f t="shared" si="3"/>
        <v>4</v>
      </c>
      <c r="Z16" s="128" t="s">
        <v>6</v>
      </c>
      <c r="AA16" s="310">
        <f t="shared" si="4"/>
        <v>0</v>
      </c>
      <c r="AB16" s="16" t="str">
        <f t="shared" si="5"/>
        <v>ZEBRA</v>
      </c>
      <c r="AC16" s="271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>257</v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>
        <v>1</v>
      </c>
      <c r="D17" s="152" t="s">
        <v>90</v>
      </c>
      <c r="E17" s="69" t="s">
        <v>23</v>
      </c>
      <c r="F17" s="69"/>
      <c r="G17" s="68" t="s">
        <v>465</v>
      </c>
      <c r="H17" s="68" t="s">
        <v>470</v>
      </c>
      <c r="I17" s="81">
        <v>38</v>
      </c>
      <c r="J17" s="81">
        <v>86</v>
      </c>
      <c r="K17" s="254" t="s">
        <v>207</v>
      </c>
      <c r="L17" s="70"/>
      <c r="M17" s="284" t="s">
        <v>129</v>
      </c>
      <c r="N17" s="254" t="s">
        <v>213</v>
      </c>
      <c r="O17" s="254" t="s">
        <v>319</v>
      </c>
      <c r="P17" s="70" t="s">
        <v>45</v>
      </c>
      <c r="Q17" s="70" t="s">
        <v>45</v>
      </c>
      <c r="R17" s="70" t="s">
        <v>45</v>
      </c>
      <c r="S17" s="71">
        <f t="shared" si="1"/>
        <v>252</v>
      </c>
      <c r="T17" s="316">
        <f t="shared" si="0"/>
        <v>252</v>
      </c>
      <c r="U17" s="179" t="str">
        <f t="shared" si="2"/>
        <v/>
      </c>
      <c r="V17" s="120"/>
      <c r="W17" s="124">
        <f t="shared" si="8"/>
        <v>252</v>
      </c>
      <c r="X17" s="290">
        <v>0</v>
      </c>
      <c r="Y17" s="274">
        <f t="shared" si="3"/>
        <v>5</v>
      </c>
      <c r="Z17" s="128" t="s">
        <v>6</v>
      </c>
      <c r="AA17" s="310">
        <f t="shared" si="4"/>
        <v>0</v>
      </c>
      <c r="AB17" s="16" t="str">
        <f t="shared" si="5"/>
        <v>ZEBRA</v>
      </c>
      <c r="AC17" s="271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>252</v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>
        <v>1</v>
      </c>
      <c r="D18" s="152" t="s">
        <v>90</v>
      </c>
      <c r="E18" s="69" t="s">
        <v>23</v>
      </c>
      <c r="F18" s="69"/>
      <c r="G18" s="68" t="s">
        <v>465</v>
      </c>
      <c r="H18" s="68" t="s">
        <v>471</v>
      </c>
      <c r="I18" s="81">
        <v>39</v>
      </c>
      <c r="J18" s="81">
        <v>86</v>
      </c>
      <c r="K18" s="254" t="s">
        <v>207</v>
      </c>
      <c r="L18" s="70"/>
      <c r="M18" s="284" t="s">
        <v>130</v>
      </c>
      <c r="N18" s="254" t="s">
        <v>213</v>
      </c>
      <c r="O18" s="254" t="s">
        <v>319</v>
      </c>
      <c r="P18" s="70" t="s">
        <v>45</v>
      </c>
      <c r="Q18" s="70" t="s">
        <v>45</v>
      </c>
      <c r="R18" s="70" t="s">
        <v>45</v>
      </c>
      <c r="S18" s="71">
        <f t="shared" si="1"/>
        <v>252</v>
      </c>
      <c r="T18" s="316">
        <f t="shared" si="0"/>
        <v>252</v>
      </c>
      <c r="U18" s="179" t="str">
        <f t="shared" si="2"/>
        <v/>
      </c>
      <c r="V18" s="120"/>
      <c r="W18" s="124">
        <f t="shared" si="8"/>
        <v>252</v>
      </c>
      <c r="X18" s="290">
        <v>0</v>
      </c>
      <c r="Y18" s="274">
        <f t="shared" si="3"/>
        <v>6</v>
      </c>
      <c r="Z18" s="128" t="s">
        <v>6</v>
      </c>
      <c r="AA18" s="310">
        <f t="shared" si="4"/>
        <v>0</v>
      </c>
      <c r="AB18" s="16" t="str">
        <f t="shared" si="5"/>
        <v>ZEBRA</v>
      </c>
      <c r="AC18" s="271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>252</v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>
        <v>1</v>
      </c>
      <c r="D19" s="152" t="s">
        <v>90</v>
      </c>
      <c r="E19" s="69" t="s">
        <v>23</v>
      </c>
      <c r="F19" s="69"/>
      <c r="G19" s="68" t="s">
        <v>465</v>
      </c>
      <c r="H19" s="68" t="s">
        <v>472</v>
      </c>
      <c r="I19" s="81">
        <v>46</v>
      </c>
      <c r="J19" s="81">
        <v>54</v>
      </c>
      <c r="K19" s="254" t="s">
        <v>207</v>
      </c>
      <c r="L19" s="70"/>
      <c r="M19" s="284" t="s">
        <v>130</v>
      </c>
      <c r="N19" s="254" t="s">
        <v>213</v>
      </c>
      <c r="O19" s="254" t="s">
        <v>319</v>
      </c>
      <c r="P19" s="70" t="s">
        <v>45</v>
      </c>
      <c r="Q19" s="70" t="s">
        <v>45</v>
      </c>
      <c r="R19" s="70" t="s">
        <v>45</v>
      </c>
      <c r="S19" s="71">
        <f t="shared" si="1"/>
        <v>197</v>
      </c>
      <c r="T19" s="316">
        <f t="shared" si="0"/>
        <v>197</v>
      </c>
      <c r="U19" s="179" t="str">
        <f t="shared" si="2"/>
        <v/>
      </c>
      <c r="V19" s="120"/>
      <c r="W19" s="124">
        <f t="shared" si="8"/>
        <v>197</v>
      </c>
      <c r="X19" s="290">
        <v>0</v>
      </c>
      <c r="Y19" s="274">
        <f t="shared" si="3"/>
        <v>7</v>
      </c>
      <c r="Z19" s="128" t="s">
        <v>6</v>
      </c>
      <c r="AA19" s="310">
        <f t="shared" si="4"/>
        <v>0</v>
      </c>
      <c r="AB19" s="16" t="str">
        <f t="shared" si="5"/>
        <v>ZEBRA</v>
      </c>
      <c r="AC19" s="271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>197</v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>
        <v>1</v>
      </c>
      <c r="D20" s="152" t="s">
        <v>90</v>
      </c>
      <c r="E20" s="69" t="s">
        <v>23</v>
      </c>
      <c r="F20" s="69"/>
      <c r="G20" s="68" t="s">
        <v>465</v>
      </c>
      <c r="H20" s="68" t="s">
        <v>473</v>
      </c>
      <c r="I20" s="81">
        <v>53.5</v>
      </c>
      <c r="J20" s="81">
        <v>54</v>
      </c>
      <c r="K20" s="254" t="s">
        <v>207</v>
      </c>
      <c r="L20" s="70"/>
      <c r="M20" s="284" t="s">
        <v>129</v>
      </c>
      <c r="N20" s="254" t="s">
        <v>213</v>
      </c>
      <c r="O20" s="254" t="s">
        <v>319</v>
      </c>
      <c r="P20" s="70" t="s">
        <v>45</v>
      </c>
      <c r="Q20" s="70" t="s">
        <v>45</v>
      </c>
      <c r="R20" s="70" t="s">
        <v>45</v>
      </c>
      <c r="S20" s="71">
        <f t="shared" si="1"/>
        <v>205</v>
      </c>
      <c r="T20" s="316">
        <f t="shared" si="0"/>
        <v>205</v>
      </c>
      <c r="U20" s="179" t="str">
        <f t="shared" si="2"/>
        <v/>
      </c>
      <c r="V20" s="120"/>
      <c r="W20" s="124">
        <f t="shared" si="8"/>
        <v>205</v>
      </c>
      <c r="X20" s="290">
        <v>0</v>
      </c>
      <c r="Y20" s="274">
        <f t="shared" si="3"/>
        <v>8</v>
      </c>
      <c r="Z20" s="128" t="s">
        <v>6</v>
      </c>
      <c r="AA20" s="310">
        <f t="shared" si="4"/>
        <v>0</v>
      </c>
      <c r="AB20" s="16" t="str">
        <f t="shared" si="5"/>
        <v>ZEBRA</v>
      </c>
      <c r="AC20" s="271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>205</v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4"/>
      <c r="L21" s="70"/>
      <c r="M21" s="284"/>
      <c r="N21" s="254"/>
      <c r="O21" s="254"/>
      <c r="P21" s="70" t="s">
        <v>45</v>
      </c>
      <c r="Q21" s="70" t="s">
        <v>45</v>
      </c>
      <c r="R21" s="70" t="s">
        <v>45</v>
      </c>
      <c r="S21" s="71">
        <f t="shared" si="1"/>
        <v>0</v>
      </c>
      <c r="T21" s="316">
        <f t="shared" si="0"/>
        <v>0</v>
      </c>
      <c r="U21" s="179" t="str">
        <f t="shared" si="2"/>
        <v/>
      </c>
      <c r="V21" s="120"/>
      <c r="W21" s="124">
        <f t="shared" si="8"/>
        <v>0</v>
      </c>
      <c r="X21" s="290">
        <v>0</v>
      </c>
      <c r="Y21" s="274">
        <f t="shared" si="3"/>
        <v>9</v>
      </c>
      <c r="Z21" s="128" t="s">
        <v>6</v>
      </c>
      <c r="AA21" s="310">
        <f t="shared" si="4"/>
        <v>0</v>
      </c>
      <c r="AB21" s="16">
        <f t="shared" si="5"/>
        <v>0</v>
      </c>
      <c r="AC21" s="271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4"/>
      <c r="L22" s="70"/>
      <c r="M22" s="284"/>
      <c r="N22" s="254"/>
      <c r="O22" s="254"/>
      <c r="P22" s="70" t="s">
        <v>45</v>
      </c>
      <c r="Q22" s="70" t="s">
        <v>45</v>
      </c>
      <c r="R22" s="70" t="s">
        <v>45</v>
      </c>
      <c r="S22" s="71">
        <f t="shared" si="1"/>
        <v>0</v>
      </c>
      <c r="T22" s="72">
        <f t="shared" si="0"/>
        <v>0</v>
      </c>
      <c r="U22" s="179" t="str">
        <f t="shared" si="2"/>
        <v/>
      </c>
      <c r="V22" s="67"/>
      <c r="W22" s="124">
        <f t="shared" si="8"/>
        <v>0</v>
      </c>
      <c r="X22" s="290">
        <v>0</v>
      </c>
      <c r="Y22" s="274">
        <f t="shared" si="3"/>
        <v>10</v>
      </c>
      <c r="Z22" s="128" t="s">
        <v>6</v>
      </c>
      <c r="AA22" s="310">
        <f t="shared" si="4"/>
        <v>0</v>
      </c>
      <c r="AB22" s="16">
        <f t="shared" si="5"/>
        <v>0</v>
      </c>
      <c r="AC22" s="271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4"/>
      <c r="L23" s="70"/>
      <c r="M23" s="284"/>
      <c r="N23" s="254"/>
      <c r="O23" s="254"/>
      <c r="P23" s="70" t="s">
        <v>45</v>
      </c>
      <c r="Q23" s="70" t="s">
        <v>45</v>
      </c>
      <c r="R23" s="70" t="s">
        <v>45</v>
      </c>
      <c r="S23" s="71">
        <f t="shared" si="1"/>
        <v>0</v>
      </c>
      <c r="T23" s="72">
        <f t="shared" si="0"/>
        <v>0</v>
      </c>
      <c r="U23" s="179" t="str">
        <f t="shared" si="2"/>
        <v/>
      </c>
      <c r="V23" s="67"/>
      <c r="W23" s="124">
        <f t="shared" si="8"/>
        <v>0</v>
      </c>
      <c r="X23" s="290">
        <v>0</v>
      </c>
      <c r="Y23" s="274">
        <f t="shared" si="3"/>
        <v>11</v>
      </c>
      <c r="Z23" s="128" t="s">
        <v>6</v>
      </c>
      <c r="AA23" s="310">
        <f t="shared" si="4"/>
        <v>0</v>
      </c>
      <c r="AB23" s="16">
        <f t="shared" si="5"/>
        <v>0</v>
      </c>
      <c r="AC23" s="271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4"/>
      <c r="L24" s="70"/>
      <c r="M24" s="284"/>
      <c r="N24" s="254"/>
      <c r="O24" s="254"/>
      <c r="P24" s="70" t="s">
        <v>45</v>
      </c>
      <c r="Q24" s="70" t="s">
        <v>45</v>
      </c>
      <c r="R24" s="70" t="s">
        <v>45</v>
      </c>
      <c r="S24" s="71">
        <f t="shared" si="1"/>
        <v>0</v>
      </c>
      <c r="T24" s="72">
        <f t="shared" si="0"/>
        <v>0</v>
      </c>
      <c r="U24" s="179" t="str">
        <f t="shared" si="2"/>
        <v/>
      </c>
      <c r="V24" s="67"/>
      <c r="W24" s="124">
        <f t="shared" si="8"/>
        <v>0</v>
      </c>
      <c r="X24" s="290">
        <v>0</v>
      </c>
      <c r="Y24" s="274">
        <f t="shared" si="3"/>
        <v>12</v>
      </c>
      <c r="Z24" s="128" t="s">
        <v>6</v>
      </c>
      <c r="AA24" s="310">
        <f t="shared" si="4"/>
        <v>0</v>
      </c>
      <c r="AB24" s="16">
        <f t="shared" si="5"/>
        <v>0</v>
      </c>
      <c r="AC24" s="271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4"/>
      <c r="L25" s="70"/>
      <c r="M25" s="284"/>
      <c r="N25" s="254"/>
      <c r="O25" s="254"/>
      <c r="P25" s="70" t="s">
        <v>45</v>
      </c>
      <c r="Q25" s="70" t="s">
        <v>45</v>
      </c>
      <c r="R25" s="70" t="s">
        <v>45</v>
      </c>
      <c r="S25" s="71">
        <f t="shared" si="1"/>
        <v>0</v>
      </c>
      <c r="T25" s="72">
        <f t="shared" si="0"/>
        <v>0</v>
      </c>
      <c r="U25" s="179" t="str">
        <f t="shared" si="2"/>
        <v/>
      </c>
      <c r="V25" s="67"/>
      <c r="W25" s="124">
        <f t="shared" si="8"/>
        <v>0</v>
      </c>
      <c r="X25" s="290">
        <v>0</v>
      </c>
      <c r="Y25" s="274">
        <f t="shared" si="3"/>
        <v>13</v>
      </c>
      <c r="Z25" s="128" t="s">
        <v>6</v>
      </c>
      <c r="AA25" s="310">
        <f t="shared" si="4"/>
        <v>0</v>
      </c>
      <c r="AB25" s="16">
        <f t="shared" si="5"/>
        <v>0</v>
      </c>
      <c r="AC25" s="271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9" t="str">
        <f t="shared" si="2"/>
        <v/>
      </c>
      <c r="V26" s="67"/>
      <c r="W26" s="124">
        <f t="shared" si="8"/>
        <v>0</v>
      </c>
      <c r="X26" s="290">
        <v>0</v>
      </c>
      <c r="Y26" s="274">
        <f t="shared" si="3"/>
        <v>14</v>
      </c>
      <c r="Z26" s="128" t="s">
        <v>6</v>
      </c>
      <c r="AA26" s="310">
        <f t="shared" si="4"/>
        <v>0</v>
      </c>
      <c r="AB26" s="16">
        <f t="shared" si="5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79" t="str">
        <f t="shared" si="2"/>
        <v/>
      </c>
      <c r="V27" s="67"/>
      <c r="W27" s="124">
        <f t="shared" si="8"/>
        <v>0</v>
      </c>
      <c r="X27" s="290">
        <v>0</v>
      </c>
      <c r="Y27" s="274">
        <f t="shared" si="3"/>
        <v>15</v>
      </c>
      <c r="Z27" s="128" t="s">
        <v>6</v>
      </c>
      <c r="AA27" s="310">
        <f t="shared" si="4"/>
        <v>0</v>
      </c>
      <c r="AB27" s="16">
        <f t="shared" si="5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9" t="str">
        <f t="shared" si="2"/>
        <v/>
      </c>
      <c r="V28" s="67"/>
      <c r="W28" s="124">
        <f t="shared" si="8"/>
        <v>0</v>
      </c>
      <c r="X28" s="290">
        <v>0</v>
      </c>
      <c r="Y28" s="274">
        <f t="shared" si="3"/>
        <v>16</v>
      </c>
      <c r="Z28" s="128" t="s">
        <v>6</v>
      </c>
      <c r="AA28" s="310">
        <f t="shared" si="4"/>
        <v>0</v>
      </c>
      <c r="AB28" s="16">
        <f t="shared" si="5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79" t="str">
        <f t="shared" si="2"/>
        <v/>
      </c>
      <c r="V29" s="67"/>
      <c r="W29" s="124">
        <f t="shared" si="8"/>
        <v>0</v>
      </c>
      <c r="X29" s="290">
        <v>0</v>
      </c>
      <c r="Y29" s="274">
        <f t="shared" si="3"/>
        <v>17</v>
      </c>
      <c r="Z29" s="128" t="s">
        <v>6</v>
      </c>
      <c r="AA29" s="310">
        <f t="shared" si="4"/>
        <v>0</v>
      </c>
      <c r="AB29" s="16">
        <f t="shared" si="5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9" t="str">
        <f t="shared" si="2"/>
        <v/>
      </c>
      <c r="V30" s="67"/>
      <c r="W30" s="124">
        <f t="shared" si="8"/>
        <v>0</v>
      </c>
      <c r="X30" s="290">
        <v>0</v>
      </c>
      <c r="Y30" s="274">
        <f t="shared" si="3"/>
        <v>18</v>
      </c>
      <c r="Z30" s="128" t="s">
        <v>6</v>
      </c>
      <c r="AA30" s="310">
        <f t="shared" si="4"/>
        <v>0</v>
      </c>
      <c r="AB30" s="16">
        <f t="shared" si="5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90">
        <v>0</v>
      </c>
      <c r="Y31" s="274">
        <f t="shared" si="3"/>
        <v>19</v>
      </c>
      <c r="Z31" s="128" t="s">
        <v>6</v>
      </c>
      <c r="AA31" s="310">
        <f t="shared" si="4"/>
        <v>0</v>
      </c>
      <c r="AB31" s="16">
        <f t="shared" si="5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90">
        <v>0</v>
      </c>
      <c r="Y32" s="274">
        <f t="shared" si="3"/>
        <v>20</v>
      </c>
      <c r="Z32" s="128" t="s">
        <v>6</v>
      </c>
      <c r="AA32" s="310">
        <f t="shared" si="4"/>
        <v>0</v>
      </c>
      <c r="AB32" s="16">
        <f t="shared" si="5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90">
        <v>0</v>
      </c>
      <c r="Y33" s="274">
        <f t="shared" si="3"/>
        <v>21</v>
      </c>
      <c r="Z33" s="128" t="s">
        <v>6</v>
      </c>
      <c r="AA33" s="310">
        <f t="shared" si="4"/>
        <v>0</v>
      </c>
      <c r="AB33" s="16">
        <f t="shared" si="5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90">
        <v>0</v>
      </c>
      <c r="Y34" s="274">
        <f t="shared" si="3"/>
        <v>22</v>
      </c>
      <c r="Z34" s="128" t="s">
        <v>6</v>
      </c>
      <c r="AA34" s="310">
        <f t="shared" si="4"/>
        <v>0</v>
      </c>
      <c r="AB34" s="16">
        <f t="shared" si="5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90">
        <v>0</v>
      </c>
      <c r="Y35" s="274">
        <f t="shared" si="3"/>
        <v>23</v>
      </c>
      <c r="Z35" s="128" t="s">
        <v>6</v>
      </c>
      <c r="AA35" s="310">
        <f t="shared" si="4"/>
        <v>0</v>
      </c>
      <c r="AB35" s="16">
        <f t="shared" si="5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90">
        <v>0</v>
      </c>
      <c r="Y36" s="274">
        <f t="shared" si="3"/>
        <v>24</v>
      </c>
      <c r="Z36" s="128" t="s">
        <v>6</v>
      </c>
      <c r="AA36" s="310">
        <f t="shared" si="4"/>
        <v>0</v>
      </c>
      <c r="AB36" s="16">
        <f t="shared" si="5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10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10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10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5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10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5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10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5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10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5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10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5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10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5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10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5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10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5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10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5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10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5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10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5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10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5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10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10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/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1796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0.3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538.79999999999995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1257.2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1257.2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6" t="s">
        <v>9</v>
      </c>
      <c r="J3" s="386"/>
      <c r="K3" s="386"/>
      <c r="L3" s="386"/>
      <c r="S3" s="34" t="s">
        <v>437</v>
      </c>
    </row>
    <row r="4" spans="2:28" ht="25.5">
      <c r="D4" s="130"/>
      <c r="E4" s="131"/>
      <c r="I4" s="386"/>
      <c r="J4" s="386"/>
      <c r="K4" s="386"/>
      <c r="L4" s="386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5" t="s">
        <v>72</v>
      </c>
      <c r="V7" s="147"/>
      <c r="W7" s="1">
        <v>1</v>
      </c>
      <c r="X7" s="7">
        <f>'CALCULATOR SHEET'!I13</f>
        <v>37.75</v>
      </c>
      <c r="Y7" s="7">
        <f>'CALCULATOR SHEET'!J13</f>
        <v>45</v>
      </c>
      <c r="Z7" s="7">
        <f>IF(X7=0,"",MATCH(CEILING(X7,6),$C$7:$R$7,0))</f>
        <v>4</v>
      </c>
      <c r="AA7" s="7">
        <f>IF(Y7=0,"",MATCH(CEILING(Y7,6),$B$10:$B$26,0))</f>
        <v>5</v>
      </c>
      <c r="AB7" s="146">
        <f>IF(Z7="","",INDEX($C$10:$R$26,AA7,Z7))</f>
        <v>168</v>
      </c>
    </row>
    <row r="8" spans="2:28" ht="15.75">
      <c r="U8" s="385"/>
      <c r="V8" s="147"/>
      <c r="W8" s="1">
        <f>+W7+1</f>
        <v>2</v>
      </c>
      <c r="X8" s="7">
        <f>'CALCULATOR SHEET'!I14</f>
        <v>43.5</v>
      </c>
      <c r="Y8" s="7">
        <f>'CALCULATOR SHEET'!J14</f>
        <v>54</v>
      </c>
      <c r="Z8" s="7">
        <f t="shared" ref="Z8:Z71" si="0">IF(X8=0,"",MATCH(CEILING(X8,6),$C$7:$R$7,0))</f>
        <v>5</v>
      </c>
      <c r="AA8" s="7">
        <f t="shared" ref="AA8:AA71" si="1">IF(Y8=0,"",MATCH(CEILING(Y8,6),$B$10:$B$26,0))</f>
        <v>6</v>
      </c>
      <c r="AB8" s="146">
        <f t="shared" ref="AB8:AB71" si="2">IF(Z8="","",INDEX($C$10:$R$26,AA8,Z8))</f>
        <v>184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54</v>
      </c>
      <c r="Y9" s="7">
        <f>'CALCULATOR SHEET'!J15</f>
        <v>83</v>
      </c>
      <c r="Z9" s="7">
        <f t="shared" si="0"/>
        <v>6</v>
      </c>
      <c r="AA9" s="7">
        <f t="shared" si="1"/>
        <v>11</v>
      </c>
      <c r="AB9" s="146">
        <f t="shared" si="2"/>
        <v>235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54</v>
      </c>
      <c r="Y10" s="7">
        <f>'CALCULATOR SHEET'!J16</f>
        <v>83</v>
      </c>
      <c r="Z10" s="7">
        <f t="shared" si="0"/>
        <v>6</v>
      </c>
      <c r="AA10" s="7">
        <f t="shared" si="1"/>
        <v>11</v>
      </c>
      <c r="AB10" s="146">
        <f t="shared" si="2"/>
        <v>235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38</v>
      </c>
      <c r="Y11" s="7">
        <f>'CALCULATOR SHEET'!J17</f>
        <v>86</v>
      </c>
      <c r="Z11" s="7">
        <f t="shared" si="0"/>
        <v>4</v>
      </c>
      <c r="AA11" s="7">
        <f t="shared" si="1"/>
        <v>12</v>
      </c>
      <c r="AB11" s="146">
        <f t="shared" si="2"/>
        <v>226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39</v>
      </c>
      <c r="Y12" s="7">
        <f>'CALCULATOR SHEET'!J18</f>
        <v>86</v>
      </c>
      <c r="Z12" s="7">
        <f t="shared" si="0"/>
        <v>4</v>
      </c>
      <c r="AA12" s="7">
        <f t="shared" si="1"/>
        <v>12</v>
      </c>
      <c r="AB12" s="146">
        <f t="shared" si="2"/>
        <v>226</v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46</v>
      </c>
      <c r="Y13" s="7">
        <f>'CALCULATOR SHEET'!J19</f>
        <v>54</v>
      </c>
      <c r="Z13" s="7">
        <f t="shared" si="0"/>
        <v>5</v>
      </c>
      <c r="AA13" s="7">
        <f t="shared" si="1"/>
        <v>6</v>
      </c>
      <c r="AB13" s="146">
        <f t="shared" si="2"/>
        <v>184</v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53.5</v>
      </c>
      <c r="Y14" s="7">
        <f>'CALCULATOR SHEET'!J20</f>
        <v>54</v>
      </c>
      <c r="Z14" s="7">
        <f t="shared" si="0"/>
        <v>6</v>
      </c>
      <c r="AA14" s="7">
        <f t="shared" si="1"/>
        <v>6</v>
      </c>
      <c r="AB14" s="146">
        <f t="shared" si="2"/>
        <v>192</v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10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37.75</v>
      </c>
      <c r="X7" s="7">
        <f>'CALCULATOR SHEET'!J13</f>
        <v>45</v>
      </c>
      <c r="Y7" s="7">
        <f>IF(W7=0,"",MATCH(CEILING(W7,6),$C$7:$Q$7,0))</f>
        <v>4</v>
      </c>
      <c r="Z7" s="7">
        <f>IF(X7=0,"",MATCH(CEILING(X7,6),$B$10:$B$26,0))</f>
        <v>5</v>
      </c>
      <c r="AA7" s="146">
        <f>IF(Y7="","",INDEX($C$10:$Q$26,Z7,Y7))</f>
        <v>186</v>
      </c>
    </row>
    <row r="8" spans="2:27">
      <c r="T8" s="385"/>
      <c r="V8" s="1">
        <f>+V7+1</f>
        <v>2</v>
      </c>
      <c r="W8" s="7">
        <f>'CALCULATOR SHEET'!I14</f>
        <v>43.5</v>
      </c>
      <c r="X8" s="7">
        <f>'CALCULATOR SHEET'!J14</f>
        <v>54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6</v>
      </c>
      <c r="AA8" s="146">
        <f t="shared" ref="AA8:AA71" si="3">IF(Y8="","",INDEX($C$10:$Q$26,Z8,Y8))</f>
        <v>205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</v>
      </c>
      <c r="X9" s="7">
        <f>'CALCULATOR SHEET'!J15</f>
        <v>83</v>
      </c>
      <c r="Y9" s="7">
        <f t="shared" si="1"/>
        <v>6</v>
      </c>
      <c r="Z9" s="7">
        <f t="shared" si="2"/>
        <v>11</v>
      </c>
      <c r="AA9" s="146">
        <f t="shared" si="3"/>
        <v>266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54</v>
      </c>
      <c r="X10" s="7">
        <f>'CALCULATOR SHEET'!J16</f>
        <v>83</v>
      </c>
      <c r="Y10" s="7">
        <f t="shared" si="1"/>
        <v>6</v>
      </c>
      <c r="Z10" s="7">
        <f t="shared" si="2"/>
        <v>11</v>
      </c>
      <c r="AA10" s="146">
        <f t="shared" si="3"/>
        <v>266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38</v>
      </c>
      <c r="X11" s="7">
        <f>'CALCULATOR SHEET'!J17</f>
        <v>86</v>
      </c>
      <c r="Y11" s="7">
        <f t="shared" si="1"/>
        <v>4</v>
      </c>
      <c r="Z11" s="7">
        <f t="shared" si="2"/>
        <v>12</v>
      </c>
      <c r="AA11" s="146">
        <f t="shared" si="3"/>
        <v>260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39</v>
      </c>
      <c r="X12" s="7">
        <f>'CALCULATOR SHEET'!J18</f>
        <v>86</v>
      </c>
      <c r="Y12" s="7">
        <f t="shared" si="1"/>
        <v>4</v>
      </c>
      <c r="Z12" s="7">
        <f t="shared" si="2"/>
        <v>12</v>
      </c>
      <c r="AA12" s="146">
        <f t="shared" si="3"/>
        <v>260</v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46</v>
      </c>
      <c r="X13" s="7">
        <f>'CALCULATOR SHEET'!J19</f>
        <v>54</v>
      </c>
      <c r="Y13" s="7">
        <f t="shared" si="1"/>
        <v>5</v>
      </c>
      <c r="Z13" s="7">
        <f t="shared" si="2"/>
        <v>6</v>
      </c>
      <c r="AA13" s="146">
        <f t="shared" si="3"/>
        <v>205</v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53.5</v>
      </c>
      <c r="X14" s="7">
        <f>'CALCULATOR SHEET'!J20</f>
        <v>54</v>
      </c>
      <c r="Y14" s="7">
        <f t="shared" si="1"/>
        <v>6</v>
      </c>
      <c r="Z14" s="7">
        <f t="shared" si="2"/>
        <v>6</v>
      </c>
      <c r="AA14" s="146">
        <f t="shared" si="3"/>
        <v>213</v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11</v>
      </c>
      <c r="J3" s="386"/>
      <c r="K3" s="386"/>
      <c r="L3" s="386"/>
      <c r="R3" s="34" t="s">
        <v>385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37.75</v>
      </c>
      <c r="X7" s="7">
        <f>'CALCULATOR SHEET'!J13</f>
        <v>45</v>
      </c>
      <c r="Y7" s="7">
        <f>IF(W7=0,"",MATCH(CEILING(W7,6),$C$7:$Q$7,0))</f>
        <v>4</v>
      </c>
      <c r="Z7" s="7">
        <f>IF(X7=0,"",MATCH(CEILING(X7,6),$B$10:$B$26,0))</f>
        <v>5</v>
      </c>
      <c r="AA7" s="146">
        <f>IF(Y7="","",INDEX($C$10:$Q$26,Z7,Y7))</f>
        <v>179</v>
      </c>
    </row>
    <row r="8" spans="2:27" ht="15" customHeight="1">
      <c r="T8" s="385"/>
      <c r="V8" s="1">
        <f>+V7+1</f>
        <v>2</v>
      </c>
      <c r="W8" s="7">
        <f>'CALCULATOR SHEET'!I14</f>
        <v>43.5</v>
      </c>
      <c r="X8" s="7">
        <f>'CALCULATOR SHEET'!J14</f>
        <v>54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6</v>
      </c>
      <c r="AA8" s="146">
        <f t="shared" ref="AA8:AA71" si="3">IF(Y8="","",INDEX($C$10:$Q$26,Z8,Y8))</f>
        <v>197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</v>
      </c>
      <c r="X9" s="7">
        <f>'CALCULATOR SHEET'!J15</f>
        <v>83</v>
      </c>
      <c r="Y9" s="7">
        <f t="shared" si="1"/>
        <v>6</v>
      </c>
      <c r="Z9" s="7">
        <f t="shared" si="2"/>
        <v>11</v>
      </c>
      <c r="AA9" s="146">
        <f t="shared" si="3"/>
        <v>257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54</v>
      </c>
      <c r="X10" s="7">
        <f>'CALCULATOR SHEET'!J16</f>
        <v>83</v>
      </c>
      <c r="Y10" s="7">
        <f t="shared" si="1"/>
        <v>6</v>
      </c>
      <c r="Z10" s="7">
        <f t="shared" si="2"/>
        <v>11</v>
      </c>
      <c r="AA10" s="146">
        <f t="shared" si="3"/>
        <v>257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38</v>
      </c>
      <c r="X11" s="7">
        <f>'CALCULATOR SHEET'!J17</f>
        <v>86</v>
      </c>
      <c r="Y11" s="7">
        <f t="shared" si="1"/>
        <v>4</v>
      </c>
      <c r="Z11" s="7">
        <f t="shared" si="2"/>
        <v>12</v>
      </c>
      <c r="AA11" s="146">
        <f t="shared" si="3"/>
        <v>252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39</v>
      </c>
      <c r="X12" s="7">
        <f>'CALCULATOR SHEET'!J18</f>
        <v>86</v>
      </c>
      <c r="Y12" s="7">
        <f t="shared" si="1"/>
        <v>4</v>
      </c>
      <c r="Z12" s="7">
        <f t="shared" si="2"/>
        <v>12</v>
      </c>
      <c r="AA12" s="146">
        <f t="shared" si="3"/>
        <v>252</v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46</v>
      </c>
      <c r="X13" s="7">
        <f>'CALCULATOR SHEET'!J19</f>
        <v>54</v>
      </c>
      <c r="Y13" s="7">
        <f t="shared" si="1"/>
        <v>5</v>
      </c>
      <c r="Z13" s="7">
        <f t="shared" si="2"/>
        <v>6</v>
      </c>
      <c r="AA13" s="146">
        <f t="shared" si="3"/>
        <v>197</v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53.5</v>
      </c>
      <c r="X14" s="7">
        <f>'CALCULATOR SHEET'!J20</f>
        <v>54</v>
      </c>
      <c r="Y14" s="7">
        <f t="shared" si="1"/>
        <v>6</v>
      </c>
      <c r="Z14" s="7">
        <f t="shared" si="2"/>
        <v>6</v>
      </c>
      <c r="AA14" s="146">
        <f t="shared" si="3"/>
        <v>205</v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12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37.75</v>
      </c>
      <c r="X7" s="7">
        <f>'CALCULATOR SHEET'!J13</f>
        <v>45</v>
      </c>
      <c r="Y7" s="7">
        <f>IF(W7=0,"",MATCH(CEILING(W7,6),$C$7:$Q$7,0))</f>
        <v>4</v>
      </c>
      <c r="Z7" s="7">
        <f>IF(X7=0,"",MATCH(CEILING(X7,6),$B$10:$B$26,0))</f>
        <v>5</v>
      </c>
      <c r="AA7" s="146">
        <f>IF(Y7="","",INDEX($C$10:$Q$26,Z7,Y7))</f>
        <v>228</v>
      </c>
    </row>
    <row r="8" spans="2:27" ht="15" customHeight="1">
      <c r="T8" s="385"/>
      <c r="V8" s="1">
        <f>+V7+1</f>
        <v>2</v>
      </c>
      <c r="W8" s="7">
        <f>'CALCULATOR SHEET'!I14</f>
        <v>43.5</v>
      </c>
      <c r="X8" s="7">
        <f>'CALCULATOR SHEET'!J14</f>
        <v>54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6</v>
      </c>
      <c r="AA8" s="146">
        <f t="shared" ref="AA8:AA71" si="3">IF(Y8="","",INDEX($C$10:$Q$26,Z8,Y8))</f>
        <v>251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</v>
      </c>
      <c r="X9" s="7">
        <f>'CALCULATOR SHEET'!J15</f>
        <v>83</v>
      </c>
      <c r="Y9" s="7">
        <f t="shared" si="1"/>
        <v>6</v>
      </c>
      <c r="Z9" s="7">
        <f t="shared" si="2"/>
        <v>11</v>
      </c>
      <c r="AA9" s="146">
        <f t="shared" si="3"/>
        <v>335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54</v>
      </c>
      <c r="X10" s="7">
        <f>'CALCULATOR SHEET'!J16</f>
        <v>83</v>
      </c>
      <c r="Y10" s="7">
        <f t="shared" si="1"/>
        <v>6</v>
      </c>
      <c r="Z10" s="7">
        <f t="shared" si="2"/>
        <v>11</v>
      </c>
      <c r="AA10" s="146">
        <f t="shared" si="3"/>
        <v>335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38</v>
      </c>
      <c r="X11" s="7">
        <f>'CALCULATOR SHEET'!J17</f>
        <v>86</v>
      </c>
      <c r="Y11" s="7">
        <f t="shared" si="1"/>
        <v>4</v>
      </c>
      <c r="Z11" s="7">
        <f t="shared" si="2"/>
        <v>12</v>
      </c>
      <c r="AA11" s="146">
        <f t="shared" si="3"/>
        <v>333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39</v>
      </c>
      <c r="X12" s="7">
        <f>'CALCULATOR SHEET'!J18</f>
        <v>86</v>
      </c>
      <c r="Y12" s="7">
        <f t="shared" si="1"/>
        <v>4</v>
      </c>
      <c r="Z12" s="7">
        <f t="shared" si="2"/>
        <v>12</v>
      </c>
      <c r="AA12" s="146">
        <f t="shared" si="3"/>
        <v>333</v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46</v>
      </c>
      <c r="X13" s="7">
        <f>'CALCULATOR SHEET'!J19</f>
        <v>54</v>
      </c>
      <c r="Y13" s="7">
        <f t="shared" si="1"/>
        <v>5</v>
      </c>
      <c r="Z13" s="7">
        <f t="shared" si="2"/>
        <v>6</v>
      </c>
      <c r="AA13" s="146">
        <f t="shared" si="3"/>
        <v>251</v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53.5</v>
      </c>
      <c r="X14" s="7">
        <f>'CALCULATOR SHEET'!J20</f>
        <v>54</v>
      </c>
      <c r="Y14" s="7">
        <f t="shared" si="1"/>
        <v>6</v>
      </c>
      <c r="Z14" s="7">
        <f t="shared" si="2"/>
        <v>6</v>
      </c>
      <c r="AA14" s="146">
        <f t="shared" si="3"/>
        <v>259</v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13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37.75</v>
      </c>
      <c r="X7" s="7">
        <f>'CALCULATOR SHEET'!J13</f>
        <v>45</v>
      </c>
      <c r="Y7" s="7">
        <f>IF(W7=0,"",MATCH(CEILING(W7,6),$C$7:$Q$7,0))</f>
        <v>4</v>
      </c>
      <c r="Z7" s="7">
        <f>IF(X7=0,"",MATCH(CEILING(X7,6),$B$10:$B$26,0))</f>
        <v>5</v>
      </c>
      <c r="AA7" s="146">
        <f>IF(Y7="","",INDEX($C$10:$Q$26,Z7,Y7))</f>
        <v>238</v>
      </c>
    </row>
    <row r="8" spans="2:27" ht="15" customHeight="1">
      <c r="T8" s="385"/>
      <c r="V8" s="1">
        <f>+V7+1</f>
        <v>2</v>
      </c>
      <c r="W8" s="7">
        <f>'CALCULATOR SHEET'!I14</f>
        <v>43.5</v>
      </c>
      <c r="X8" s="7">
        <f>'CALCULATOR SHEET'!J14</f>
        <v>54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6</v>
      </c>
      <c r="AA8" s="146">
        <f t="shared" ref="AA8:AA71" si="3">IF(Y8="","",INDEX($C$10:$Q$26,Z8,Y8))</f>
        <v>262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</v>
      </c>
      <c r="X9" s="7">
        <f>'CALCULATOR SHEET'!J15</f>
        <v>83</v>
      </c>
      <c r="Y9" s="7">
        <f t="shared" si="1"/>
        <v>6</v>
      </c>
      <c r="Z9" s="7">
        <f t="shared" si="2"/>
        <v>11</v>
      </c>
      <c r="AA9" s="146">
        <f t="shared" si="3"/>
        <v>350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54</v>
      </c>
      <c r="X10" s="7">
        <f>'CALCULATOR SHEET'!J16</f>
        <v>83</v>
      </c>
      <c r="Y10" s="7">
        <f t="shared" si="1"/>
        <v>6</v>
      </c>
      <c r="Z10" s="7">
        <f t="shared" si="2"/>
        <v>11</v>
      </c>
      <c r="AA10" s="146">
        <f t="shared" si="3"/>
        <v>350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38</v>
      </c>
      <c r="X11" s="7">
        <f>'CALCULATOR SHEET'!J17</f>
        <v>86</v>
      </c>
      <c r="Y11" s="7">
        <f t="shared" si="1"/>
        <v>4</v>
      </c>
      <c r="Z11" s="7">
        <f t="shared" si="2"/>
        <v>12</v>
      </c>
      <c r="AA11" s="146">
        <f t="shared" si="3"/>
        <v>350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39</v>
      </c>
      <c r="X12" s="7">
        <f>'CALCULATOR SHEET'!J18</f>
        <v>86</v>
      </c>
      <c r="Y12" s="7">
        <f t="shared" si="1"/>
        <v>4</v>
      </c>
      <c r="Z12" s="7">
        <f t="shared" si="2"/>
        <v>12</v>
      </c>
      <c r="AA12" s="146">
        <f t="shared" si="3"/>
        <v>350</v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46</v>
      </c>
      <c r="X13" s="7">
        <f>'CALCULATOR SHEET'!J19</f>
        <v>54</v>
      </c>
      <c r="Y13" s="7">
        <f t="shared" si="1"/>
        <v>5</v>
      </c>
      <c r="Z13" s="7">
        <f t="shared" si="2"/>
        <v>6</v>
      </c>
      <c r="AA13" s="146">
        <f t="shared" si="3"/>
        <v>262</v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53.5</v>
      </c>
      <c r="X14" s="7">
        <f>'CALCULATOR SHEET'!J20</f>
        <v>54</v>
      </c>
      <c r="Y14" s="7">
        <f t="shared" si="1"/>
        <v>6</v>
      </c>
      <c r="Z14" s="7">
        <f t="shared" si="2"/>
        <v>6</v>
      </c>
      <c r="AA14" s="146">
        <f t="shared" si="3"/>
        <v>270</v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6" t="s">
        <v>295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37.75</v>
      </c>
      <c r="X7" s="7">
        <f>'CALCULATOR SHEET'!J13</f>
        <v>45</v>
      </c>
      <c r="Y7" s="7">
        <f>IF(W7=0,"",MATCH(CEILING(W7,6),$C$7:$Q$7,0))</f>
        <v>4</v>
      </c>
      <c r="Z7" s="7">
        <f>IF(X7=0,"",MATCH(CEILING(X7,6),$B$10:$B$26,0))</f>
        <v>5</v>
      </c>
      <c r="AA7" s="146">
        <f>IF(Y7="","",INDEX($C$10:$Q$26,Z7,Y7))</f>
        <v>229</v>
      </c>
    </row>
    <row r="8" spans="2:27" ht="15" customHeight="1">
      <c r="T8" s="385"/>
      <c r="V8" s="1">
        <f>+V7+1</f>
        <v>2</v>
      </c>
      <c r="W8" s="7">
        <f>'CALCULATOR SHEET'!I14</f>
        <v>43.5</v>
      </c>
      <c r="X8" s="7">
        <f>'CALCULATOR SHEET'!J14</f>
        <v>54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6</v>
      </c>
      <c r="AA8" s="146">
        <f t="shared" ref="AA8:AA71" si="3">IF(Y8="","",INDEX($C$10:$Q$26,Z8,Y8))</f>
        <v>252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54</v>
      </c>
      <c r="X9" s="7">
        <f>'CALCULATOR SHEET'!J15</f>
        <v>83</v>
      </c>
      <c r="Y9" s="7">
        <f t="shared" si="1"/>
        <v>6</v>
      </c>
      <c r="Z9" s="7">
        <f t="shared" si="2"/>
        <v>11</v>
      </c>
      <c r="AA9" s="146">
        <f t="shared" si="3"/>
        <v>342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54</v>
      </c>
      <c r="X10" s="7">
        <f>'CALCULATOR SHEET'!J16</f>
        <v>83</v>
      </c>
      <c r="Y10" s="7">
        <f t="shared" si="1"/>
        <v>6</v>
      </c>
      <c r="Z10" s="7">
        <f t="shared" si="2"/>
        <v>11</v>
      </c>
      <c r="AA10" s="146">
        <f t="shared" si="3"/>
        <v>342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38</v>
      </c>
      <c r="X11" s="7">
        <f>'CALCULATOR SHEET'!J17</f>
        <v>86</v>
      </c>
      <c r="Y11" s="7">
        <f t="shared" si="1"/>
        <v>4</v>
      </c>
      <c r="Z11" s="7">
        <f t="shared" si="2"/>
        <v>12</v>
      </c>
      <c r="AA11" s="146">
        <f t="shared" si="3"/>
        <v>345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39</v>
      </c>
      <c r="X12" s="7">
        <f>'CALCULATOR SHEET'!J18</f>
        <v>86</v>
      </c>
      <c r="Y12" s="7">
        <f t="shared" si="1"/>
        <v>4</v>
      </c>
      <c r="Z12" s="7">
        <f t="shared" si="2"/>
        <v>12</v>
      </c>
      <c r="AA12" s="146">
        <f t="shared" si="3"/>
        <v>345</v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46</v>
      </c>
      <c r="X13" s="7">
        <f>'CALCULATOR SHEET'!J19</f>
        <v>54</v>
      </c>
      <c r="Y13" s="7">
        <f t="shared" si="1"/>
        <v>5</v>
      </c>
      <c r="Z13" s="7">
        <f t="shared" si="2"/>
        <v>6</v>
      </c>
      <c r="AA13" s="146">
        <f t="shared" si="3"/>
        <v>252</v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53.5</v>
      </c>
      <c r="X14" s="7">
        <f>'CALCULATOR SHEET'!J20</f>
        <v>54</v>
      </c>
      <c r="Y14" s="7">
        <f t="shared" si="1"/>
        <v>6</v>
      </c>
      <c r="Z14" s="7">
        <f t="shared" si="2"/>
        <v>6</v>
      </c>
      <c r="AA14" s="146">
        <f t="shared" si="3"/>
        <v>259</v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7" t="s">
        <v>104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</row>
    <row r="2" spans="1:33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1:33" ht="15.75" thickBot="1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37.75</v>
      </c>
      <c r="Y5" s="7">
        <f>'PM-ORDER'!P5</f>
        <v>45</v>
      </c>
      <c r="Z5" s="7">
        <f>IF(X5&lt;&gt;"",MATCH(CEILING(X5,6),$C$4:$S$4,0),"")</f>
        <v>4</v>
      </c>
      <c r="AA5" s="7">
        <f>IF(X5&lt;&gt;"",MATCH(CEILING(Y5,6),$B$7:$B$26,0),"")</f>
        <v>5</v>
      </c>
      <c r="AB5" s="7"/>
      <c r="AC5" s="7" t="str">
        <f>IF('PM-ORDER'!G5="ROLLER",INDEX($C$7:$S$26,AA5,Z5),"")</f>
        <v/>
      </c>
      <c r="AF5" s="7" t="str">
        <f>IF('PM-ORDER'!G5="ZEBRA",INDEX($C$35:$S$54,AA5,Z5),"")</f>
        <v>ZEBRA-ROLLER</v>
      </c>
      <c r="AG5" s="1" t="str">
        <f>CONCATENATE(AC5,AF5)</f>
        <v>ZEBRA-ROLLER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43.5</v>
      </c>
      <c r="Y6" s="7">
        <f>'PM-ORDER'!P6</f>
        <v>54</v>
      </c>
      <c r="Z6" s="7">
        <f t="shared" ref="Z6:Z44" si="0">IF(X6&lt;&gt;"",MATCH(CEILING(X6,6),$C$4:$S$4,0),"")</f>
        <v>5</v>
      </c>
      <c r="AA6" s="7">
        <f t="shared" ref="AA6:AA44" si="1">IF(X6&lt;&gt;"",MATCH(CEILING(Y6,6),$B$7:$B$26,0),"")</f>
        <v>6</v>
      </c>
      <c r="AC6" s="7" t="str">
        <f>IF('PM-ORDER'!G6="ROLLER",INDEX($C$7:$S$26,AA6,Z6),"")</f>
        <v/>
      </c>
      <c r="AF6" s="7" t="str">
        <f>IF('PM-ORDER'!G6="ZEBRA",INDEX($C$35:$S$54,AA6,Z6),"")</f>
        <v>ZEBRA-ROLLER</v>
      </c>
      <c r="AG6" s="1" t="str">
        <f t="shared" ref="AG6:AG44" si="2">CONCATENATE(AC6,AF6)</f>
        <v>ZEBRA-ROLLER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>'PM-ORDER'!O7</f>
        <v>54</v>
      </c>
      <c r="Y7" s="7">
        <f>'PM-ORDER'!P7</f>
        <v>83</v>
      </c>
      <c r="Z7" s="7">
        <f t="shared" si="0"/>
        <v>6</v>
      </c>
      <c r="AA7" s="7">
        <f t="shared" si="1"/>
        <v>11</v>
      </c>
      <c r="AC7" s="7" t="str">
        <f>IF('PM-ORDER'!G7="ROLLER",INDEX($C$7:$S$26,AA7,Z7),"")</f>
        <v/>
      </c>
      <c r="AF7" s="7" t="str">
        <f>IF('PM-ORDER'!G7="ZEBRA",INDEX($C$35:$S$54,AA7,Z7),"")</f>
        <v>ZEBRA-ROLLER</v>
      </c>
      <c r="AG7" s="1" t="str">
        <f t="shared" si="2"/>
        <v>ZEBRA-ROLLER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>'PM-ORDER'!O8</f>
        <v>54</v>
      </c>
      <c r="Y8" s="7">
        <f>'PM-ORDER'!P8</f>
        <v>83</v>
      </c>
      <c r="Z8" s="7">
        <f t="shared" si="0"/>
        <v>6</v>
      </c>
      <c r="AA8" s="7">
        <f t="shared" si="1"/>
        <v>11</v>
      </c>
      <c r="AC8" s="7" t="str">
        <f>IF('PM-ORDER'!G8="ROLLER",INDEX($C$7:$S$26,AA8,Z8),"")</f>
        <v/>
      </c>
      <c r="AF8" s="7" t="str">
        <f>IF('PM-ORDER'!G8="ZEBRA",INDEX($C$35:$S$54,AA8,Z8),"")</f>
        <v>ZEBRA-ROLLER</v>
      </c>
      <c r="AG8" s="1" t="str">
        <f t="shared" si="2"/>
        <v>ZEBRA-ROLLER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>
        <f>'PM-ORDER'!O9</f>
        <v>38</v>
      </c>
      <c r="Y9" s="7">
        <f>'PM-ORDER'!P9</f>
        <v>86</v>
      </c>
      <c r="Z9" s="7">
        <f t="shared" si="0"/>
        <v>4</v>
      </c>
      <c r="AA9" s="7">
        <f t="shared" si="1"/>
        <v>12</v>
      </c>
      <c r="AC9" s="7" t="str">
        <f>IF('PM-ORDER'!G9="ROLLER",INDEX($C$7:$S$26,AA9,Z9),"")</f>
        <v/>
      </c>
      <c r="AF9" s="7" t="str">
        <f>IF('PM-ORDER'!G9="ZEBRA",INDEX($C$35:$S$54,AA9,Z9),"")</f>
        <v>ZEBRA-ROLLER</v>
      </c>
      <c r="AG9" s="1" t="str">
        <f t="shared" si="2"/>
        <v>ZEBRA-ROLLER</v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>
        <f>'PM-ORDER'!O10</f>
        <v>39</v>
      </c>
      <c r="Y10" s="7">
        <f>'PM-ORDER'!P10</f>
        <v>86</v>
      </c>
      <c r="Z10" s="7">
        <f t="shared" si="0"/>
        <v>4</v>
      </c>
      <c r="AA10" s="7">
        <f t="shared" si="1"/>
        <v>12</v>
      </c>
      <c r="AC10" s="7" t="str">
        <f>IF('PM-ORDER'!G10="ROLLER",INDEX($C$7:$S$26,AA10,Z10),"")</f>
        <v/>
      </c>
      <c r="AF10" s="7" t="str">
        <f>IF('PM-ORDER'!G10="ZEBRA",INDEX($C$35:$S$54,AA10,Z10),"")</f>
        <v>ZEBRA-ROLLER</v>
      </c>
      <c r="AG10" s="1" t="str">
        <f t="shared" si="2"/>
        <v>ZEBRA-ROLLER</v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>
        <f>'PM-ORDER'!O11</f>
        <v>46</v>
      </c>
      <c r="Y11" s="7">
        <f>'PM-ORDER'!P11</f>
        <v>54</v>
      </c>
      <c r="Z11" s="7">
        <f t="shared" si="0"/>
        <v>5</v>
      </c>
      <c r="AA11" s="7">
        <f t="shared" si="1"/>
        <v>6</v>
      </c>
      <c r="AC11" s="7" t="str">
        <f>IF('PM-ORDER'!G11="ROLLER",INDEX($C$7:$S$26,AA11,Z11),"")</f>
        <v/>
      </c>
      <c r="AF11" s="7" t="str">
        <f>IF('PM-ORDER'!G11="ZEBRA",INDEX($C$35:$S$54,AA11,Z11),"")</f>
        <v>ZEBRA-ROLLER</v>
      </c>
      <c r="AG11" s="1" t="str">
        <f t="shared" si="2"/>
        <v>ZEBRA-ROLLER</v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>
        <f>'PM-ORDER'!O12</f>
        <v>53.5</v>
      </c>
      <c r="Y12" s="7">
        <f>'PM-ORDER'!P12</f>
        <v>54</v>
      </c>
      <c r="Z12" s="7">
        <f t="shared" si="0"/>
        <v>6</v>
      </c>
      <c r="AA12" s="7">
        <f t="shared" si="1"/>
        <v>6</v>
      </c>
      <c r="AC12" s="7" t="str">
        <f>IF('PM-ORDER'!G12="ROLLER",INDEX($C$7:$S$26,AA12,Z12),"")</f>
        <v/>
      </c>
      <c r="AF12" s="7" t="str">
        <f>IF('PM-ORDER'!G12="ZEBRA",INDEX($C$35:$S$54,AA12,Z12),"")</f>
        <v>ZEBRA-ROLLER</v>
      </c>
      <c r="AG12" s="1" t="str">
        <f t="shared" si="2"/>
        <v>ZEBRA-ROLLER</v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7" t="s">
        <v>93</v>
      </c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5"/>
      <c r="T11" s="365"/>
      <c r="U11" s="365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5"/>
      <c r="T14" s="365"/>
      <c r="U14" s="365"/>
      <c r="W14" s="365"/>
      <c r="X14" s="365"/>
      <c r="Y14" s="365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5"/>
      <c r="T20" s="365"/>
      <c r="U20" s="365"/>
      <c r="W20" s="365"/>
      <c r="X20" s="365"/>
      <c r="Y20" s="365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1" t="s">
        <v>90</v>
      </c>
      <c r="I82" s="371"/>
      <c r="J82" s="371" t="s">
        <v>440</v>
      </c>
      <c r="K82" s="371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1" t="s">
        <v>88</v>
      </c>
      <c r="F84" s="371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E84:F84"/>
    <mergeCell ref="H82:I82"/>
    <mergeCell ref="J82:K82"/>
    <mergeCell ref="S11:U11"/>
    <mergeCell ref="S14:U14"/>
    <mergeCell ref="W14:Y14"/>
    <mergeCell ref="S20:U20"/>
    <mergeCell ref="W20:Y20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2" t="s">
        <v>214</v>
      </c>
      <c r="V1" s="372"/>
      <c r="AG1" s="374" t="s">
        <v>218</v>
      </c>
      <c r="AH1" s="375"/>
      <c r="AI1" s="375"/>
      <c r="AJ1" s="375"/>
      <c r="AK1" s="375"/>
      <c r="AL1" s="375"/>
      <c r="AM1" s="375"/>
      <c r="AN1" s="375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45995</v>
      </c>
      <c r="H2" s="223"/>
      <c r="U2" s="372"/>
      <c r="V2" s="372"/>
      <c r="AG2" s="376"/>
      <c r="AH2" s="377"/>
      <c r="AI2" s="377"/>
      <c r="AJ2" s="377"/>
      <c r="AK2" s="377"/>
      <c r="AL2" s="377"/>
      <c r="AM2" s="377"/>
      <c r="AN2" s="377"/>
      <c r="AO2" s="294"/>
    </row>
    <row r="3" spans="2:41" ht="15" customHeight="1">
      <c r="C3" s="223" t="s">
        <v>160</v>
      </c>
      <c r="G3" s="226"/>
      <c r="I3" s="34">
        <v>0</v>
      </c>
      <c r="U3" s="373"/>
      <c r="V3" s="373"/>
      <c r="AG3" s="378"/>
      <c r="AH3" s="379"/>
      <c r="AI3" s="379"/>
      <c r="AJ3" s="379"/>
      <c r="AK3" s="379"/>
      <c r="AL3" s="379"/>
      <c r="AM3" s="379"/>
      <c r="AN3" s="379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 xml:space="preserve">BS 251108 A </v>
      </c>
      <c r="D5" s="229">
        <f>IF('CALCULATOR SHEET'!D13&lt;&gt;"",'CALCULATOR SHEET'!$T$9,"")</f>
        <v>45880</v>
      </c>
      <c r="E5" s="230" t="str">
        <f>IF(D5&lt;&gt;"","BAJA SHADES","")</f>
        <v>BAJA SHADES</v>
      </c>
      <c r="F5" s="231" t="str">
        <f>IF(C5&lt;&gt;"",'CALCULATOR SHEET'!$D$9,"")</f>
        <v xml:space="preserve">RESIDENCIA PLAZA DE MAR </v>
      </c>
      <c r="G5" s="231" t="str">
        <f>IF('CALCULATOR SHEET'!D13&lt;&gt;"",'CALCULATOR SHEET'!D13,"")</f>
        <v>ZEBRA</v>
      </c>
      <c r="H5" s="231" t="str">
        <f>IF(Q5="CCL",BOMS!AG5,"")</f>
        <v>ZEBRA-ROLLER</v>
      </c>
      <c r="I5" s="230">
        <v>1</v>
      </c>
      <c r="J5" s="231" t="str">
        <f>IF(C5&lt;&gt;"",'CALCULATOR SHEET'!K13,"")</f>
        <v>PLASTIC CHAIN WHITE</v>
      </c>
      <c r="K5" s="231" t="str">
        <f>IF(J5=GENERAL!$H$6,GENERAL!$H$6,IF(J5=GENERAL!$H$7,GENERAL!$H$7,IF('PM-ORDER'!J5=GENERAL!$H$8,GENERAL!$H$8,"")))</f>
        <v>PLASTIC CHAIN WHITE</v>
      </c>
      <c r="L5" s="231" t="str">
        <f>IF(C5&lt;&gt;"",'CALCULATOR SHEET'!G13,"")</f>
        <v xml:space="preserve">DUO DIM OUT GOLDEN SAND </v>
      </c>
      <c r="M5" s="231" t="str">
        <f>IF(C5&lt;&gt;"",'CALCULATOR SHEET'!O13,"")</f>
        <v>PERFIL BLANCO</v>
      </c>
      <c r="N5" s="231" t="str">
        <f>IF(C5&lt;&gt;"",'CALCULATOR SHEET'!H13,"")</f>
        <v xml:space="preserve">COCINA VENT A </v>
      </c>
      <c r="O5" s="233">
        <f>IF(D5&lt;&gt;"",'CALCULATOR SHEET'!I13,"")</f>
        <v>37.75</v>
      </c>
      <c r="P5" s="233">
        <f>IF(E5&lt;&gt;"",'CALCULATOR SHEET'!J13,"")</f>
        <v>45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 t="str">
        <f>IF(C5&lt;&gt;"",'CALCULATOR SHEET'!M13,"")</f>
        <v>L</v>
      </c>
      <c r="S5" s="230" t="str">
        <f>IF(D5&lt;&gt;"",'CALCULATOR SHEET'!N13,"")</f>
        <v>OUTSIDE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 xml:space="preserve">PLAZA DEL MAR SECC CLUB </v>
      </c>
      <c r="AB5" s="232"/>
      <c r="AC5" s="232"/>
      <c r="AD5" s="234"/>
      <c r="AE5" s="235"/>
      <c r="AF5" s="162"/>
      <c r="AG5" s="253"/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 xml:space="preserve">BS 251108 A </v>
      </c>
      <c r="D6" s="229">
        <f>IF('CALCULATOR SHEET'!D14&lt;&gt;"",'CALCULATOR SHEET'!$T$9,"")</f>
        <v>45880</v>
      </c>
      <c r="E6" s="230" t="str">
        <f t="shared" ref="E6:E69" si="0">IF(D6&lt;&gt;"","BAJA SHADES","")</f>
        <v>BAJA SHADES</v>
      </c>
      <c r="F6" s="231" t="str">
        <f>IF(C6&lt;&gt;"",'CALCULATOR SHEET'!$D$9,"")</f>
        <v xml:space="preserve">RESIDENCIA PLAZA DE MAR </v>
      </c>
      <c r="G6" s="231" t="str">
        <f>IF('CALCULATOR SHEET'!D14&lt;&gt;"",'CALCULATOR SHEET'!D14,"")</f>
        <v>ZEBRA</v>
      </c>
      <c r="H6" s="231" t="str">
        <f>IF(Q6="CCL",BOMS!AG6,"")</f>
        <v>ZEBRA-ROLLER</v>
      </c>
      <c r="I6" s="230">
        <v>1</v>
      </c>
      <c r="J6" s="231" t="str">
        <f>IF(C6&lt;&gt;"",'CALCULATOR SHEET'!K14,"")</f>
        <v>PLASTIC CHAIN WHITE</v>
      </c>
      <c r="K6" s="231" t="str">
        <f>IF(J6=GENERAL!$H$6,GENERAL!$H$6,IF(J6=GENERAL!$H$7,GENERAL!$H$7,IF('PM-ORDER'!J6=GENERAL!$H$8,GENERAL!$H$8,"")))</f>
        <v>PLASTIC CHAIN WHITE</v>
      </c>
      <c r="L6" s="231" t="str">
        <f>IF(C6&lt;&gt;"",'CALCULATOR SHEET'!G14,"")</f>
        <v xml:space="preserve">DUO DIM OUT GOLDEN SAND </v>
      </c>
      <c r="M6" s="231" t="str">
        <f>IF(C6&lt;&gt;"",'CALCULATOR SHEET'!O14,"")</f>
        <v>PERFIL BLANCO</v>
      </c>
      <c r="N6" s="231" t="str">
        <f>IF(C6&lt;&gt;"",'CALCULATOR SHEET'!H14,"")</f>
        <v xml:space="preserve">COCINA VENT B </v>
      </c>
      <c r="O6" s="233">
        <f>IF(D6&lt;&gt;"",'CALCULATOR SHEET'!I14,"")</f>
        <v>43.5</v>
      </c>
      <c r="P6" s="233">
        <f>IF(E6&lt;&gt;"",'CALCULATOR SHEET'!J14,"")</f>
        <v>54</v>
      </c>
      <c r="Q6" s="230" t="str">
        <f>IF('CALCULATOR SHEET'!K14=GENERAL!$H$9,GENERAL!$H$9,IF(OR('CALCULATOR SHEET'!K14=GENERAL!$H$6,'CALCULATOR SHEET'!K14=GENERAL!$H$7,'CALCULATOR SHEET'!K14=GENERAL!$H$8),"CCL",""))</f>
        <v>CCL</v>
      </c>
      <c r="R6" s="230" t="str">
        <f>IF(C6&lt;&gt;"",'CALCULATOR SHEET'!M14,"")</f>
        <v>L</v>
      </c>
      <c r="S6" s="230" t="str">
        <f>IF(D6&lt;&gt;"",'CALCULATOR SHEET'!N14,"")</f>
        <v>OUTSIDE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 xml:space="preserve">PLAZA DEL MAR SECC CLUB 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 xml:space="preserve">BS 251108 A </v>
      </c>
      <c r="D7" s="229">
        <f>IF('CALCULATOR SHEET'!D15&lt;&gt;"",'CALCULATOR SHEET'!$T$9,"")</f>
        <v>45880</v>
      </c>
      <c r="E7" s="230" t="str">
        <f t="shared" si="0"/>
        <v>BAJA SHADES</v>
      </c>
      <c r="F7" s="231" t="str">
        <f>IF(C7&lt;&gt;"",'CALCULATOR SHEET'!$D$9,"")</f>
        <v xml:space="preserve">RESIDENCIA PLAZA DE MAR </v>
      </c>
      <c r="G7" s="231" t="str">
        <f>IF('CALCULATOR SHEET'!D15&lt;&gt;"",'CALCULATOR SHEET'!D15,"")</f>
        <v>ZEBRA</v>
      </c>
      <c r="H7" s="231" t="str">
        <f>IF(Q7="CCL",BOMS!AG7,"")</f>
        <v>ZEBRA-ROLLER</v>
      </c>
      <c r="I7" s="230">
        <v>1</v>
      </c>
      <c r="J7" s="231" t="str">
        <f>IF(C7&lt;&gt;"",'CALCULATOR SHEET'!K15,"")</f>
        <v>PLASTIC CHAIN WHITE</v>
      </c>
      <c r="K7" s="231" t="str">
        <f>IF(J7=GENERAL!$H$6,GENERAL!$H$6,IF(J7=GENERAL!$H$7,GENERAL!$H$7,IF('PM-ORDER'!J7=GENERAL!$H$8,GENERAL!$H$8,"")))</f>
        <v>PLASTIC CHAIN WHITE</v>
      </c>
      <c r="L7" s="231" t="str">
        <f>IF(C7&lt;&gt;"",'CALCULATOR SHEET'!G15,"")</f>
        <v xml:space="preserve">DUO DIM OUT GOLDEN SAND </v>
      </c>
      <c r="M7" s="231" t="str">
        <f>IF(C7&lt;&gt;"",'CALCULATOR SHEET'!O15,"")</f>
        <v>PERFIL BLANCO</v>
      </c>
      <c r="N7" s="231" t="str">
        <f>IF(C7&lt;&gt;"",'CALCULATOR SHEET'!H15,"")</f>
        <v xml:space="preserve">REC PRINCIPAL SLD LADO A </v>
      </c>
      <c r="O7" s="233">
        <f>IF(D7&lt;&gt;"",'CALCULATOR SHEET'!I15,"")</f>
        <v>54</v>
      </c>
      <c r="P7" s="233">
        <f>IF(E7&lt;&gt;"",'CALCULATOR SHEET'!J15,"")</f>
        <v>83</v>
      </c>
      <c r="Q7" s="230" t="str">
        <f>IF('CALCULATOR SHEET'!K15=GENERAL!$H$9,GENERAL!$H$9,IF(OR('CALCULATOR SHEET'!K15=GENERAL!$H$6,'CALCULATOR SHEET'!K15=GENERAL!$H$7,'CALCULATOR SHEET'!K15=GENERAL!$H$8),"CCL",""))</f>
        <v>CCL</v>
      </c>
      <c r="R7" s="230" t="str">
        <f>IF(C7&lt;&gt;"",'CALCULATOR SHEET'!M15,"")</f>
        <v>L</v>
      </c>
      <c r="S7" s="230" t="str">
        <f>IF(D7&lt;&gt;"",'CALCULATOR SHEET'!N15,"")</f>
        <v>OUTSIDE</v>
      </c>
      <c r="T7" s="232"/>
      <c r="U7" s="246"/>
      <c r="V7" s="246"/>
      <c r="W7" s="230" t="str">
        <f>IF(C7&lt;&gt;"",'CALCULATOR SHEET'!R15,"")</f>
        <v>NO</v>
      </c>
      <c r="X7" s="230"/>
      <c r="Y7" s="230">
        <v>1</v>
      </c>
      <c r="Z7" s="232"/>
      <c r="AA7" s="232" t="str">
        <f>IF(C7&lt;&gt;"",'CALCULATOR SHEET'!$H$9,"")</f>
        <v xml:space="preserve">PLAZA DEL MAR SECC CLUB </v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 xml:space="preserve">BS 251108 A </v>
      </c>
      <c r="D8" s="229">
        <f>IF('CALCULATOR SHEET'!D16&lt;&gt;"",'CALCULATOR SHEET'!$T$9,"")</f>
        <v>45880</v>
      </c>
      <c r="E8" s="230" t="str">
        <f t="shared" si="0"/>
        <v>BAJA SHADES</v>
      </c>
      <c r="F8" s="231" t="str">
        <f>IF(C8&lt;&gt;"",'CALCULATOR SHEET'!$D$9,"")</f>
        <v xml:space="preserve">RESIDENCIA PLAZA DE MAR </v>
      </c>
      <c r="G8" s="231" t="str">
        <f>IF('CALCULATOR SHEET'!D16&lt;&gt;"",'CALCULATOR SHEET'!D16,"")</f>
        <v>ZEBRA</v>
      </c>
      <c r="H8" s="231" t="str">
        <f>IF(Q8="CCL",BOMS!AG8,"")</f>
        <v>ZEBRA-ROLLER</v>
      </c>
      <c r="I8" s="230">
        <v>1</v>
      </c>
      <c r="J8" s="231" t="str">
        <f>IF(C8&lt;&gt;"",'CALCULATOR SHEET'!K16,"")</f>
        <v>PLASTIC CHAIN WHITE</v>
      </c>
      <c r="K8" s="231" t="str">
        <f>IF(J8=GENERAL!$H$6,GENERAL!$H$6,IF(J8=GENERAL!$H$7,GENERAL!$H$7,IF('PM-ORDER'!J8=GENERAL!$H$8,GENERAL!$H$8,"")))</f>
        <v>PLASTIC CHAIN WHITE</v>
      </c>
      <c r="L8" s="231" t="str">
        <f>IF(C8&lt;&gt;"",'CALCULATOR SHEET'!G16,"")</f>
        <v xml:space="preserve">DUO DIM OUT GOLDEN SAND </v>
      </c>
      <c r="M8" s="231" t="str">
        <f>IF(C8&lt;&gt;"",'CALCULATOR SHEET'!O16,"")</f>
        <v>PERFIL BLANCO</v>
      </c>
      <c r="N8" s="231" t="str">
        <f>IF(C8&lt;&gt;"",'CALCULATOR SHEET'!H16,"")</f>
        <v xml:space="preserve">REC PRINCIPAL SLD LADO B </v>
      </c>
      <c r="O8" s="233">
        <f>IF(D8&lt;&gt;"",'CALCULATOR SHEET'!I16,"")</f>
        <v>54</v>
      </c>
      <c r="P8" s="233">
        <f>IF(E8&lt;&gt;"",'CALCULATOR SHEET'!J16,"")</f>
        <v>83</v>
      </c>
      <c r="Q8" s="230" t="str">
        <f>IF('CALCULATOR SHEET'!K16=GENERAL!$H$9,GENERAL!$H$9,IF(OR('CALCULATOR SHEET'!K16=GENERAL!$H$6,'CALCULATOR SHEET'!K16=GENERAL!$H$7,'CALCULATOR SHEET'!K16=GENERAL!$H$8),"CCL",""))</f>
        <v>CCL</v>
      </c>
      <c r="R8" s="230" t="str">
        <f>IF(C8&lt;&gt;"",'CALCULATOR SHEET'!M16,"")</f>
        <v>R</v>
      </c>
      <c r="S8" s="230" t="str">
        <f>IF(D8&lt;&gt;"",'CALCULATOR SHEET'!N16,"")</f>
        <v>OUTSIDE</v>
      </c>
      <c r="T8" s="232"/>
      <c r="U8" s="246"/>
      <c r="V8" s="246"/>
      <c r="W8" s="230" t="str">
        <f>IF(C8&lt;&gt;"",'CALCULATOR SHEET'!R16,"")</f>
        <v>NO</v>
      </c>
      <c r="X8" s="230"/>
      <c r="Y8" s="230">
        <v>1</v>
      </c>
      <c r="Z8" s="232"/>
      <c r="AA8" s="232" t="str">
        <f>IF(C8&lt;&gt;"",'CALCULATOR SHEET'!$H$9,"")</f>
        <v xml:space="preserve">PLAZA DEL MAR SECC CLUB </v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 xml:space="preserve">BS 251108 A </v>
      </c>
      <c r="D9" s="229">
        <f>IF('CALCULATOR SHEET'!D17&lt;&gt;"",'CALCULATOR SHEET'!$T$9,"")</f>
        <v>45880</v>
      </c>
      <c r="E9" s="230" t="str">
        <f t="shared" si="0"/>
        <v>BAJA SHADES</v>
      </c>
      <c r="F9" s="231" t="str">
        <f>IF(C9&lt;&gt;"",'CALCULATOR SHEET'!$D$9,"")</f>
        <v xml:space="preserve">RESIDENCIA PLAZA DE MAR </v>
      </c>
      <c r="G9" s="231" t="str">
        <f>IF('CALCULATOR SHEET'!D17&lt;&gt;"",'CALCULATOR SHEET'!D17,"")</f>
        <v>ZEBRA</v>
      </c>
      <c r="H9" s="231" t="str">
        <f>IF(Q9="CCL",BOMS!AG9,"")</f>
        <v>ZEBRA-ROLLER</v>
      </c>
      <c r="I9" s="230">
        <v>1</v>
      </c>
      <c r="J9" s="231" t="str">
        <f>IF(C9&lt;&gt;"",'CALCULATOR SHEET'!K17,"")</f>
        <v>PLASTIC CHAIN WHITE</v>
      </c>
      <c r="K9" s="231" t="str">
        <f>IF(J9=GENERAL!$H$6,GENERAL!$H$6,IF(J9=GENERAL!$H$7,GENERAL!$H$7,IF('PM-ORDER'!J9=GENERAL!$H$8,GENERAL!$H$8,"")))</f>
        <v>PLASTIC CHAIN WHITE</v>
      </c>
      <c r="L9" s="231" t="str">
        <f>IF(C9&lt;&gt;"",'CALCULATOR SHEET'!G17,"")</f>
        <v xml:space="preserve">DUO DIM OUT GOLDEN SAND </v>
      </c>
      <c r="M9" s="231" t="str">
        <f>IF(C9&lt;&gt;"",'CALCULATOR SHEET'!O17,"")</f>
        <v>PERFIL BLANCO</v>
      </c>
      <c r="N9" s="231" t="str">
        <f>IF(C9&lt;&gt;"",'CALCULATOR SHEET'!H17,"")</f>
        <v xml:space="preserve">REC 1 VISITAS SLD LADO A </v>
      </c>
      <c r="O9" s="233">
        <f>IF(D9&lt;&gt;"",'CALCULATOR SHEET'!I17,"")</f>
        <v>38</v>
      </c>
      <c r="P9" s="233">
        <f>IF(E9&lt;&gt;"",'CALCULATOR SHEET'!J17,"")</f>
        <v>86</v>
      </c>
      <c r="Q9" s="230" t="str">
        <f>IF('CALCULATOR SHEET'!K17=GENERAL!$H$9,GENERAL!$H$9,IF(OR('CALCULATOR SHEET'!K17=GENERAL!$H$6,'CALCULATOR SHEET'!K17=GENERAL!$H$7,'CALCULATOR SHEET'!K17=GENERAL!$H$8),"CCL",""))</f>
        <v>CCL</v>
      </c>
      <c r="R9" s="230" t="str">
        <f>IF(C9&lt;&gt;"",'CALCULATOR SHEET'!M17,"")</f>
        <v>L</v>
      </c>
      <c r="S9" s="230" t="str">
        <f>IF(D9&lt;&gt;"",'CALCULATOR SHEET'!N17,"")</f>
        <v>OUTSIDE</v>
      </c>
      <c r="T9" s="232"/>
      <c r="U9" s="246"/>
      <c r="V9" s="246"/>
      <c r="W9" s="230" t="str">
        <f>IF(C9&lt;&gt;"",'CALCULATOR SHEET'!R17,"")</f>
        <v>NO</v>
      </c>
      <c r="X9" s="230"/>
      <c r="Y9" s="230">
        <v>1</v>
      </c>
      <c r="Z9" s="232"/>
      <c r="AA9" s="232" t="str">
        <f>IF(C9&lt;&gt;"",'CALCULATOR SHEET'!$H$9,"")</f>
        <v xml:space="preserve">PLAZA DEL MAR SECC CLUB </v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 xml:space="preserve">BS 251108 A </v>
      </c>
      <c r="D10" s="229">
        <f>IF('CALCULATOR SHEET'!D18&lt;&gt;"",'CALCULATOR SHEET'!$T$9,"")</f>
        <v>45880</v>
      </c>
      <c r="E10" s="230" t="str">
        <f t="shared" si="0"/>
        <v>BAJA SHADES</v>
      </c>
      <c r="F10" s="231" t="str">
        <f>IF(C10&lt;&gt;"",'CALCULATOR SHEET'!$D$9,"")</f>
        <v xml:space="preserve">RESIDENCIA PLAZA DE MAR </v>
      </c>
      <c r="G10" s="231" t="str">
        <f>IF('CALCULATOR SHEET'!D18&lt;&gt;"",'CALCULATOR SHEET'!D18,"")</f>
        <v>ZEBRA</v>
      </c>
      <c r="H10" s="231" t="str">
        <f>IF(Q10="CCL",BOMS!AG10,"")</f>
        <v>ZEBRA-ROLLER</v>
      </c>
      <c r="I10" s="230">
        <v>1</v>
      </c>
      <c r="J10" s="231" t="str">
        <f>IF(C10&lt;&gt;"",'CALCULATOR SHEET'!K18,"")</f>
        <v>PLASTIC CHAIN WHITE</v>
      </c>
      <c r="K10" s="231" t="str">
        <f>IF(J10=GENERAL!$H$6,GENERAL!$H$6,IF(J10=GENERAL!$H$7,GENERAL!$H$7,IF('PM-ORDER'!J10=GENERAL!$H$8,GENERAL!$H$8,"")))</f>
        <v>PLASTIC CHAIN WHITE</v>
      </c>
      <c r="L10" s="231" t="str">
        <f>IF(C10&lt;&gt;"",'CALCULATOR SHEET'!G18,"")</f>
        <v xml:space="preserve">DUO DIM OUT GOLDEN SAND </v>
      </c>
      <c r="M10" s="231" t="str">
        <f>IF(C10&lt;&gt;"",'CALCULATOR SHEET'!O18,"")</f>
        <v>PERFIL BLANCO</v>
      </c>
      <c r="N10" s="231" t="str">
        <f>IF(C10&lt;&gt;"",'CALCULATOR SHEET'!H18,"")</f>
        <v xml:space="preserve">REC 1 VISITAS SLD LADO B </v>
      </c>
      <c r="O10" s="233">
        <f>IF(D10&lt;&gt;"",'CALCULATOR SHEET'!I18,"")</f>
        <v>39</v>
      </c>
      <c r="P10" s="233">
        <f>IF(E10&lt;&gt;"",'CALCULATOR SHEET'!J18,"")</f>
        <v>86</v>
      </c>
      <c r="Q10" s="230" t="str">
        <f>IF('CALCULATOR SHEET'!K18=GENERAL!$H$9,GENERAL!$H$9,IF(OR('CALCULATOR SHEET'!K18=GENERAL!$H$6,'CALCULATOR SHEET'!K18=GENERAL!$H$7,'CALCULATOR SHEET'!K18=GENERAL!$H$8),"CCL",""))</f>
        <v>CCL</v>
      </c>
      <c r="R10" s="230" t="str">
        <f>IF(C10&lt;&gt;"",'CALCULATOR SHEET'!M18,"")</f>
        <v>R</v>
      </c>
      <c r="S10" s="230" t="str">
        <f>IF(D10&lt;&gt;"",'CALCULATOR SHEET'!N18,"")</f>
        <v>OUTSIDE</v>
      </c>
      <c r="T10" s="232"/>
      <c r="U10" s="246"/>
      <c r="V10" s="246"/>
      <c r="W10" s="230" t="str">
        <f>IF(C10&lt;&gt;"",'CALCULATOR SHEET'!R18,"")</f>
        <v>NO</v>
      </c>
      <c r="X10" s="230"/>
      <c r="Y10" s="230">
        <v>1</v>
      </c>
      <c r="Z10" s="232"/>
      <c r="AA10" s="232" t="str">
        <f>IF(C10&lt;&gt;"",'CALCULATOR SHEET'!$H$9,"")</f>
        <v xml:space="preserve">PLAZA DEL MAR SECC CLUB </v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 xml:space="preserve">BS 251108 A </v>
      </c>
      <c r="D11" s="229">
        <f>IF('CALCULATOR SHEET'!D19&lt;&gt;"",'CALCULATOR SHEET'!$T$9,"")</f>
        <v>45880</v>
      </c>
      <c r="E11" s="230" t="str">
        <f t="shared" si="0"/>
        <v>BAJA SHADES</v>
      </c>
      <c r="F11" s="231" t="str">
        <f>IF(C11&lt;&gt;"",'CALCULATOR SHEET'!$D$9,"")</f>
        <v xml:space="preserve">RESIDENCIA PLAZA DE MAR </v>
      </c>
      <c r="G11" s="231" t="str">
        <f>IF('CALCULATOR SHEET'!D19&lt;&gt;"",'CALCULATOR SHEET'!D19,"")</f>
        <v>ZEBRA</v>
      </c>
      <c r="H11" s="231" t="str">
        <f>IF(Q11="CCL",BOMS!AG11,"")</f>
        <v>ZEBRA-ROLLER</v>
      </c>
      <c r="I11" s="230">
        <v>1</v>
      </c>
      <c r="J11" s="231" t="str">
        <f>IF(C11&lt;&gt;"",'CALCULATOR SHEET'!K19,"")</f>
        <v>PLASTIC CHAIN WHITE</v>
      </c>
      <c r="K11" s="231" t="str">
        <f>IF(J11=GENERAL!$H$6,GENERAL!$H$6,IF(J11=GENERAL!$H$7,GENERAL!$H$7,IF('PM-ORDER'!J11=GENERAL!$H$8,GENERAL!$H$8,"")))</f>
        <v>PLASTIC CHAIN WHITE</v>
      </c>
      <c r="L11" s="231" t="str">
        <f>IF(C11&lt;&gt;"",'CALCULATOR SHEET'!G19,"")</f>
        <v xml:space="preserve">DUO DIM OUT GOLDEN SAND </v>
      </c>
      <c r="M11" s="231" t="str">
        <f>IF(C11&lt;&gt;"",'CALCULATOR SHEET'!O19,"")</f>
        <v>PERFIL BLANCO</v>
      </c>
      <c r="N11" s="231" t="str">
        <f>IF(C11&lt;&gt;"",'CALCULATOR SHEET'!H19,"")</f>
        <v xml:space="preserve">REC 2 VISITAS VENTANA A </v>
      </c>
      <c r="O11" s="233">
        <f>IF(D11&lt;&gt;"",'CALCULATOR SHEET'!I19,"")</f>
        <v>46</v>
      </c>
      <c r="P11" s="233">
        <f>IF(E11&lt;&gt;"",'CALCULATOR SHEET'!J19,"")</f>
        <v>54</v>
      </c>
      <c r="Q11" s="230" t="str">
        <f>IF('CALCULATOR SHEET'!K19=GENERAL!$H$9,GENERAL!$H$9,IF(OR('CALCULATOR SHEET'!K19=GENERAL!$H$6,'CALCULATOR SHEET'!K19=GENERAL!$H$7,'CALCULATOR SHEET'!K19=GENERAL!$H$8),"CCL",""))</f>
        <v>CCL</v>
      </c>
      <c r="R11" s="230" t="str">
        <f>IF(C11&lt;&gt;"",'CALCULATOR SHEET'!M19,"")</f>
        <v>R</v>
      </c>
      <c r="S11" s="230" t="str">
        <f>IF(D11&lt;&gt;"",'CALCULATOR SHEET'!N19,"")</f>
        <v>OUTSIDE</v>
      </c>
      <c r="T11" s="232"/>
      <c r="U11" s="246"/>
      <c r="V11" s="246"/>
      <c r="W11" s="230" t="str">
        <f>IF(C11&lt;&gt;"",'CALCULATOR SHEET'!R19,"")</f>
        <v>NO</v>
      </c>
      <c r="X11" s="230"/>
      <c r="Y11" s="230">
        <v>1</v>
      </c>
      <c r="Z11" s="232"/>
      <c r="AA11" s="232" t="str">
        <f>IF(C11&lt;&gt;"",'CALCULATOR SHEET'!$H$9,"")</f>
        <v xml:space="preserve">PLAZA DEL MAR SECC CLUB </v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 xml:space="preserve">BS 251108 A </v>
      </c>
      <c r="D12" s="229">
        <f>IF('CALCULATOR SHEET'!D20&lt;&gt;"",'CALCULATOR SHEET'!$T$9,"")</f>
        <v>45880</v>
      </c>
      <c r="E12" s="230" t="str">
        <f t="shared" si="0"/>
        <v>BAJA SHADES</v>
      </c>
      <c r="F12" s="231" t="str">
        <f>IF(C12&lt;&gt;"",'CALCULATOR SHEET'!$D$9,"")</f>
        <v xml:space="preserve">RESIDENCIA PLAZA DE MAR </v>
      </c>
      <c r="G12" s="231" t="str">
        <f>IF('CALCULATOR SHEET'!D20&lt;&gt;"",'CALCULATOR SHEET'!D20,"")</f>
        <v>ZEBRA</v>
      </c>
      <c r="H12" s="231" t="str">
        <f>IF(Q12="CCL",BOMS!AG12,"")</f>
        <v>ZEBRA-ROLLER</v>
      </c>
      <c r="I12" s="230">
        <v>1</v>
      </c>
      <c r="J12" s="231" t="str">
        <f>IF(C12&lt;&gt;"",'CALCULATOR SHEET'!K20,"")</f>
        <v>PLASTIC CHAIN WHITE</v>
      </c>
      <c r="K12" s="231" t="str">
        <f>IF(J12=GENERAL!$H$6,GENERAL!$H$6,IF(J12=GENERAL!$H$7,GENERAL!$H$7,IF('PM-ORDER'!J12=GENERAL!$H$8,GENERAL!$H$8,"")))</f>
        <v>PLASTIC CHAIN WHITE</v>
      </c>
      <c r="L12" s="231" t="str">
        <f>IF(C12&lt;&gt;"",'CALCULATOR SHEET'!G20,"")</f>
        <v xml:space="preserve">DUO DIM OUT GOLDEN SAND </v>
      </c>
      <c r="M12" s="231" t="str">
        <f>IF(C12&lt;&gt;"",'CALCULATOR SHEET'!O20,"")</f>
        <v>PERFIL BLANCO</v>
      </c>
      <c r="N12" s="231" t="str">
        <f>IF(C12&lt;&gt;"",'CALCULATOR SHEET'!H20,"")</f>
        <v xml:space="preserve">REC 2 VISITAS VENTANA B </v>
      </c>
      <c r="O12" s="233">
        <f>IF(D12&lt;&gt;"",'CALCULATOR SHEET'!I20,"")</f>
        <v>53.5</v>
      </c>
      <c r="P12" s="233">
        <f>IF(E12&lt;&gt;"",'CALCULATOR SHEET'!J20,"")</f>
        <v>54</v>
      </c>
      <c r="Q12" s="230" t="str">
        <f>IF('CALCULATOR SHEET'!K20=GENERAL!$H$9,GENERAL!$H$9,IF(OR('CALCULATOR SHEET'!K20=GENERAL!$H$6,'CALCULATOR SHEET'!K20=GENERAL!$H$7,'CALCULATOR SHEET'!K20=GENERAL!$H$8),"CCL",""))</f>
        <v>CCL</v>
      </c>
      <c r="R12" s="230" t="str">
        <f>IF(C12&lt;&gt;"",'CALCULATOR SHEET'!M20,"")</f>
        <v>L</v>
      </c>
      <c r="S12" s="230" t="str">
        <f>IF(D12&lt;&gt;"",'CALCULATOR SHEET'!N20,"")</f>
        <v>OUTSIDE</v>
      </c>
      <c r="T12" s="232"/>
      <c r="U12" s="246"/>
      <c r="V12" s="246"/>
      <c r="W12" s="230" t="str">
        <f>IF(C12&lt;&gt;"",'CALCULATOR SHEET'!R20,"")</f>
        <v>NO</v>
      </c>
      <c r="X12" s="230"/>
      <c r="Y12" s="230">
        <v>1</v>
      </c>
      <c r="Z12" s="232"/>
      <c r="AA12" s="232" t="str">
        <f>IF(C12&lt;&gt;"",'CALCULATOR SHEET'!$H$9,"")</f>
        <v xml:space="preserve">PLAZA DEL MAR SECC CLUB </v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6"/>
      <c r="V13" s="246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6"/>
      <c r="V14" s="246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6"/>
      <c r="V15" s="246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6"/>
      <c r="V16" s="246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6"/>
      <c r="V17" s="246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0" t="s">
        <v>104</v>
      </c>
      <c r="D2" s="380"/>
      <c r="F2" s="380" t="s">
        <v>89</v>
      </c>
      <c r="G2" s="380"/>
      <c r="I2" s="380" t="s">
        <v>93</v>
      </c>
      <c r="J2" s="380"/>
    </row>
    <row r="3" spans="3:10">
      <c r="C3" s="380"/>
      <c r="D3" s="380"/>
      <c r="F3" s="380"/>
      <c r="G3" s="380"/>
      <c r="I3" s="380"/>
      <c r="J3" s="380"/>
    </row>
    <row r="4" spans="3:10">
      <c r="C4" s="380"/>
      <c r="D4" s="380"/>
      <c r="F4" s="380"/>
      <c r="G4" s="380"/>
      <c r="I4" s="380"/>
      <c r="J4" s="380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2" t="s">
        <v>60</v>
      </c>
      <c r="BC4" s="382"/>
      <c r="BD4" s="382"/>
      <c r="BE4" s="382"/>
      <c r="BF4" s="382"/>
      <c r="BG4" s="382"/>
      <c r="BH4" s="382"/>
      <c r="BI4" s="382"/>
      <c r="BJ4" s="382"/>
      <c r="BK4" s="382"/>
      <c r="BL4" s="382"/>
      <c r="BM4" s="382"/>
      <c r="BN4" s="382"/>
      <c r="BO4" s="382"/>
      <c r="BP4" s="382"/>
      <c r="BQ4" s="382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37.75</v>
      </c>
      <c r="AK7" s="36">
        <f>'CALCULATOR SHEET'!J13</f>
        <v>45</v>
      </c>
      <c r="AL7" s="36">
        <f>IF(AJ7=0,"",MATCH(CEILING(AJ7,6),$D$4:$Z$4,0))</f>
        <v>4</v>
      </c>
      <c r="AM7" s="36">
        <f>IF(AK7=0,"",MATCH(CEILING(AK7,6),$C$7:$C$28,0))</f>
        <v>5</v>
      </c>
      <c r="AN7" s="57">
        <f>IF(AL7="","",INDEX($D$7:$Z$28,AM7,AL7))</f>
        <v>90</v>
      </c>
      <c r="AO7" s="58"/>
      <c r="AP7" s="57">
        <f>IF(AJ7&gt;0,HLOOKUP(CEILING(AJ7,6),$D$30:$Z$31,2,0),"")</f>
        <v>59</v>
      </c>
      <c r="AQ7" s="57">
        <f>IF(AJ7&gt;0,HLOOKUP(CEILING(AJ7,6),$D$33:$Z$34,2,0),"")</f>
        <v>50</v>
      </c>
      <c r="AR7" s="59">
        <f>IF(AJ7&gt;0,HLOOKUP(CEILING(AJ7,6),$D$36:$Z$37,2,0))</f>
        <v>26</v>
      </c>
      <c r="AS7" s="57">
        <f>IF(AL7="","",INDEX($AX$6:$BT$27,AM7,AL7))</f>
        <v>471</v>
      </c>
      <c r="AT7" s="37">
        <f>IF(AK7&gt;0,VLOOKUP(CEILING(AK7,6),$AA$7:$AB$28,2,0),"")</f>
        <v>40</v>
      </c>
      <c r="AU7" s="109">
        <f>IF(AK7&gt;0,VLOOKUP(CEILING(AK7,6),$AA$7:$AC$28,3,0),"")</f>
        <v>7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43.5</v>
      </c>
      <c r="AK8" s="36">
        <f>'CALCULATOR SHEET'!J14</f>
        <v>54</v>
      </c>
      <c r="AL8" s="36">
        <f t="shared" ref="AL8:AL71" si="0">IF(AJ8=0,"",MATCH(CEILING(AJ8,6),$D$4:$Z$4,0))</f>
        <v>5</v>
      </c>
      <c r="AM8" s="36">
        <f t="shared" ref="AM8:AM71" si="1">IF(AK8=0,"",MATCH(CEILING(AK8,6),$C$7:$C$28,0))</f>
        <v>6</v>
      </c>
      <c r="AN8" s="57">
        <f t="shared" ref="AN8:AN71" si="2">IF(AL8="","",INDEX($D$7:$Z$28,AM8,AL8))</f>
        <v>101</v>
      </c>
      <c r="AO8" s="58"/>
      <c r="AP8" s="57">
        <f t="shared" ref="AP8:AP71" si="3">IF(AJ8&gt;0,HLOOKUP(CEILING(AJ8,6),$D$30:$Z$31,2,0),"")</f>
        <v>62</v>
      </c>
      <c r="AQ8" s="57">
        <f t="shared" ref="AQ8:AQ71" si="4">IF(AJ8&gt;0,HLOOKUP(CEILING(AJ8,6),$D$33:$Z$34,2,0),"")</f>
        <v>56</v>
      </c>
      <c r="AR8" s="59">
        <f t="shared" ref="AR8:AR71" si="5">IF(AJ8&gt;0,HLOOKUP(CEILING(AJ8,6),$D$36:$Z$37,2,0))</f>
        <v>30</v>
      </c>
      <c r="AS8" s="57">
        <f t="shared" ref="AS8:AS71" si="6">IF(AL8="","",INDEX($AX$6:$BT$27,AM8,AL8))</f>
        <v>471</v>
      </c>
      <c r="AT8" s="37">
        <f t="shared" ref="AT8:AT71" si="7">IF(AK8&gt;0,VLOOKUP(CEILING(AK8,6),$AA$7:$AB$28,2,0),"")</f>
        <v>45</v>
      </c>
      <c r="AU8" s="109">
        <f t="shared" ref="AU8:AU71" si="8">IF(AK8&gt;0,VLOOKUP(CEILING(AK8,6),$AA$7:$AC$28,3,0),"")</f>
        <v>7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54</v>
      </c>
      <c r="AK9" s="36">
        <f>'CALCULATOR SHEET'!J15</f>
        <v>83</v>
      </c>
      <c r="AL9" s="36">
        <f t="shared" si="0"/>
        <v>6</v>
      </c>
      <c r="AM9" s="36">
        <f t="shared" si="1"/>
        <v>11</v>
      </c>
      <c r="AN9" s="57">
        <f t="shared" si="2"/>
        <v>130</v>
      </c>
      <c r="AO9" s="58"/>
      <c r="AP9" s="57">
        <f t="shared" si="3"/>
        <v>65</v>
      </c>
      <c r="AQ9" s="57">
        <f t="shared" si="4"/>
        <v>65</v>
      </c>
      <c r="AR9" s="59">
        <f t="shared" si="5"/>
        <v>33</v>
      </c>
      <c r="AS9" s="57">
        <f t="shared" si="6"/>
        <v>471</v>
      </c>
      <c r="AT9" s="37">
        <f t="shared" si="7"/>
        <v>70</v>
      </c>
      <c r="AU9" s="109">
        <f t="shared" si="8"/>
        <v>10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54</v>
      </c>
      <c r="AK10" s="36">
        <f>'CALCULATOR SHEET'!J16</f>
        <v>83</v>
      </c>
      <c r="AL10" s="36">
        <f t="shared" si="0"/>
        <v>6</v>
      </c>
      <c r="AM10" s="36">
        <f t="shared" si="1"/>
        <v>11</v>
      </c>
      <c r="AN10" s="57">
        <f t="shared" si="2"/>
        <v>130</v>
      </c>
      <c r="AO10" s="58"/>
      <c r="AP10" s="57">
        <f t="shared" si="3"/>
        <v>65</v>
      </c>
      <c r="AQ10" s="57">
        <f t="shared" si="4"/>
        <v>65</v>
      </c>
      <c r="AR10" s="59">
        <f t="shared" si="5"/>
        <v>33</v>
      </c>
      <c r="AS10" s="57">
        <f t="shared" si="6"/>
        <v>471</v>
      </c>
      <c r="AT10" s="37">
        <f t="shared" si="7"/>
        <v>70</v>
      </c>
      <c r="AU10" s="109">
        <f t="shared" si="8"/>
        <v>10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38</v>
      </c>
      <c r="AK11" s="36">
        <f>'CALCULATOR SHEET'!J17</f>
        <v>86</v>
      </c>
      <c r="AL11" s="36">
        <f t="shared" si="0"/>
        <v>4</v>
      </c>
      <c r="AM11" s="36">
        <f t="shared" si="1"/>
        <v>12</v>
      </c>
      <c r="AN11" s="57">
        <f t="shared" si="2"/>
        <v>116</v>
      </c>
      <c r="AO11" s="58"/>
      <c r="AP11" s="57">
        <f t="shared" si="3"/>
        <v>59</v>
      </c>
      <c r="AQ11" s="57">
        <f t="shared" si="4"/>
        <v>50</v>
      </c>
      <c r="AR11" s="59">
        <f t="shared" si="5"/>
        <v>26</v>
      </c>
      <c r="AS11" s="57">
        <f t="shared" si="6"/>
        <v>471</v>
      </c>
      <c r="AT11" s="37">
        <f t="shared" si="7"/>
        <v>75</v>
      </c>
      <c r="AU11" s="109">
        <f t="shared" si="8"/>
        <v>10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39</v>
      </c>
      <c r="AK12" s="36">
        <f>'CALCULATOR SHEET'!J18</f>
        <v>86</v>
      </c>
      <c r="AL12" s="36">
        <f t="shared" si="0"/>
        <v>4</v>
      </c>
      <c r="AM12" s="36">
        <f t="shared" si="1"/>
        <v>12</v>
      </c>
      <c r="AN12" s="57">
        <f t="shared" si="2"/>
        <v>116</v>
      </c>
      <c r="AO12" s="58"/>
      <c r="AP12" s="57">
        <f t="shared" si="3"/>
        <v>59</v>
      </c>
      <c r="AQ12" s="57">
        <f t="shared" si="4"/>
        <v>50</v>
      </c>
      <c r="AR12" s="59">
        <f t="shared" si="5"/>
        <v>26</v>
      </c>
      <c r="AS12" s="57">
        <f t="shared" si="6"/>
        <v>471</v>
      </c>
      <c r="AT12" s="37">
        <f t="shared" si="7"/>
        <v>75</v>
      </c>
      <c r="AU12" s="109">
        <f t="shared" si="8"/>
        <v>10</v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46</v>
      </c>
      <c r="AK13" s="36">
        <f>'CALCULATOR SHEET'!J19</f>
        <v>54</v>
      </c>
      <c r="AL13" s="36">
        <f t="shared" si="0"/>
        <v>5</v>
      </c>
      <c r="AM13" s="36">
        <f t="shared" si="1"/>
        <v>6</v>
      </c>
      <c r="AN13" s="57">
        <f t="shared" si="2"/>
        <v>101</v>
      </c>
      <c r="AO13" s="58"/>
      <c r="AP13" s="57">
        <f t="shared" si="3"/>
        <v>62</v>
      </c>
      <c r="AQ13" s="57">
        <f t="shared" si="4"/>
        <v>56</v>
      </c>
      <c r="AR13" s="59">
        <f t="shared" si="5"/>
        <v>30</v>
      </c>
      <c r="AS13" s="57">
        <f t="shared" si="6"/>
        <v>471</v>
      </c>
      <c r="AT13" s="37">
        <f t="shared" si="7"/>
        <v>45</v>
      </c>
      <c r="AU13" s="109">
        <f t="shared" si="8"/>
        <v>7</v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53.5</v>
      </c>
      <c r="AK14" s="36">
        <f>'CALCULATOR SHEET'!J20</f>
        <v>54</v>
      </c>
      <c r="AL14" s="36">
        <f t="shared" si="0"/>
        <v>6</v>
      </c>
      <c r="AM14" s="36">
        <f t="shared" si="1"/>
        <v>6</v>
      </c>
      <c r="AN14" s="57">
        <f t="shared" si="2"/>
        <v>108</v>
      </c>
      <c r="AO14" s="58"/>
      <c r="AP14" s="57">
        <f t="shared" si="3"/>
        <v>65</v>
      </c>
      <c r="AQ14" s="57">
        <f t="shared" si="4"/>
        <v>65</v>
      </c>
      <c r="AR14" s="59">
        <f t="shared" si="5"/>
        <v>33</v>
      </c>
      <c r="AS14" s="57">
        <f t="shared" si="6"/>
        <v>471</v>
      </c>
      <c r="AT14" s="37">
        <f t="shared" si="7"/>
        <v>45</v>
      </c>
      <c r="AU14" s="109">
        <f t="shared" si="8"/>
        <v>7</v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37.75</v>
      </c>
      <c r="AK7" s="53">
        <f>'CALCULATOR SHEET'!J13</f>
        <v>45</v>
      </c>
      <c r="AL7" s="53">
        <f>IF(AJ7=0,"",MATCH(CEILING(AJ7,6),$D$4:$Z$4,0))</f>
        <v>4</v>
      </c>
      <c r="AM7" s="53">
        <f>IF(AK7=0,"",MATCH(CEILING(AK7,6),$C$7:$C$28,0))</f>
        <v>5</v>
      </c>
      <c r="AN7" s="54">
        <f>IF(AL7="","",INDEX($D$7:$Z$28,AM7,AL7))</f>
        <v>95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43.5</v>
      </c>
      <c r="AK8" s="53">
        <f>'CALCULATOR SHEET'!J14</f>
        <v>54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6</v>
      </c>
      <c r="AN8" s="54">
        <f t="shared" ref="AN8:AN71" si="2">IF(AL8="","",INDEX($D$7:$Z$28,AM8,AL8))</f>
        <v>107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54</v>
      </c>
      <c r="AK9" s="53">
        <f>'CALCULATOR SHEET'!J15</f>
        <v>83</v>
      </c>
      <c r="AL9" s="53">
        <f t="shared" si="0"/>
        <v>6</v>
      </c>
      <c r="AM9" s="53">
        <f t="shared" si="1"/>
        <v>11</v>
      </c>
      <c r="AN9" s="54">
        <f t="shared" si="2"/>
        <v>139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54</v>
      </c>
      <c r="AK10" s="53">
        <f>'CALCULATOR SHEET'!J16</f>
        <v>83</v>
      </c>
      <c r="AL10" s="53">
        <f t="shared" si="0"/>
        <v>6</v>
      </c>
      <c r="AM10" s="53">
        <f t="shared" si="1"/>
        <v>11</v>
      </c>
      <c r="AN10" s="54">
        <f t="shared" si="2"/>
        <v>139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38</v>
      </c>
      <c r="AK11" s="53">
        <f>'CALCULATOR SHEET'!J17</f>
        <v>86</v>
      </c>
      <c r="AL11" s="53">
        <f t="shared" si="0"/>
        <v>4</v>
      </c>
      <c r="AM11" s="53">
        <f t="shared" si="1"/>
        <v>12</v>
      </c>
      <c r="AN11" s="54">
        <f t="shared" si="2"/>
        <v>124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39</v>
      </c>
      <c r="AK12" s="53">
        <f>'CALCULATOR SHEET'!J18</f>
        <v>86</v>
      </c>
      <c r="AL12" s="53">
        <f t="shared" si="0"/>
        <v>4</v>
      </c>
      <c r="AM12" s="53">
        <f t="shared" si="1"/>
        <v>12</v>
      </c>
      <c r="AN12" s="54">
        <f t="shared" si="2"/>
        <v>124</v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46</v>
      </c>
      <c r="AK13" s="53">
        <f>'CALCULATOR SHEET'!J19</f>
        <v>54</v>
      </c>
      <c r="AL13" s="53">
        <f t="shared" si="0"/>
        <v>5</v>
      </c>
      <c r="AM13" s="53">
        <f t="shared" si="1"/>
        <v>6</v>
      </c>
      <c r="AN13" s="54">
        <f t="shared" si="2"/>
        <v>107</v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53.5</v>
      </c>
      <c r="AK14" s="53">
        <f>'CALCULATOR SHEET'!J20</f>
        <v>54</v>
      </c>
      <c r="AL14" s="53">
        <f t="shared" si="0"/>
        <v>6</v>
      </c>
      <c r="AM14" s="53">
        <f t="shared" si="1"/>
        <v>6</v>
      </c>
      <c r="AN14" s="54">
        <f t="shared" si="2"/>
        <v>114</v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37.75</v>
      </c>
      <c r="AK7" s="53">
        <f>'CALCULATOR SHEET'!J13</f>
        <v>45</v>
      </c>
      <c r="AL7" s="53">
        <f t="shared" ref="AL7:AL70" si="0">IF(AJ7=0,"",MATCH(CEILING(AJ7,6),$D$4:$Z$4,0))</f>
        <v>4</v>
      </c>
      <c r="AM7" s="53">
        <f>IF(AK7=0,"",MATCH(CEILING(AK7,6),$C$7:$C$28,0))</f>
        <v>5</v>
      </c>
      <c r="AN7" s="54">
        <f t="shared" ref="AN7:AN70" si="1">IF(AL7="","",INDEX($D$7:$Z$28,AM7,AL7))</f>
        <v>105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43.5</v>
      </c>
      <c r="AK8" s="53">
        <f>'CALCULATOR SHEET'!J14</f>
        <v>54</v>
      </c>
      <c r="AL8" s="53">
        <f t="shared" si="0"/>
        <v>5</v>
      </c>
      <c r="AM8" s="53">
        <f t="shared" ref="AM8:AM71" si="2">IF(AK8=0,"",MATCH(CEILING(AK8,6),$C$7:$C$28,0))</f>
        <v>6</v>
      </c>
      <c r="AN8" s="54">
        <f t="shared" si="1"/>
        <v>119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54</v>
      </c>
      <c r="AK9" s="53">
        <f>'CALCULATOR SHEET'!J15</f>
        <v>83</v>
      </c>
      <c r="AL9" s="53">
        <f t="shared" si="0"/>
        <v>6</v>
      </c>
      <c r="AM9" s="53">
        <f t="shared" si="2"/>
        <v>11</v>
      </c>
      <c r="AN9" s="54">
        <f t="shared" si="1"/>
        <v>160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54</v>
      </c>
      <c r="AK10" s="53">
        <f>'CALCULATOR SHEET'!J16</f>
        <v>83</v>
      </c>
      <c r="AL10" s="53">
        <f t="shared" si="0"/>
        <v>6</v>
      </c>
      <c r="AM10" s="53">
        <f t="shared" si="2"/>
        <v>11</v>
      </c>
      <c r="AN10" s="54">
        <f t="shared" si="1"/>
        <v>160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38</v>
      </c>
      <c r="AK11" s="53">
        <f>'CALCULATOR SHEET'!J17</f>
        <v>86</v>
      </c>
      <c r="AL11" s="53">
        <f t="shared" si="0"/>
        <v>4</v>
      </c>
      <c r="AM11" s="53">
        <f t="shared" si="2"/>
        <v>12</v>
      </c>
      <c r="AN11" s="54">
        <f t="shared" si="1"/>
        <v>141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39</v>
      </c>
      <c r="AK12" s="53">
        <f>'CALCULATOR SHEET'!J18</f>
        <v>86</v>
      </c>
      <c r="AL12" s="53">
        <f t="shared" si="0"/>
        <v>4</v>
      </c>
      <c r="AM12" s="53">
        <f t="shared" si="2"/>
        <v>12</v>
      </c>
      <c r="AN12" s="54">
        <f t="shared" si="1"/>
        <v>141</v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46</v>
      </c>
      <c r="AK13" s="53">
        <f>'CALCULATOR SHEET'!J19</f>
        <v>54</v>
      </c>
      <c r="AL13" s="53">
        <f t="shared" si="0"/>
        <v>5</v>
      </c>
      <c r="AM13" s="53">
        <f t="shared" si="2"/>
        <v>6</v>
      </c>
      <c r="AN13" s="54">
        <f t="shared" si="1"/>
        <v>119</v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53.5</v>
      </c>
      <c r="AK14" s="53">
        <f>'CALCULATOR SHEET'!J20</f>
        <v>54</v>
      </c>
      <c r="AL14" s="53">
        <f t="shared" si="0"/>
        <v>6</v>
      </c>
      <c r="AM14" s="53">
        <f t="shared" si="2"/>
        <v>6</v>
      </c>
      <c r="AN14" s="54">
        <f t="shared" si="1"/>
        <v>129</v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Ricardo Garcia</cp:lastModifiedBy>
  <cp:lastPrinted>2025-12-04T16:53:51Z</cp:lastPrinted>
  <dcterms:created xsi:type="dcterms:W3CDTF">2016-09-27T19:33:28Z</dcterms:created>
  <dcterms:modified xsi:type="dcterms:W3CDTF">2025-12-04T16:54:23Z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