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.flores\Desktop\PO'S 2025\DICIEMBRE\"/>
    </mc:Choice>
  </mc:AlternateContent>
  <xr:revisionPtr revIDLastSave="0" documentId="13_ncr:1_{07AA43D4-27F9-48AE-A4AC-4098C25D70C7}" xr6:coauthVersionLast="47" xr6:coauthVersionMax="47" xr10:uidLastSave="{00000000-0000-0000-0000-000000000000}"/>
  <bookViews>
    <workbookView xWindow="-120" yWindow="-12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6" l="1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E7" i="59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D7" i="59"/>
  <c r="AA31" i="59" l="1"/>
  <c r="AA28" i="59"/>
  <c r="AA20" i="59"/>
  <c r="AA19" i="59"/>
  <c r="AA11" i="59"/>
  <c r="AA10" i="59"/>
  <c r="AA8" i="59"/>
  <c r="AA7" i="59"/>
  <c r="J70" i="23"/>
  <c r="J69" i="23"/>
  <c r="I70" i="23"/>
  <c r="I69" i="23"/>
  <c r="I68" i="23"/>
  <c r="J68" i="23" s="1"/>
  <c r="I67" i="23"/>
  <c r="J67" i="23" s="1"/>
  <c r="I66" i="23"/>
  <c r="J66" i="23" s="1"/>
  <c r="I65" i="23"/>
  <c r="J65" i="23" s="1"/>
  <c r="H70" i="23"/>
  <c r="H69" i="23"/>
  <c r="H68" i="23"/>
  <c r="H67" i="23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H33" i="23"/>
  <c r="I33" i="23" s="1"/>
  <c r="J33" i="23" s="1"/>
  <c r="K33" i="23" s="1"/>
  <c r="G33" i="23"/>
  <c r="G32" i="23"/>
  <c r="G31" i="23"/>
  <c r="G30" i="23"/>
  <c r="S65" i="49" l="1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<sst xmlns="http://schemas.openxmlformats.org/spreadsheetml/2006/main" count="3315" uniqueCount="471">
  <si>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</si>
  <si>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</si>
  <si>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</si>
  <si>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</si>
  <si>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</si>
  <si>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</si>
  <si>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</si>
  <si>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</si>
  <si>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</si>
  <si>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</si>
  <si>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</si>
  <si>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</si>
  <si>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</si>
  <si>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</si>
  <si>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</si>
  <si>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</si>
  <si>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</si>
  <si>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</si>
  <si>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</si>
  <si>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</si>
  <si>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</si>
  <si>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</si>
  <si>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</si>
  <si>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</si>
  <si>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</si>
  <si>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</si>
  <si>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</si>
  <si>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</si>
  <si>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</si>
  <si>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</si>
  <si>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</si>
  <si>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</si>
  <si>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</si>
  <si>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</si>
  <si>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</si>
  <si>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</si>
  <si>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</si>
  <si>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</si>
  <si>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</si>
  <si>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</si>
  <si>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</si>
  <si>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</si>
  <si>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</si>
  <si>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</si>
  <si>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</si>
  <si>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</si>
  <si>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</si>
  <si>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</si>
  <si>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</si>
  <si>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</si>
  <si>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</si>
  <si>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</si>
  <si>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</si>
  <si>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</si>
  <si>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</si>
  <si>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</si>
  <si>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</si>
  <si>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</si>
  <si>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</si>
  <si>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</si>
  <si>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</si>
  <si>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</si>
  <si>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</si>
  <si>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</si>
  <si>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</si>
  <si>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</si>
  <si>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</si>
  <si>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</si>
  <si>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</si>
  <si>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</si>
  <si>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</si>
  <si>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</si>
  <si>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</si>
  <si>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</si>
  <si>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</si>
  <si>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</si>
  <si>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</si>
  <si>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</si>
  <si>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</si>
  <si>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</si>
  <si>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</si>
  <si>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</si>
  <si>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</si>
  <si>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</si>
  <si>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</si>
  <si>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</si>
  <si>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</si>
  <si>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</si>
  <si>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</si>
  <si>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</si>
  <si>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</si>
  <si>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</si>
  <si>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</si>
  <si>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</si>
  <si>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</si>
  <si>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</si>
  <si>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</si>
  <si>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</si>
  <si>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</si>
  <si>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</si>
  <si>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</si>
  <si>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</si>
  <si>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</si>
  <si>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</si>
  <si>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</si>
  <si>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</si>
  <si>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</si>
  <si>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</si>
  <si>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</si>
  <si>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</si>
  <si>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</si>
  <si>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</si>
  <si>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</si>
  <si>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</si>
  <si>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</si>
  <si>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</si>
  <si>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</si>
  <si>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</si>
  <si>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</si>
  <si>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</si>
  <si>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</si>
  <si>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</si>
  <si>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</si>
  <si>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</si>
  <si>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</si>
  <si>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</si>
  <si>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</si>
  <si>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</si>
  <si>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</si>
  <si>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</si>
  <si>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</si>
  <si>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</si>
  <si>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</si>
  <si>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</si>
  <si>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</si>
  <si>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</si>
  <si>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</si>
  <si>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</si>
  <si>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</si>
  <si>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</si>
  <si>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</si>
  <si>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</si>
  <si>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</si>
  <si>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</si>
  <si>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</si>
  <si>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</si>
  <si>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</si>
  <si>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</si>
  <si>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</si>
  <si>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</si>
  <si>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</si>
  <si>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</si>
  <si>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</si>
  <si>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</si>
  <si>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</si>
  <si>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</si>
  <si>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</si>
  <si>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</si>
  <si>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</si>
  <si>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</si>
  <si>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</si>
  <si>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</si>
  <si>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</si>
  <si>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</si>
  <si>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</si>
  <si>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</si>
  <si>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</si>
  <si>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</si>
  <si>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</si>
  <si>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</si>
  <si>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</si>
  <si>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</si>
  <si>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</si>
  <si>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</si>
  <si>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</si>
  <si>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</si>
  <si>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</si>
  <si>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</si>
  <si>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</si>
  <si>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</si>
  <si>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</si>
  <si>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</si>
  <si>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</si>
  <si>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</si>
  <si>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</si>
  <si>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</si>
  <si>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</si>
  <si>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</si>
  <si>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</si>
  <si>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</si>
  <si>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</si>
  <si>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</si>
  <si>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</si>
  <si>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</si>
  <si>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</si>
  <si>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</si>
  <si>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</si>
  <si>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</si>
  <si>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</si>
  <si>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</si>
  <si>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</si>
  <si>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</si>
  <si>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</si>
  <si>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</si>
  <si>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</si>
  <si>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</si>
  <si>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</si>
  <si>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</si>
  <si>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</si>
  <si>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</si>
  <si>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</si>
  <si>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</si>
  <si>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</si>
  <si>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</si>
  <si>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</si>
  <si>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</si>
  <si>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</si>
  <si>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</si>
  <si>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</si>
  <si>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</si>
  <si>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</si>
  <si>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</si>
  <si>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</si>
  <si>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</si>
  <si>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</si>
  <si>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</si>
  <si>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</si>
  <si>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</si>
  <si>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</si>
  <si>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</si>
  <si>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</si>
  <si>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</si>
  <si>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</si>
  <si>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</si>
  <si>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</si>
  <si>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</si>
  <si>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</si>
  <si>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</si>
  <si>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</si>
  <si>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</si>
  <si>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</si>
  <si>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</si>
  <si>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</si>
  <si>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</si>
  <si>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</si>
  <si>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</si>
  <si>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</si>
  <si>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</si>
  <si>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</si>
  <si>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</si>
  <si>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</si>
  <si>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</si>
  <si>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</si>
  <si>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</si>
  <si>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</si>
  <si>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</si>
  <si>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</si>
  <si>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</si>
  <si>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</si>
  <si>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</si>
  <si>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</si>
  <si>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</si>
  <si>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</si>
  <si>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</si>
  <si>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</si>
  <si>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</si>
  <si>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</si>
  <si>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</si>
  <si>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</si>
  <si>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</si>
  <si>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</si>
  <si>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</si>
  <si>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</si>
  <si>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</si>
  <si>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</si>
  <si>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</si>
  <si>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</si>
  <si>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</si>
  <si>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</si>
  <si>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</si>
  <si>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</si>
  <si>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</si>
  <si>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</si>
  <si>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</si>
  <si>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</si>
  <si>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</si>
  <si>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</si>
  <si>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</si>
  <si>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</si>
  <si>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</si>
  <si>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</si>
  <si>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</si>
  <si>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</si>
  <si>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</si>
  <si>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</si>
  <si>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</si>
  <si>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</si>
  <si>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</si>
  <si>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</si>
  <si>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</si>
  <si>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</si>
  <si>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</si>
  <si>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</si>
  <si>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</si>
  <si>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</si>
  <si>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</si>
  <si>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</si>
  <si>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</si>
  <si>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</si>
  <si>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</si>
  <si>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</si>
  <si>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</si>
  <si>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</si>
  <si>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</si>
  <si>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</si>
  <si>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</si>
  <si>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</si>
  <si>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</si>
  <si>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</si>
  <si>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</si>
  <si>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</si>
  <si>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</si>
  <si>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</si>
  <si>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</si>
  <si>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</si>
  <si>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</si>
  <si>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</si>
  <si>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</si>
  <si>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</si>
  <si>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</si>
  <si>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</si>
  <si>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</si>
  <si>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</si>
  <si>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</si>
  <si>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</si>
  <si>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</si>
  <si>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</si>
  <si>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</si>
  <si>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</si>
  <si>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</si>
  <si>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</si>
  <si>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</si>
  <si>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</si>
  <si>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</si>
  <si>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</si>
  <si>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</si>
  <si>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</si>
  <si>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</si>
  <si>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</si>
  <si>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</si>
  <si>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</si>
  <si>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</si>
  <si>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</si>
  <si>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</si>
  <si>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</si>
  <si>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</si>
  <si>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</si>
  <si>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</si>
  <si>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</si>
  <si>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</si>
  <si>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</si>
  <si>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</si>
  <si>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</si>
  <si>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</si>
  <si>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</si>
  <si>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</si>
  <si>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</si>
  <si>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</si>
  <si>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</si>
  <si>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</si>
  <si>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</si>
  <si>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</si>
  <si>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</si>
  <si>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</si>
  <si>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</si>
  <si>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</si>
  <si>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</si>
  <si>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</si>
  <si>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</si>
  <si>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</si>
  <si>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</si>
  <si>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</si>
  <si>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</si>
  <si>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</si>
  <si>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</si>
  <si>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</si>
  <si>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</si>
  <si>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</si>
  <si>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</si>
  <si>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</si>
  <si>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</si>
  <si>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</si>
  <si>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</si>
  <si>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</si>
  <si>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</si>
  <si>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</si>
  <si>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</si>
  <si>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</si>
  <si>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</si>
  <si>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</si>
  <si>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</si>
  <si>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</si>
  <si>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</si>
  <si>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</si>
  <si>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</si>
  <si>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</si>
  <si>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</si>
  <si>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</si>
  <si>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</si>
  <si>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</si>
  <si>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</si>
  <si>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</si>
  <si>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</si>
  <si>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</si>
  <si>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</si>
  <si>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</si>
  <si>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</si>
  <si>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</si>
  <si>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</si>
  <si>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</si>
  <si>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</si>
  <si>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</si>
  <si>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</si>
  <si>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</si>
  <si>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</si>
  <si>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</si>
  <si>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</si>
  <si>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</si>
  <si>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</si>
  <si>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</si>
  <si>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</si>
  <si>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</si>
  <si>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</si>
  <si>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</si>
  <si>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</si>
  <si>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</si>
  <si>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</si>
  <si>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</si>
  <si>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</si>
  <si>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</si>
  <si>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</si>
  <si>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</si>
  <si>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</si>
  <si>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</si>
  <si>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</si>
  <si>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</si>
  <si>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</si>
  <si>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</si>
  <si>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</si>
  <si>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</si>
  <si>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</si>
  <si>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</si>
  <si>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</si>
  <si>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</si>
  <si>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</si>
  <si>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</si>
  <si>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</si>
  <si>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</si>
  <si>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</si>
  <si>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</si>
  <si>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</si>
  <si>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DENNYS FLORES</t>
  </si>
  <si>
    <t>Playas de Rosarito, B.C.</t>
  </si>
  <si>
    <t xml:space="preserve">Playas de Rosarito, B.C. </t>
  </si>
  <si>
    <t>LOS PRECIOS NO INCLUYEN IVA</t>
  </si>
  <si>
    <t>SCREEN 3% WHITE</t>
  </si>
  <si>
    <t>VEN 1</t>
  </si>
  <si>
    <t>VEN 2</t>
  </si>
  <si>
    <t>BRENDA G</t>
  </si>
  <si>
    <t>251201-Y</t>
  </si>
  <si>
    <t>CORNISAS FORRADAS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</si>
</sst>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opLeftCell="A10" zoomScale="85" zoomScaleNormal="85" workbookViewId="0">
      <selection activeCell="K64" sqref="K6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45992</v>
      </c>
      <c r="J5" s="287"/>
      <c r="K5" s="287"/>
      <c r="L5" s="287"/>
      <c r="M5" s="288" t="str">
        <f>IF('CALCULATOR SHEET'!W2=1,"DOCUMENT #","DOCUMENTO #")</f>
        <v>DOCUMENT #</v>
      </c>
      <c r="N5" s="366" t="str">
        <f>IF('CALCULATOR SHEET'!T5&lt;&gt;"",'CALCULATOR SHEET'!T5,"")</f>
        <v>251201-Y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/>
      </c>
      <c r="J7" s="367" t="str">
        <f>IF('CALCULATOR SHEET'!H8&lt;&gt;"","Calle: "&amp;'CALCULATOR SHEET'!H10&amp;", Numero: "&amp;'CALCULATOR SHEET'!H11,"")</f>
        <v/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PROJECT NAME</v>
      </c>
      <c r="J8" s="367" t="str">
        <f>IF('CALCULATOR SHEET'!H9&lt;&gt;"","Frac: "&amp;'CALCULATOR SHEET'!H9&amp;" - "&amp;'CALCULATOR SHEET'!H8,"")</f>
        <v/>
      </c>
      <c r="K8" s="367"/>
      <c r="L8" s="367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463</v>
      </c>
      <c r="H10" s="156" t="str">
        <f>IF('CALCULATOR SHEET'!D10&lt;&gt;"",'CALCULATOR SHEET'!D10,"")</f>
        <v>BRENDA G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DENNYS FLORES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4</v>
      </c>
      <c r="G14" s="169" t="str">
        <f>IF('CALCULATOR SHEET'!G13&lt;&gt;"",'CALCULATOR SHEET'!G13,"")</f>
        <v>SCREEN 3% WHITE</v>
      </c>
      <c r="H14" s="170" t="str">
        <f>IF('CALCULATOR SHEET'!H13&lt;&gt;"",'CALCULATOR SHEET'!H13,"")</f>
        <v>VEN 1</v>
      </c>
      <c r="I14" s="171">
        <f>IF(E14&lt;&gt;"",'CALCULATOR SHEET'!I13,"")</f>
        <v>46.5</v>
      </c>
      <c r="J14" s="171">
        <f>IF(I14&lt;&gt;"",'CALCULATOR SHEET'!J13,"")</f>
        <v>58.5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196</v>
      </c>
      <c r="O14" s="164"/>
      <c r="P14" s="167">
        <f>IF(D14&lt;&gt;"",N14*D14,"")</f>
        <v>196</v>
      </c>
      <c r="Q14" s="194"/>
      <c r="R14" s="64" t="s">
        <v>199</v>
      </c>
      <c r="T14" s="160">
        <f>IF('CALCULATOR SHEET'!$T$58="PESOS",'CALCULATOR SHEET'!S13*'CALCULATOR SHEET'!$W$6,'CALCULATOR SHEET'!S13)</f>
        <v>196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4</v>
      </c>
      <c r="G15" s="174" t="str">
        <f>IF('CALCULATOR SHEET'!G14&lt;&gt;"",'CALCULATOR SHEET'!G14,"")</f>
        <v>SCREEN 3% WHITE</v>
      </c>
      <c r="H15" s="175" t="str">
        <f>IF('CALCULATOR SHEET'!H14&lt;&gt;"",'CALCULATOR SHEET'!H14,"")</f>
        <v>VEN 2</v>
      </c>
      <c r="I15" s="176">
        <f>IF(E15&lt;&gt;"",'CALCULATOR SHEET'!I14,"")</f>
        <v>46.25</v>
      </c>
      <c r="J15" s="176">
        <f>IF(I15&lt;&gt;"",'CALCULATOR SHEET'!J14,"")</f>
        <v>58.5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>YES</v>
      </c>
      <c r="N15" s="177">
        <f>IF(E15&lt;&gt;"",T15,"")</f>
        <v>196</v>
      </c>
      <c r="O15" s="165"/>
      <c r="P15" s="166">
        <f>IF(D15&lt;&gt;"",N15*D15,"")</f>
        <v>196</v>
      </c>
      <c r="Q15" s="195"/>
      <c r="R15" s="64" t="s">
        <v>199</v>
      </c>
      <c r="T15" s="160">
        <f>IF('CALCULATOR SHEET'!$T$58="PESOS",'CALCULATOR SHEET'!S14*'CALCULATOR SHEET'!$W$6,'CALCULATOR SHEET'!S14)</f>
        <v>196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69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4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199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69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4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>CORNISAS FORRADAS</v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/>
      <c r="N62" s="296"/>
      <c r="O62" s="296" t="str">
        <f>IF('CALCULATOR SHEET'!T59&lt;&gt;0,CLIENTE!X62,"")</f>
        <v>SUB TOTAL</v>
      </c>
      <c r="P62" s="297">
        <f>IF(O62&lt;&gt;"",SUM(P14:P53),"")</f>
        <v>392</v>
      </c>
      <c r="Q62" s="188"/>
      <c r="X62" s="163" t="str">
        <f>IF('CALCULATOR SHEET'!$W$2=1,GENERAL!Q35,GENERAL!S35)</f>
        <v>SUB TOTAL</v>
      </c>
      <c r="Y62" s="222">
        <f>P62</f>
        <v>392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0.5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0.5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196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196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196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196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2">
        <f>'CALCULATOR SHEET'!T66</f>
        <v>196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GRAND TOTAL=</v>
      </c>
      <c r="P70" s="350">
        <f>Y69</f>
        <v>196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464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DENNYS FLORES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132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132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 t="shared" ref="AL7:AL70" si="0">IF(AJ7=0,"",MATCH(CEILING(AJ7,6),$D$4:$Z$4,0))</f>
        <v>5</v>
      </c>
      <c r="AM7" s="53">
        <f>IF(AK7=0,"",MATCH(CEILING(AK7,6),$C$7:$C$28,0))</f>
        <v>7</v>
      </c>
      <c r="AN7" s="54">
        <f t="shared" ref="AN7:AN70" si="1">IF(AL7="","",INDEX($D$7:$Z$28,AM7,AL7))</f>
        <v>153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46.25</v>
      </c>
      <c r="AK8" s="53">
        <f>'CALCULATOR SHEET'!J14</f>
        <v>58.5</v>
      </c>
      <c r="AL8" s="53">
        <f t="shared" si="0"/>
        <v>5</v>
      </c>
      <c r="AM8" s="53">
        <f t="shared" ref="AM8:AM71" si="2">IF(AK8=0,"",MATCH(CEILING(AK8,6),$C$7:$C$28,0))</f>
        <v>7</v>
      </c>
      <c r="AN8" s="54">
        <f t="shared" si="1"/>
        <v>153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156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156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182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182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205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7</v>
      </c>
      <c r="AN8" s="54">
        <f t="shared" ref="AN8:AN71" si="3">IF(AL8="","",INDEX($D$7:$Z$28,AM8,AL8))</f>
        <v>205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255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7</v>
      </c>
      <c r="AN8" s="54">
        <f t="shared" ref="AN8:AN71" si="19">IF(AL8="","",INDEX($D$7:$Z$28,AM8,AL8))</f>
        <v>255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4</v>
      </c>
      <c r="X7" s="1">
        <v>1</v>
      </c>
      <c r="Y7" s="7">
        <f>'CALCULATOR SHEET'!I13</f>
        <v>46.5</v>
      </c>
      <c r="Z7" s="7">
        <f>'CALCULATOR SHEET'!J13</f>
        <v>58.5</v>
      </c>
      <c r="AA7" s="7">
        <f>IF(Y7=0,"",MATCH(CEILING(Y7,6),$C$7:$R$7,0))</f>
        <v>4</v>
      </c>
      <c r="AB7" s="7">
        <f>IF(Z7=0,"",MATCH(CEILING(Z7,6),$B$10:$B$26,0))</f>
        <v>5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205</v>
      </c>
      <c r="AF7" s="13">
        <f>IF(Y7&gt;0,HLOOKUP(AA7,$C$29:$R$30,2,FALSE),"")</f>
        <v>0</v>
      </c>
    </row>
    <row r="8" spans="2:32" ht="15.75">
      <c r="U8" s="387"/>
      <c r="V8" s="147"/>
      <c r="W8" s="147" t="str">
        <f>'CALCULATOR SHEET'!E14</f>
        <v>GROUP 4</v>
      </c>
      <c r="X8" s="1">
        <f>+X7+1</f>
        <v>2</v>
      </c>
      <c r="Y8" s="7">
        <f>'CALCULATOR SHEET'!I14</f>
        <v>46.25</v>
      </c>
      <c r="Z8" s="7">
        <f>'CALCULATOR SHEET'!J14</f>
        <v>58.5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5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31.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 t="str">
        <f>'CALCULATOR SHEET'!E54</f>
        <v>CORNISAS FORRADAS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46.5</v>
      </c>
      <c r="W7" s="7">
        <f>'CALCULATOR SHEET'!J13</f>
        <v>58.5</v>
      </c>
      <c r="X7" s="7">
        <f>IF(V7=0,"",MATCH(CEILING(V7,6),$C$8:$Q$8,0))</f>
        <v>5</v>
      </c>
      <c r="Y7" s="7">
        <f>IF(W7=0,"",MATCH(CEILING(W7,6),$B$10:$B$26,0))</f>
        <v>7</v>
      </c>
      <c r="Z7" s="146">
        <f>IF(X7="","",INDEX($C$12:$Q$26,Y7,X7))</f>
        <v>224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46.25</v>
      </c>
      <c r="W8" s="7">
        <f>'CALCULATOR SHEET'!J14</f>
        <v>58.5</v>
      </c>
      <c r="X8" s="7">
        <f t="shared" ref="X8:X73" si="0">IF(V8=0,"",MATCH(CEILING(V8,6),$C$8:$Q$8,0))</f>
        <v>5</v>
      </c>
      <c r="Y8" s="7">
        <f t="shared" ref="Y8:Y71" si="1">IF(W8=0,"",MATCH(CEILING(W8,6),$B$10:$B$26,0))</f>
        <v>7</v>
      </c>
      <c r="Z8" s="146">
        <f>IF(X8="","",INDEX($C$12:$Q$26,Y8,X8))</f>
        <v>224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126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126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173</v>
      </c>
    </row>
    <row r="8" spans="2:27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173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B40" zoomScale="84" zoomScaleNormal="84" workbookViewId="0">
      <selection activeCell="H59" sqref="H59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227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469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462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/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/>
      <c r="E9" s="39"/>
      <c r="F9" s="1"/>
      <c r="G9" s="38" t="s">
        <v>442</v>
      </c>
      <c r="H9" s="342"/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45992</v>
      </c>
      <c r="Z9" s="38" t="s">
        <v>303</v>
      </c>
      <c r="AA9" s="34">
        <f>SUMIF(C13:C52,"&gt;0")</f>
        <v>2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468</v>
      </c>
      <c r="E10" s="149"/>
      <c r="F10" s="1"/>
      <c r="G10" s="340" t="s">
        <v>443</v>
      </c>
      <c r="H10" s="342"/>
      <c r="I10" s="1"/>
      <c r="J10" s="3" t="s">
        <v>448</v>
      </c>
      <c r="K10" s="343"/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/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/>
      <c r="G13" s="68" t="s">
        <v>465</v>
      </c>
      <c r="H13" s="68" t="s">
        <v>466</v>
      </c>
      <c r="I13" s="81">
        <v>46.5</v>
      </c>
      <c r="J13" s="81">
        <v>58.5</v>
      </c>
      <c r="K13" s="253" t="s">
        <v>96</v>
      </c>
      <c r="L13" s="70"/>
      <c r="M13" s="283" t="s">
        <v>129</v>
      </c>
      <c r="N13" s="253" t="s">
        <v>211</v>
      </c>
      <c r="O13" s="253"/>
      <c r="P13" s="70" t="s">
        <v>45</v>
      </c>
      <c r="Q13" s="70" t="s">
        <v>46</v>
      </c>
      <c r="R13" s="70" t="s">
        <v>45</v>
      </c>
      <c r="S13" s="71">
        <f>IF(U13="REVISAR MEDIDA","NO APLICA",W13+X13)</f>
        <v>196</v>
      </c>
      <c r="T13" s="315">
        <f t="shared" ref="T13:T52" si="0">IF(S13="","",S13*C13)</f>
        <v>196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196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132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56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8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8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22</v>
      </c>
      <c r="F14" s="69"/>
      <c r="G14" s="68" t="s">
        <v>465</v>
      </c>
      <c r="H14" s="68" t="s">
        <v>467</v>
      </c>
      <c r="I14" s="81">
        <v>46.25</v>
      </c>
      <c r="J14" s="81">
        <v>58.5</v>
      </c>
      <c r="K14" s="253" t="s">
        <v>96</v>
      </c>
      <c r="L14" s="70"/>
      <c r="M14" s="283" t="s">
        <v>129</v>
      </c>
      <c r="N14" s="253" t="s">
        <v>211</v>
      </c>
      <c r="O14" s="253"/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196</v>
      </c>
      <c r="T14" s="315">
        <f t="shared" si="0"/>
        <v>196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196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132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56</v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8</v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8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3"/>
      <c r="L15" s="70"/>
      <c r="M15" s="283"/>
      <c r="N15" s="253"/>
      <c r="O15" s="253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5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>
        <f t="shared" si="5"/>
        <v>0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5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5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 t="s">
        <v>470</v>
      </c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392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>
        <v>0.5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196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196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196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461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46.5</v>
      </c>
      <c r="Y7" s="7">
        <f>'CALCULATOR SHEET'!J13</f>
        <v>58.5</v>
      </c>
      <c r="Z7" s="7">
        <f>IF(X7=0,"",MATCH(CEILING(X7,6),$C$7:$R$7,0))</f>
        <v>5</v>
      </c>
      <c r="AA7" s="7">
        <f>IF(Y7=0,"",MATCH(CEILING(Y7,6),$B$10:$B$26,0))</f>
        <v>7</v>
      </c>
      <c r="AB7" s="146">
        <f>IF(Z7="","",INDEX($C$10:$R$26,AA7,Z7))</f>
        <v>191</v>
      </c>
    </row>
    <row r="8" spans="2:28" ht="15.75">
      <c r="U8" s="387"/>
      <c r="V8" s="147"/>
      <c r="W8" s="1">
        <f>+W7+1</f>
        <v>2</v>
      </c>
      <c r="X8" s="7">
        <f>'CALCULATOR SHEET'!I14</f>
        <v>46.25</v>
      </c>
      <c r="Y8" s="7">
        <f>'CALCULATOR SHEET'!J14</f>
        <v>58.5</v>
      </c>
      <c r="Z8" s="7">
        <f t="shared" ref="Z8:Z71" si="0">IF(X8=0,"",MATCH(CEILING(X8,6),$C$7:$R$7,0))</f>
        <v>5</v>
      </c>
      <c r="AA8" s="7">
        <f t="shared" ref="AA8:AA71" si="1">IF(Y8=0,"",MATCH(CEILING(Y8,6),$B$10:$B$26,0))</f>
        <v>7</v>
      </c>
      <c r="AB8" s="146">
        <f t="shared" ref="AB8:AB71" si="2">IF(Z8="","",INDEX($C$10:$R$26,AA8,Z8))</f>
        <v>191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215</v>
      </c>
    </row>
    <row r="8" spans="2:27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215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207</v>
      </c>
    </row>
    <row r="8" spans="2:27" ht="15" customHeight="1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207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266</v>
      </c>
    </row>
    <row r="8" spans="2:27" ht="15" customHeight="1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266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278</v>
      </c>
    </row>
    <row r="8" spans="2:27" ht="15" customHeight="1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278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46.5</v>
      </c>
      <c r="X7" s="7">
        <f>'CALCULATOR SHEET'!J13</f>
        <v>58.5</v>
      </c>
      <c r="Y7" s="7">
        <f>IF(W7=0,"",MATCH(CEILING(W7,6),$C$7:$Q$7,0))</f>
        <v>5</v>
      </c>
      <c r="Z7" s="7">
        <f>IF(X7=0,"",MATCH(CEILING(X7,6),$B$10:$B$26,0))</f>
        <v>7</v>
      </c>
      <c r="AA7" s="146">
        <f>IF(Y7="","",INDEX($C$10:$Q$26,Z7,Y7))</f>
        <v>269</v>
      </c>
    </row>
    <row r="8" spans="2:27" ht="15" customHeight="1">
      <c r="T8" s="387"/>
      <c r="V8" s="1">
        <f>+V7+1</f>
        <v>2</v>
      </c>
      <c r="W8" s="7">
        <f>'CALCULATOR SHEET'!I14</f>
        <v>46.25</v>
      </c>
      <c r="X8" s="7">
        <f>'CALCULATOR SHEET'!J14</f>
        <v>58.5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269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46.5</v>
      </c>
      <c r="Y5" s="7">
        <f>'PM-ORDER'!P5</f>
        <v>58.5</v>
      </c>
      <c r="Z5" s="7">
        <f>IF(X5&lt;&gt;"",MATCH(CEILING(X5,6),$C$4:$S$4,0),"")</f>
        <v>5</v>
      </c>
      <c r="AA5" s="7">
        <f>IF(X5&lt;&gt;"",MATCH(CEILING(Y5,6),$B$7:$B$26,0),"")</f>
        <v>7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46.25</v>
      </c>
      <c r="Y6" s="7">
        <f>'PM-ORDER'!P6</f>
        <v>58.5</v>
      </c>
      <c r="Z6" s="7">
        <f t="shared" ref="Z6:Z44" si="0">IF(X6&lt;&gt;"",MATCH(CEILING(X6,6),$C$4:$S$4,0),"")</f>
        <v>5</v>
      </c>
      <c r="AA6" s="7">
        <f t="shared" ref="AA6:AA44" si="1">IF(X6&lt;&gt;"",MATCH(CEILING(Y6,6),$B$7:$B$26,0),"")</f>
        <v>7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P1" zoomScale="85" zoomScaleNormal="85" workbookViewId="0">
      <selection activeCell="AK7" sqref="AK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45994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251201-Y</v>
      </c>
      <c r="D5" s="229">
        <f>IF('CALCULATOR SHEET'!D13&lt;&gt;"",'CALCULATOR SHEET'!$T$9,"")</f>
        <v>45992</v>
      </c>
      <c r="E5" s="230" t="str">
        <f>IF(D5&lt;&gt;"","BAJA SHADES","")</f>
        <v>BAJA SHADES</v>
      </c>
      <c r="F5" s="231">
        <f>IF(C5&lt;&gt;"",'CALCULATOR SHEET'!$D$9,"")</f>
        <v>0</v>
      </c>
      <c r="G5" s="231" t="str">
        <f>IF('CALCULATOR SHEET'!D13&lt;&gt;"",'CALCULATOR SHEET'!D13,"")</f>
        <v>ROLLER</v>
      </c>
      <c r="H5" s="231" t="str">
        <f>IF(Q5="CCL",BOMS!AG5,"")</f>
        <v>RL-MAN -BSCH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SCREEN 3% WHITE</v>
      </c>
      <c r="M5" s="231">
        <f>IF(C5&lt;&gt;"",'CALCULATOR SHEET'!O13,"")</f>
        <v>0</v>
      </c>
      <c r="N5" s="231" t="str">
        <f>IF(C5&lt;&gt;"",'CALCULATOR SHEET'!H13,"")</f>
        <v>VEN 1</v>
      </c>
      <c r="O5" s="233">
        <f>IF(D5&lt;&gt;"",'CALCULATOR SHEET'!I13,"")</f>
        <v>46.5</v>
      </c>
      <c r="P5" s="233">
        <f>IF(E5&lt;&gt;"",'CALCULATOR SHEET'!J13,"")</f>
        <v>58.5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R</v>
      </c>
      <c r="S5" s="230" t="str">
        <f>IF(D5&lt;&gt;"",'CALCULATOR SHEET'!N13,"")</f>
        <v>INSIDE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2" t="s">
        <v>466</v>
      </c>
      <c r="AH5" s="252"/>
      <c r="AI5" s="251">
        <v>47.75</v>
      </c>
      <c r="AJ5" s="251">
        <v>2</v>
      </c>
      <c r="AK5" s="251">
        <v>2</v>
      </c>
      <c r="AL5" s="251">
        <v>2</v>
      </c>
      <c r="AM5" s="251">
        <v>5</v>
      </c>
      <c r="AN5" s="252" t="s">
        <v>465</v>
      </c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>251201-Y</v>
      </c>
      <c r="D6" s="229">
        <f>IF('CALCULATOR SHEET'!D14&lt;&gt;"",'CALCULATOR SHEET'!$T$9,"")</f>
        <v>45992</v>
      </c>
      <c r="E6" s="230" t="str">
        <f t="shared" ref="E6:E69" si="0">IF(D6&lt;&gt;"","BAJA SHADES","")</f>
        <v>BAJA SHADES</v>
      </c>
      <c r="F6" s="231">
        <f>IF(C6&lt;&gt;"",'CALCULATOR SHEET'!$D$9,"")</f>
        <v>0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SCREEN 3% WHITE</v>
      </c>
      <c r="M6" s="231">
        <f>IF(C6&lt;&gt;"",'CALCULATOR SHEET'!O14,"")</f>
        <v>0</v>
      </c>
      <c r="N6" s="231" t="str">
        <f>IF(C6&lt;&gt;"",'CALCULATOR SHEET'!H14,"")</f>
        <v>VEN 2</v>
      </c>
      <c r="O6" s="233">
        <f>IF(D6&lt;&gt;"",'CALCULATOR SHEET'!I14,"")</f>
        <v>46.25</v>
      </c>
      <c r="P6" s="233">
        <f>IF(E6&lt;&gt;"",'CALCULATOR SHEET'!J14,"")</f>
        <v>58.5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5"/>
      <c r="V6" s="245"/>
      <c r="W6" s="230" t="str">
        <f>IF(C6&lt;&gt;"",'CALCULATOR SHEET'!R14,"")</f>
        <v>NO</v>
      </c>
      <c r="X6" s="230"/>
      <c r="Y6" s="230">
        <v>1</v>
      </c>
      <c r="Z6" s="232"/>
      <c r="AA6" s="232">
        <f>IF(C6&lt;&gt;"",'CALCULATOR SHEET'!$H$9,"")</f>
        <v>0</v>
      </c>
      <c r="AB6" s="232"/>
      <c r="AC6" s="232"/>
      <c r="AD6" s="234"/>
      <c r="AE6" s="235"/>
      <c r="AF6" s="162"/>
      <c r="AG6" s="252" t="s">
        <v>467</v>
      </c>
      <c r="AH6" s="252"/>
      <c r="AI6" s="251">
        <v>47.5</v>
      </c>
      <c r="AJ6" s="251">
        <v>2</v>
      </c>
      <c r="AK6" s="251">
        <v>2</v>
      </c>
      <c r="AL6" s="251">
        <v>2</v>
      </c>
      <c r="AM6" s="251">
        <v>5</v>
      </c>
      <c r="AN6" s="252" t="s">
        <v>465</v>
      </c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5"/>
      <c r="V7" s="245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5"/>
      <c r="V8" s="245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5"/>
      <c r="V9" s="245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5"/>
      <c r="V10" s="245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5"/>
      <c r="V11" s="245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46.5</v>
      </c>
      <c r="AK7" s="36">
        <f>'CALCULATOR SHEET'!J13</f>
        <v>58.5</v>
      </c>
      <c r="AL7" s="36">
        <f>IF(AJ7=0,"",MATCH(CEILING(AJ7,6),$D$4:$Z$4,0))</f>
        <v>5</v>
      </c>
      <c r="AM7" s="36">
        <f>IF(AK7=0,"",MATCH(CEILING(AK7,6),$C$7:$C$28,0))</f>
        <v>7</v>
      </c>
      <c r="AN7" s="57">
        <f>IF(AL7="","",INDEX($D$7:$Z$28,AM7,AL7))</f>
        <v>105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471</v>
      </c>
      <c r="AT7" s="37">
        <f>IF(AK7&gt;0,VLOOKUP(CEILING(AK7,6),$AA$7:$AB$28,2,0),"")</f>
        <v>50</v>
      </c>
      <c r="AU7" s="109">
        <f>IF(AK7&gt;0,VLOOKUP(CEILING(AK7,6),$AA$7:$AC$28,3,0),"")</f>
        <v>8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46.25</v>
      </c>
      <c r="AK8" s="36">
        <f>'CALCULATOR SHEET'!J14</f>
        <v>58.5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7</v>
      </c>
      <c r="AN8" s="57">
        <f t="shared" ref="AN8:AN71" si="2">IF(AL8="","",INDEX($D$7:$Z$28,AM8,AL8))</f>
        <v>105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50</v>
      </c>
      <c r="AU8" s="109">
        <f t="shared" ref="AU8:AU71" si="8">IF(AK8&gt;0,VLOOKUP(CEILING(AK8,6),$AA$7:$AC$28,3,0),"")</f>
        <v>8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>IF(AJ7=0,"",MATCH(CEILING(AJ7,6),$D$4:$Z$4,0))</f>
        <v>5</v>
      </c>
      <c r="AM7" s="53">
        <f>IF(AK7=0,"",MATCH(CEILING(AK7,6),$C$7:$C$28,0))</f>
        <v>7</v>
      </c>
      <c r="AN7" s="54">
        <f>IF(AL7="","",INDEX($D$7:$Z$28,AM7,AL7))</f>
        <v>111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46.25</v>
      </c>
      <c r="AK8" s="53">
        <f>'CALCULATOR SHEET'!J14</f>
        <v>58.5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111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46.5</v>
      </c>
      <c r="AK7" s="53">
        <f>'CALCULATOR SHEET'!J13</f>
        <v>58.5</v>
      </c>
      <c r="AL7" s="53">
        <f t="shared" ref="AL7:AL70" si="0">IF(AJ7=0,"",MATCH(CEILING(AJ7,6),$D$4:$Z$4,0))</f>
        <v>5</v>
      </c>
      <c r="AM7" s="53">
        <f>IF(AK7=0,"",MATCH(CEILING(AK7,6),$C$7:$C$28,0))</f>
        <v>7</v>
      </c>
      <c r="AN7" s="54">
        <f t="shared" ref="AN7:AN70" si="1">IF(AL7="","",INDEX($D$7:$Z$28,AM7,AL7))</f>
        <v>125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46.25</v>
      </c>
      <c r="AK8" s="53">
        <f>'CALCULATOR SHEET'!J14</f>
        <v>58.5</v>
      </c>
      <c r="AL8" s="53">
        <f t="shared" si="0"/>
        <v>5</v>
      </c>
      <c r="AM8" s="53">
        <f t="shared" ref="AM8:AM71" si="2">IF(AK8=0,"",MATCH(CEILING(AK8,6),$C$7:$C$28,0))</f>
        <v>7</v>
      </c>
      <c r="AN8" s="54">
        <f t="shared" si="1"/>
        <v>125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Dennise Flores</cp:lastModifiedBy>
  <cp:lastPrinted>2024-12-28T19:04:15Z</cp:lastPrinted>
  <dcterms:created xsi:type="dcterms:W3CDTF">2016-09-27T19:33:28Z</dcterms:created>
  <dcterms:modified xsi:type="dcterms:W3CDTF">2025-12-03T20:41:14Z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