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0225EG-1 VF MEXICO TIJUANA\"/>
    </mc:Choice>
  </mc:AlternateContent>
  <xr:revisionPtr revIDLastSave="0" documentId="8_{E3CBD93A-2AA4-48EE-822C-4063B3804839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38" l="1"/>
  <c r="S20" i="38"/>
  <c r="S21" i="38"/>
  <c r="S22" i="38"/>
  <c r="S23" i="38"/>
  <c r="S24" i="38"/>
  <c r="S25" i="38"/>
  <c r="S26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7" i="59" l="1"/>
  <c r="AA16" i="59"/>
  <c r="AA15" i="59"/>
  <c r="AA14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P23" i="38" s="1"/>
  <c r="AA17" i="56"/>
  <c r="AA16" i="55"/>
  <c r="AA16" i="56"/>
  <c r="AA16" i="57"/>
  <c r="AP22" i="38" s="1"/>
  <c r="AA15" i="55"/>
  <c r="AA15" i="57"/>
  <c r="AP21" i="38" s="1"/>
  <c r="AA15" i="56"/>
  <c r="AA14" i="55"/>
  <c r="AA14" i="56"/>
  <c r="AA14" i="57"/>
  <c r="AP20" i="38" s="1"/>
  <c r="AA13" i="56"/>
  <c r="AA13" i="57"/>
  <c r="AP19" i="38" s="1"/>
  <c r="AA13" i="55"/>
  <c r="AA12" i="57"/>
  <c r="AP18" i="38" s="1"/>
  <c r="AA12" i="56"/>
  <c r="AA12" i="55"/>
  <c r="AA11" i="55"/>
  <c r="AA11" i="57"/>
  <c r="AP17" i="38" s="1"/>
  <c r="AA11" i="56"/>
  <c r="AA10" i="57"/>
  <c r="AP16" i="38" s="1"/>
  <c r="AA10" i="55"/>
  <c r="AA10" i="56"/>
  <c r="AA9" i="55"/>
  <c r="AA9" i="57"/>
  <c r="AP15" i="38" s="1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R21" i="38" s="1"/>
  <c r="AJ20" i="38"/>
  <c r="AR2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AP14" i="38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T23" i="38" s="1"/>
  <c r="W22" i="38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T25" i="38" s="1"/>
  <c r="W31" i="38"/>
  <c r="S31" i="38" s="1"/>
  <c r="T31" i="38" s="1"/>
  <c r="W26" i="38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S15" i="38" s="1"/>
  <c r="W16" i="38"/>
  <c r="S16" i="38" s="1"/>
  <c r="T36" i="46"/>
  <c r="N36" i="46" s="1"/>
  <c r="P36" i="46" s="1"/>
  <c r="W20" i="38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AN7" i="36"/>
  <c r="AS7" i="7"/>
  <c r="AN7" i="7"/>
  <c r="AD13" i="38" s="1"/>
  <c r="S17" i="38" l="1"/>
  <c r="T17" i="38" s="1"/>
  <c r="B21" i="38"/>
  <c r="Y20" i="38"/>
  <c r="U13" i="38"/>
  <c r="W14" i="38"/>
  <c r="S14" i="38" l="1"/>
  <c r="T14" i="38" s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P72" i="46" s="1"/>
  <c r="Y67" i="46"/>
  <c r="P67" i="46" l="1"/>
  <c r="O67" i="46"/>
</calcChain>
</file>

<file path=xl/sharedStrings.xml><?xml version="1.0" encoding="utf-8"?>
<sst xmlns="http://schemas.openxmlformats.org/spreadsheetml/2006/main" count="3312" uniqueCount="474">
  <si>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</si>
  <si>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</si>
  <si>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</si>
  <si>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</si>
  <si>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</si>
  <si>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</si>
  <si>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</si>
  <si>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</si>
  <si>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</si>
  <si>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</si>
  <si>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</si>
  <si>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</si>
  <si>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</si>
  <si>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</si>
  <si>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</si>
  <si>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</si>
  <si>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</si>
  <si>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</si>
  <si>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</si>
  <si>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</si>
  <si>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</si>
  <si>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</si>
  <si>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</si>
  <si>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</si>
  <si>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</si>
  <si>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</si>
  <si>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</si>
  <si>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</si>
  <si>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</si>
  <si>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</si>
  <si>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</si>
  <si>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</si>
  <si>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</si>
  <si>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</si>
  <si>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</si>
  <si>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</si>
  <si>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</si>
  <si>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</si>
  <si>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</si>
  <si>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</si>
  <si>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</si>
  <si>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</si>
  <si>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</si>
  <si>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</si>
  <si>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</si>
  <si>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</si>
  <si>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</si>
  <si>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</si>
  <si>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</si>
  <si>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</si>
  <si>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</si>
  <si>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</si>
  <si>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</si>
  <si>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</si>
  <si>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</si>
  <si>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</si>
  <si>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</si>
  <si>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</si>
  <si>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</si>
  <si>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</si>
  <si>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</si>
  <si>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</si>
  <si>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</si>
  <si>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</si>
  <si>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</si>
  <si>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</si>
  <si>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</si>
  <si>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</si>
  <si>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</si>
  <si>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</si>
  <si>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</si>
  <si>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</si>
  <si>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</si>
  <si>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</si>
  <si>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</si>
  <si>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</si>
  <si>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</si>
  <si>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</si>
  <si>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</si>
  <si>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</si>
  <si>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</si>
  <si>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</si>
  <si>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</si>
  <si>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</si>
  <si>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</si>
  <si>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</si>
  <si>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</si>
  <si>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</si>
  <si>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</si>
  <si>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</si>
  <si>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</si>
  <si>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</si>
  <si>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</si>
  <si>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</si>
  <si>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</si>
  <si>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</si>
  <si>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</si>
  <si>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</si>
  <si>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</si>
  <si>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</si>
  <si>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</si>
  <si>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</si>
  <si>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</si>
  <si>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</si>
  <si>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</si>
  <si>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</si>
  <si>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</si>
  <si>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</si>
  <si>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</si>
  <si>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</si>
  <si>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</si>
  <si>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</si>
  <si>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</si>
  <si>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</si>
  <si>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</si>
  <si>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</si>
  <si>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</si>
  <si>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</si>
  <si>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</si>
  <si>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</si>
  <si>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</si>
  <si>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</si>
  <si>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</si>
  <si>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</si>
  <si>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</si>
  <si>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</si>
  <si>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</si>
  <si>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</si>
  <si>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</si>
  <si>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</si>
  <si>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</si>
  <si>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</si>
  <si>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</si>
  <si>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</si>
  <si>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</si>
  <si>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</si>
  <si>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</si>
  <si>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</si>
  <si>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</si>
  <si>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</si>
  <si>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</si>
  <si>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</si>
  <si>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</si>
  <si>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</si>
  <si>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</si>
  <si>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</si>
  <si>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</si>
  <si>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</si>
  <si>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</si>
  <si>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</si>
  <si>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</si>
  <si>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</si>
  <si>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</si>
  <si>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</si>
  <si>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</si>
  <si>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</si>
  <si>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</si>
  <si>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</si>
  <si>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</si>
  <si>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</si>
  <si>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</si>
  <si>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</si>
  <si>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</si>
  <si>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</si>
  <si>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</si>
  <si>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</si>
  <si>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</si>
  <si>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</si>
  <si>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</si>
  <si>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</si>
  <si>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</si>
  <si>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</si>
  <si>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</si>
  <si>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</si>
  <si>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</si>
  <si>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</si>
  <si>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</si>
  <si>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</si>
  <si>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</si>
  <si>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</si>
  <si>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</si>
  <si>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</si>
  <si>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</si>
  <si>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</si>
  <si>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</si>
  <si>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</si>
  <si>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</si>
  <si>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</si>
  <si>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</si>
  <si>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</si>
  <si>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</si>
  <si>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</si>
  <si>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</si>
  <si>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</si>
  <si>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</si>
  <si>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</si>
  <si>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</si>
  <si>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</si>
  <si>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</si>
  <si>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</si>
  <si>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</si>
  <si>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</si>
  <si>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</si>
  <si>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</si>
  <si>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</si>
  <si>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</si>
  <si>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</si>
  <si>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</si>
  <si>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</si>
  <si>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</si>
  <si>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</si>
  <si>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</si>
  <si>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</si>
  <si>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</si>
  <si>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</si>
  <si>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</si>
  <si>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</si>
  <si>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</si>
  <si>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</si>
  <si>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</si>
  <si>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</si>
  <si>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</si>
  <si>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</si>
  <si>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</si>
  <si>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</si>
  <si>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</si>
  <si>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</si>
  <si>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</si>
  <si>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</si>
  <si>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</si>
  <si>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</si>
  <si>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</si>
  <si>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</si>
  <si>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</si>
  <si>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</si>
  <si>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</si>
  <si>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</si>
  <si>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</si>
  <si>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</si>
  <si>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</si>
  <si>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</si>
  <si>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</si>
  <si>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</si>
  <si>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</si>
  <si>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</si>
  <si>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</si>
  <si>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</si>
  <si>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</si>
  <si>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</si>
  <si>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</si>
  <si>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</si>
  <si>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</si>
  <si>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</si>
  <si>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</si>
  <si>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</si>
  <si>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</si>
  <si>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</si>
  <si>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</si>
  <si>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</si>
  <si>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</si>
  <si>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</si>
  <si>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</si>
  <si>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</si>
  <si>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</si>
  <si>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</si>
  <si>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</si>
  <si>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</si>
  <si>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</si>
  <si>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</si>
  <si>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</si>
  <si>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</si>
  <si>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</si>
  <si>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</si>
  <si>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</si>
  <si>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</si>
  <si>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</si>
  <si>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</si>
  <si>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</si>
  <si>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</si>
  <si>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</si>
  <si>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</si>
  <si>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</si>
  <si>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</si>
  <si>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</si>
  <si>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</si>
  <si>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</si>
  <si>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</si>
  <si>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</si>
  <si>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</si>
  <si>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</si>
  <si>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</si>
  <si>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</si>
  <si>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</si>
  <si>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</si>
  <si>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</si>
  <si>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</si>
  <si>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</si>
  <si>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</si>
  <si>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</si>
  <si>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</si>
  <si>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</si>
  <si>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</si>
  <si>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</si>
  <si>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</si>
  <si>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</si>
  <si>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</si>
  <si>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</si>
  <si>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</si>
  <si>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</si>
  <si>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</si>
  <si>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</si>
  <si>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</si>
  <si>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</si>
  <si>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</si>
  <si>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</si>
  <si>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</si>
  <si>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</si>
  <si>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</si>
  <si>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</si>
  <si>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</si>
  <si>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</si>
  <si>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</si>
  <si>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</si>
  <si>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</si>
  <si>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</si>
  <si>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</si>
  <si>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</si>
  <si>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</si>
  <si>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</si>
  <si>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</si>
  <si>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</si>
  <si>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</si>
  <si>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</si>
  <si>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</si>
  <si>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</si>
  <si>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</si>
  <si>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</si>
  <si>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</si>
  <si>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</si>
  <si>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</si>
  <si>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</si>
  <si>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</si>
  <si>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</si>
  <si>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</si>
  <si>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</si>
  <si>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</si>
  <si>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</si>
  <si>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</si>
  <si>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</si>
  <si>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</si>
  <si>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</si>
  <si>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</si>
  <si>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</si>
  <si>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</si>
  <si>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</si>
  <si>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</si>
  <si>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</si>
  <si>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</si>
  <si>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</si>
  <si>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</si>
  <si>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</si>
  <si>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</si>
  <si>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</si>
  <si>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</si>
  <si>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</si>
  <si>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</si>
  <si>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</si>
  <si>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</si>
  <si>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</si>
  <si>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</si>
  <si>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</si>
  <si>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</si>
  <si>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</si>
  <si>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</si>
  <si>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</si>
  <si>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</si>
  <si>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</si>
  <si>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</si>
  <si>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</si>
  <si>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</si>
  <si>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</si>
  <si>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</si>
  <si>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</si>
  <si>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</si>
  <si>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</si>
  <si>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</si>
  <si>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</si>
  <si>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</si>
  <si>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</si>
  <si>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</si>
  <si>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</si>
  <si>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</si>
  <si>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</si>
  <si>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</si>
  <si>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</si>
  <si>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</si>
  <si>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</si>
  <si>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</si>
  <si>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</si>
  <si>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</si>
  <si>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</si>
  <si>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</si>
  <si>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</si>
  <si>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</si>
  <si>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</si>
  <si>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</si>
  <si>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</si>
  <si>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</si>
  <si>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</si>
  <si>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</si>
  <si>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</si>
  <si>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</si>
  <si>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</si>
  <si>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</si>
  <si>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</si>
  <si>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</si>
  <si>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</si>
  <si>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</si>
  <si>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</si>
  <si>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</si>
  <si>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</si>
  <si>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</si>
  <si>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</si>
  <si>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</si>
  <si>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</si>
  <si>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</si>
  <si>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</si>
  <si>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</si>
  <si>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</si>
  <si>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</si>
  <si>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</si>
  <si>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</si>
  <si>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</si>
  <si>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</si>
  <si>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</si>
  <si>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</si>
  <si>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</si>
  <si>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</si>
  <si>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</si>
  <si>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</si>
  <si>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</si>
  <si>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</si>
  <si>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</si>
  <si>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</si>
  <si>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</si>
  <si>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</si>
  <si>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</si>
  <si>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</si>
  <si>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</si>
  <si>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</si>
  <si>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</si>
  <si>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</si>
  <si>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</si>
  <si>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</si>
  <si>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</si>
  <si>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</si>
  <si>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</si>
  <si>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</si>
  <si>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</si>
  <si>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</si>
  <si>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</si>
  <si>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</si>
  <si>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</si>
  <si>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A</t>
  </si>
  <si>
    <t>VICTOR BERMEJO</t>
  </si>
  <si>
    <t>TIJUANA</t>
  </si>
  <si>
    <t>BAJA MAQ EL AGUILA</t>
  </si>
  <si>
    <t>AV. DEL AGUILA</t>
  </si>
  <si>
    <t>.+52 1 55 1796 6700</t>
  </si>
  <si>
    <t>tc</t>
  </si>
  <si>
    <t>TOTAL MXN=</t>
  </si>
  <si>
    <t>BS 120225EG-1</t>
  </si>
  <si>
    <t>VF MEXICO AV DEL AGUILA 4 ROLLER BO</t>
  </si>
  <si>
    <t>BLACK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</si>
</sst>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64" fillId="3" borderId="0" xfId="0" applyNumberFormat="1" applyFont="1" applyFill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P72" sqref="P72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45993</v>
      </c>
      <c r="J5" s="287"/>
      <c r="K5" s="287"/>
      <c r="L5" s="287"/>
      <c r="M5" s="288" t="str">
        <f>IF('CALCULATOR SHEET'!W2=1,"DOCUMENT #","DOCUMENTO #")</f>
        <v>DOCUMENT #</v>
      </c>
      <c r="N5" s="364" t="str">
        <f>IF('CALCULATOR SHEET'!T5&lt;&gt;"",'CALCULATOR SHEET'!T5,"")</f>
        <v>BS 120225EG-1</v>
      </c>
      <c r="O5" s="364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VF MEXICO AV DEL AGUILA 4 ROLLER BO</v>
      </c>
      <c r="J7" s="365" t="str">
        <f>IF('CALCULATOR SHEET'!H8&lt;&gt;"","Calle: "&amp;'CALCULATOR SHEET'!H10&amp;", Numero: "&amp;'CALCULATOR SHEET'!H11,"")</f>
        <v>Calle: AV. DEL AGUILA, Numero: 19506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>Frac: BAJA MAQ EL AGUILA - TIJUANA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VICTOR BERMEJO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>BLACK OUT</v>
      </c>
      <c r="H14" s="170" t="str">
        <f>IF('CALCULATOR SHEET'!H13&lt;&gt;"",'CALCULATOR SHEET'!H13,"")</f>
        <v>A</v>
      </c>
      <c r="I14" s="171">
        <f>IF(E14&lt;&gt;"",'CALCULATOR SHEET'!I13,"")</f>
        <v>50.5</v>
      </c>
      <c r="J14" s="171">
        <f>IF(I14&lt;&gt;"",'CALCULATOR SHEET'!J13,"")</f>
        <v>110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205</v>
      </c>
      <c r="O14" s="164"/>
      <c r="P14" s="167">
        <f>IF(D14&lt;&gt;"",N14*D14,"")</f>
        <v>205</v>
      </c>
      <c r="Q14" s="193"/>
      <c r="R14" s="64" t="s">
        <v>200</v>
      </c>
      <c r="T14" s="160">
        <f>IF('CALCULATOR SHEET'!$T$58="PESOS",'CALCULATOR SHEET'!S13*'CALCULATOR SHEET'!$W$6,'CALCULATOR SHEET'!S13)</f>
        <v>205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4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4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205</v>
      </c>
      <c r="Q62" s="188"/>
      <c r="X62" s="163" t="str">
        <f>IF('CALCULATOR SHEET'!$W$2=1,GENERAL!Q35,GENERAL!S35)</f>
        <v>SUB TOTAL</v>
      </c>
      <c r="Y62" s="221">
        <f>P62</f>
        <v>205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61.5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143.5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143.5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143.5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>TAX</v>
      </c>
      <c r="P67" s="187">
        <f>IF(Y67&lt;&gt;0,Y67,"")</f>
        <v>11.480000000000018</v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11.480000000000018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154.98000000000002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154.98000000000002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M72" s="7" t="s">
        <v>469</v>
      </c>
      <c r="N72" s="12">
        <v>18.3</v>
      </c>
      <c r="O72" s="18" t="s">
        <v>470</v>
      </c>
      <c r="P72" s="363">
        <f>P70*N72</f>
        <v>2836.1340000000005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217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 t="shared" ref="AL7:AL70" si="0">IF(AJ7=0,"",MATCH(CEILING(AJ7,6),$D$4:$Z$4,0))</f>
        <v>6</v>
      </c>
      <c r="AM7" s="53">
        <f>IF(AK7=0,"",MATCH(CEILING(AK7,6),$C$7:$C$28,0))</f>
        <v>16</v>
      </c>
      <c r="AN7" s="54">
        <f t="shared" ref="AN7:AN70" si="1">IF(AL7="","",INDEX($D$7:$Z$28,AM7,AL7))</f>
        <v>258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265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315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360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475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50.5</v>
      </c>
      <c r="Z7" s="7">
        <f>'CALCULATOR SHEET'!J13</f>
        <v>110</v>
      </c>
      <c r="AA7" s="7">
        <f>IF(Y7=0,"",MATCH(CEILING(Y7,6),$C$7:$R$7,0))</f>
        <v>5</v>
      </c>
      <c r="AB7" s="7">
        <f>IF(Z7=0,"",MATCH(CEILING(Z7,6),$B$10:$B$26,0))</f>
        <v>14</v>
      </c>
      <c r="AC7" s="146">
        <f>IF(AA7="","",IF(W7="GROUP 1",INDEX($C$10:$R$26,AB7,AA7),IF(W7="GROUP 2",INDEX($C$39:$R$55,AB7,AA7),IF(W7="GROUP 3",INDEX($C$64:$R$80,AB7,AA7),""))))</f>
        <v>836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216</v>
      </c>
      <c r="AF7" s="13">
        <f>IF(Y7&gt;0,HLOOKUP(AA7,$C$29:$R$30,2,FALSE),"")</f>
        <v>0</v>
      </c>
    </row>
    <row r="8" spans="2:32" ht="15.75">
      <c r="U8" s="385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50.5</v>
      </c>
      <c r="W7" s="7">
        <f>'CALCULATOR SHEET'!J13</f>
        <v>110</v>
      </c>
      <c r="X7" s="7">
        <f>IF(V7=0,"",MATCH(CEILING(V7,6),$C$8:$Q$8,0))</f>
        <v>6</v>
      </c>
      <c r="Y7" s="7">
        <f>IF(W7=0,"",MATCH(CEILING(W7,6),$B$10:$B$26,0))</f>
        <v>16</v>
      </c>
      <c r="Z7" s="146" t="e">
        <f>IF(X7="","",INDEX($C$12:$Q$26,Y7,X7))</f>
        <v>#REF!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175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255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D1" zoomScale="85" zoomScaleNormal="85" workbookViewId="0">
      <selection activeCell="G18" sqref="G18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7"/>
      <c r="Q3" s="367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70" t="s">
        <v>309</v>
      </c>
      <c r="AA4" s="369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471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465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472</v>
      </c>
      <c r="E9" s="39"/>
      <c r="F9" s="1"/>
      <c r="G9" s="38" t="s">
        <v>443</v>
      </c>
      <c r="H9" s="342" t="s">
        <v>466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45993</v>
      </c>
      <c r="Z9" s="38" t="s">
        <v>304</v>
      </c>
      <c r="AA9" s="34">
        <f>SUMIF(C13:C52,"&gt;0")</f>
        <v>1</v>
      </c>
      <c r="AD9" s="366" t="s">
        <v>91</v>
      </c>
      <c r="AE9" s="366"/>
      <c r="AF9" s="366"/>
      <c r="AG9" s="366"/>
      <c r="AH9" s="366"/>
      <c r="AI9" s="366"/>
      <c r="AJ9" s="366"/>
      <c r="AK9" s="268"/>
      <c r="AL9" s="366" t="s">
        <v>92</v>
      </c>
      <c r="AM9" s="366"/>
      <c r="AN9" s="366"/>
      <c r="AO9" s="268"/>
      <c r="AP9" s="366" t="s">
        <v>93</v>
      </c>
      <c r="AQ9" s="366"/>
      <c r="AR9" s="366"/>
      <c r="AS9" s="268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0" t="s">
        <v>464</v>
      </c>
      <c r="E10" s="149"/>
      <c r="F10" s="1"/>
      <c r="G10" s="340" t="s">
        <v>444</v>
      </c>
      <c r="H10" s="342" t="s">
        <v>467</v>
      </c>
      <c r="I10" s="1"/>
      <c r="J10" s="3" t="s">
        <v>449</v>
      </c>
      <c r="K10" s="343" t="s">
        <v>468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19506</v>
      </c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473</v>
      </c>
      <c r="H13" s="68" t="s">
        <v>463</v>
      </c>
      <c r="I13" s="81">
        <v>50.5</v>
      </c>
      <c r="J13" s="81">
        <v>110</v>
      </c>
      <c r="K13" s="253" t="s">
        <v>207</v>
      </c>
      <c r="L13" s="70" t="s">
        <v>45</v>
      </c>
      <c r="M13" s="283" t="s">
        <v>130</v>
      </c>
      <c r="N13" s="253" t="s">
        <v>213</v>
      </c>
      <c r="O13" s="253" t="s">
        <v>322</v>
      </c>
      <c r="P13" s="70" t="s">
        <v>45</v>
      </c>
      <c r="Q13" s="70" t="s">
        <v>45</v>
      </c>
      <c r="R13" s="70" t="s">
        <v>45</v>
      </c>
      <c r="S13" s="71">
        <f t="shared" ref="S13:S17" si="0">IF(U13="REVISAR MEDIDA","NO APLICA",W13+X13)</f>
        <v>205</v>
      </c>
      <c r="T13" s="315">
        <f t="shared" ref="T13:T52" si="1">IF(S13="","",S13*C13)</f>
        <v>205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205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205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3"/>
      <c r="L14" s="70"/>
      <c r="M14" s="283"/>
      <c r="N14" s="253"/>
      <c r="O14" s="253"/>
      <c r="P14" s="70" t="s">
        <v>45</v>
      </c>
      <c r="Q14" s="70" t="s">
        <v>45</v>
      </c>
      <c r="R14" s="70" t="s">
        <v>45</v>
      </c>
      <c r="S14" s="71">
        <f t="shared" si="0"/>
        <v>0</v>
      </c>
      <c r="T14" s="315">
        <f t="shared" si="1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>
        <f t="shared" ref="AB14:AB52" si="5">D14</f>
        <v>0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3"/>
      <c r="L15" s="70"/>
      <c r="M15" s="283"/>
      <c r="N15" s="253"/>
      <c r="O15" s="253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5">
        <f t="shared" si="1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>
        <f t="shared" si="5"/>
        <v>0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5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5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ref="S18:S52" si="10">IF(U18="REVISAR MEDIDA","NO APLICA",W18+X18)</f>
        <v>0</v>
      </c>
      <c r="T18" s="315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0"/>
        <v>0</v>
      </c>
      <c r="T19" s="315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0"/>
        <v>0</v>
      </c>
      <c r="T20" s="315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0"/>
        <v>0</v>
      </c>
      <c r="T21" s="315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205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0.3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61.5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143.5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46</v>
      </c>
      <c r="S64" s="277" t="s">
        <v>461</v>
      </c>
      <c r="T64" s="76">
        <f>IF(R64="NO",0,(T63*1.08)-T63)</f>
        <v>11.480000000000018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154.98000000000002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50.5</v>
      </c>
      <c r="Y7" s="7">
        <f>'CALCULATOR SHEET'!J13</f>
        <v>110</v>
      </c>
      <c r="Z7" s="7">
        <f>IF(X7=0,"",MATCH(CEILING(X7,6),$C$7:$R$7,0))</f>
        <v>6</v>
      </c>
      <c r="AA7" s="7">
        <f>IF(Y7=0,"",MATCH(CEILING(Y7,6),$B$10:$B$26,0))</f>
        <v>16</v>
      </c>
      <c r="AB7" s="146">
        <f>IF(Z7="","",INDEX($C$10:$R$26,AA7,Z7))</f>
        <v>286</v>
      </c>
    </row>
    <row r="8" spans="2:28" ht="15.75">
      <c r="U8" s="385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328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317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418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439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431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50.5</v>
      </c>
      <c r="Y5" s="7">
        <f>'PM-ORDER'!P5</f>
        <v>110</v>
      </c>
      <c r="Z5" s="7">
        <f>IF(X5&lt;&gt;"",MATCH(CEILING(X5,6),$C$4:$S$4,0),"")</f>
        <v>6</v>
      </c>
      <c r="AA5" s="7">
        <f>IF(X5&lt;&gt;"",MATCH(CEILING(Y5,6),$B$7:$B$26,0),"")</f>
        <v>16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45993</v>
      </c>
      <c r="H2" s="222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3"/>
    </row>
    <row r="3" spans="2:41" ht="15" customHeight="1">
      <c r="C3" s="222" t="s">
        <v>160</v>
      </c>
      <c r="G3" s="225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120225EG-1</v>
      </c>
      <c r="D5" s="228">
        <f>IF('CALCULATOR SHEET'!D13&lt;&gt;"",'CALCULATOR SHEET'!$T$9,"")</f>
        <v>45993</v>
      </c>
      <c r="E5" s="229" t="str">
        <f>IF(D5&lt;&gt;"","BAJA SHADES","")</f>
        <v>BAJA SHADES</v>
      </c>
      <c r="F5" s="230" t="str">
        <f>IF(C5&lt;&gt;"",'CALCULATOR SHEET'!$D$9,"")</f>
        <v>VF MEXICO AV DEL AGUILA 4 ROLLER BO</v>
      </c>
      <c r="G5" s="230" t="str">
        <f>IF('CALCULATOR SHEET'!D13&lt;&gt;"",'CALCULATOR SHEET'!D13,"")</f>
        <v>ROLLER</v>
      </c>
      <c r="H5" s="230" t="str">
        <f>IF(Q5="CCL",BOMS!AG5,"")</f>
        <v>RL-MAN-BSMD</v>
      </c>
      <c r="I5" s="229">
        <v>1</v>
      </c>
      <c r="J5" s="230" t="str">
        <f>IF(C5&lt;&gt;"",'CALCULATOR SHEET'!K13,"")</f>
        <v>PLASTIC CHAIN WHITE</v>
      </c>
      <c r="K5" s="230" t="str">
        <f>IF(J5=GENERAL!$H$6,GENERAL!$H$6,IF(J5=GENERAL!$H$7,GENERAL!$H$7,IF('PM-ORDER'!J5=GENERAL!$H$8,GENERAL!$H$8,"")))</f>
        <v>PLASTIC CHAIN WHITE</v>
      </c>
      <c r="L5" s="230" t="str">
        <f>IF(C5&lt;&gt;"",'CALCULATOR SHEET'!G13,"")</f>
        <v>BLACK OUT</v>
      </c>
      <c r="M5" s="230" t="str">
        <f>IF(C5&lt;&gt;"",'CALCULATOR SHEET'!O13,"")</f>
        <v>STANDARD ROLL</v>
      </c>
      <c r="N5" s="230" t="str">
        <f>IF(C5&lt;&gt;"",'CALCULATOR SHEET'!H13,"")</f>
        <v>A</v>
      </c>
      <c r="O5" s="232">
        <f>IF(D5&lt;&gt;"",'CALCULATOR SHEET'!I13,"")</f>
        <v>50.5</v>
      </c>
      <c r="P5" s="232">
        <f>IF(E5&lt;&gt;"",'CALCULATOR SHEET'!J13,"")</f>
        <v>110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R</v>
      </c>
      <c r="S5" s="229" t="str">
        <f>IF(D5&lt;&gt;"",'CALCULATOR SHEET'!N13,"")</f>
        <v>OUTSIDE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BAJA MAQ EL AGUILA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/>
      </c>
      <c r="D6" s="228" t="str">
        <f>IF('CALCULATOR SHEET'!D14&lt;&gt;"",'CALCULATOR SHEET'!$T$9,"")</f>
        <v/>
      </c>
      <c r="E6" s="229" t="str">
        <f t="shared" ref="E6:E69" si="0">IF(D6&lt;&gt;"","BAJA SHADES","")</f>
        <v/>
      </c>
      <c r="F6" s="230" t="str">
        <f>IF(C6&lt;&gt;"",'CALCULATOR SHEET'!$D$9,"")</f>
        <v/>
      </c>
      <c r="G6" s="230" t="str">
        <f>IF('CALCULATOR SHEET'!D14&lt;&gt;"",'CALCULATOR SHEET'!D14,"")</f>
        <v/>
      </c>
      <c r="H6" s="230" t="str">
        <f>IF(Q6="CCL",BOMS!AG6,"")</f>
        <v/>
      </c>
      <c r="I6" s="229">
        <v>1</v>
      </c>
      <c r="J6" s="230" t="str">
        <f>IF(C6&lt;&gt;"",'CALCULATOR SHEET'!K14,"")</f>
        <v/>
      </c>
      <c r="K6" s="230" t="str">
        <f>IF(J6=GENERAL!$H$6,GENERAL!$H$6,IF(J6=GENERAL!$H$7,GENERAL!$H$7,IF('PM-ORDER'!J6=GENERAL!$H$8,GENERAL!$H$8,"")))</f>
        <v/>
      </c>
      <c r="L6" s="230" t="str">
        <f>IF(C6&lt;&gt;"",'CALCULATOR SHEET'!G14,"")</f>
        <v/>
      </c>
      <c r="M6" s="230" t="str">
        <f>IF(C6&lt;&gt;"",'CALCULATOR SHEET'!O14,"")</f>
        <v/>
      </c>
      <c r="N6" s="230" t="str">
        <f>IF(C6&lt;&gt;"",'CALCULATOR SHEET'!H14,"")</f>
        <v/>
      </c>
      <c r="O6" s="232" t="str">
        <f>IF(D6&lt;&gt;"",'CALCULATOR SHEET'!I14,"")</f>
        <v/>
      </c>
      <c r="P6" s="232" t="str">
        <f>IF(E6&lt;&gt;"",'CALCULATOR SHEET'!J14,"")</f>
        <v/>
      </c>
      <c r="Q6" s="229" t="str">
        <f>IF('CALCULATOR SHEET'!K14=GENERAL!$H$9,GENERAL!$H$9,IF(OR('CALCULATOR SHEET'!K14=GENERAL!$H$6,'CALCULATOR SHEET'!K14=GENERAL!$H$7,'CALCULATOR SHEET'!K14=GENERAL!$H$8),"CCL",""))</f>
        <v/>
      </c>
      <c r="R6" s="229" t="str">
        <f>IF(C6&lt;&gt;"",'CALCULATOR SHEET'!M14,"")</f>
        <v/>
      </c>
      <c r="S6" s="229" t="str">
        <f>IF(D6&lt;&gt;"",'CALCULATOR SHEET'!N14,"")</f>
        <v/>
      </c>
      <c r="T6" s="231"/>
      <c r="U6" s="245"/>
      <c r="V6" s="245"/>
      <c r="W6" s="229" t="str">
        <f>IF(C6&lt;&gt;"",'CALCULATOR SHEET'!R14,"")</f>
        <v/>
      </c>
      <c r="X6" s="229"/>
      <c r="Y6" s="229">
        <v>1</v>
      </c>
      <c r="Z6" s="231"/>
      <c r="AA6" s="231" t="str">
        <f>IF(C6&lt;&gt;"",'CALCULATOR SHEET'!$H$9,"")</f>
        <v/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/>
      </c>
      <c r="D7" s="228" t="str">
        <f>IF('CALCULATOR SHEET'!D15&lt;&gt;"",'CALCULATOR SHEET'!$T$9,"")</f>
        <v/>
      </c>
      <c r="E7" s="229" t="str">
        <f t="shared" si="0"/>
        <v/>
      </c>
      <c r="F7" s="230" t="str">
        <f>IF(C7&lt;&gt;"",'CALCULATOR SHEET'!$D$9,"")</f>
        <v/>
      </c>
      <c r="G7" s="230" t="str">
        <f>IF('CALCULATOR SHEET'!D15&lt;&gt;"",'CALCULATOR SHEET'!D15,"")</f>
        <v/>
      </c>
      <c r="H7" s="230" t="str">
        <f>IF(Q7="CCL",BOMS!AG7,"")</f>
        <v/>
      </c>
      <c r="I7" s="229">
        <v>1</v>
      </c>
      <c r="J7" s="230" t="str">
        <f>IF(C7&lt;&gt;"",'CALCULATOR SHEET'!K15,"")</f>
        <v/>
      </c>
      <c r="K7" s="230" t="str">
        <f>IF(J7=GENERAL!$H$6,GENERAL!$H$6,IF(J7=GENERAL!$H$7,GENERAL!$H$7,IF('PM-ORDER'!J7=GENERAL!$H$8,GENERAL!$H$8,"")))</f>
        <v/>
      </c>
      <c r="L7" s="230" t="str">
        <f>IF(C7&lt;&gt;"",'CALCULATOR SHEET'!G15,"")</f>
        <v/>
      </c>
      <c r="M7" s="230" t="str">
        <f>IF(C7&lt;&gt;"",'CALCULATOR SHEET'!O15,"")</f>
        <v/>
      </c>
      <c r="N7" s="230" t="str">
        <f>IF(C7&lt;&gt;"",'CALCULATOR SHEET'!H15,"")</f>
        <v/>
      </c>
      <c r="O7" s="232" t="str">
        <f>IF(D7&lt;&gt;"",'CALCULATOR SHEET'!I15,"")</f>
        <v/>
      </c>
      <c r="P7" s="232" t="str">
        <f>IF(E7&lt;&gt;"",'CALCULATOR SHEET'!J15,"")</f>
        <v/>
      </c>
      <c r="Q7" s="229" t="str">
        <f>IF('CALCULATOR SHEET'!K15=GENERAL!$H$9,GENERAL!$H$9,IF(OR('CALCULATOR SHEET'!K15=GENERAL!$H$6,'CALCULATOR SHEET'!K15=GENERAL!$H$7,'CALCULATOR SHEET'!K15=GENERAL!$H$8),"CCL",""))</f>
        <v/>
      </c>
      <c r="R7" s="229" t="str">
        <f>IF(C7&lt;&gt;"",'CALCULATOR SHEET'!M15,"")</f>
        <v/>
      </c>
      <c r="S7" s="229" t="str">
        <f>IF(D7&lt;&gt;"",'CALCULATOR SHEET'!N15,"")</f>
        <v/>
      </c>
      <c r="T7" s="231"/>
      <c r="U7" s="245"/>
      <c r="V7" s="245"/>
      <c r="W7" s="229" t="str">
        <f>IF(C7&lt;&gt;"",'CALCULATOR SHEET'!R15,"")</f>
        <v/>
      </c>
      <c r="X7" s="229"/>
      <c r="Y7" s="229">
        <v>1</v>
      </c>
      <c r="Z7" s="231"/>
      <c r="AA7" s="231" t="str">
        <f>IF(C7&lt;&gt;"",'CALCULATOR SHEET'!$H$9,"")</f>
        <v/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5"/>
      <c r="V8" s="245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5"/>
      <c r="V9" s="245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5"/>
      <c r="V10" s="245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5"/>
      <c r="V11" s="245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50.5</v>
      </c>
      <c r="AK7" s="36">
        <f>'CALCULATOR SHEET'!J13</f>
        <v>110</v>
      </c>
      <c r="AL7" s="36">
        <f>IF(AJ7=0,"",MATCH(CEILING(AJ7,6),$D$4:$Z$4,0))</f>
        <v>6</v>
      </c>
      <c r="AM7" s="36">
        <f>IF(AK7=0,"",MATCH(CEILING(AK7,6),$C$7:$C$28,0))</f>
        <v>16</v>
      </c>
      <c r="AN7" s="57">
        <f>IF(AL7="","",INDEX($D$7:$Z$28,AM7,AL7))</f>
        <v>166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550</v>
      </c>
      <c r="AT7" s="37">
        <f>IF(AK7&gt;0,VLOOKUP(CEILING(AK7,6),$AA$7:$AB$28,2,0),"")</f>
        <v>95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178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 t="shared" ref="AL7:AL70" si="0">IF(AJ7=0,"",MATCH(CEILING(AJ7,6),$D$4:$Z$4,0))</f>
        <v>6</v>
      </c>
      <c r="AM7" s="53">
        <f>IF(AK7=0,"",MATCH(CEILING(AK7,6),$C$7:$C$28,0))</f>
        <v>16</v>
      </c>
      <c r="AN7" s="54">
        <f t="shared" ref="AN7:AN70" si="1">IF(AL7="","",INDEX($D$7:$Z$28,AM7,AL7))</f>
        <v>205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2025-12-03T00:19:55Z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