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MARK KRACKOWIZER\"/>
    </mc:Choice>
  </mc:AlternateContent>
  <xr:revisionPtr revIDLastSave="0" documentId="8_{9C62683B-7E84-44EB-9BDD-43E6035CF0CF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B19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BC25" i="5" l="1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C31" i="5" l="1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W27" i="5" l="1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T18" i="5"/>
  <c r="Z18" i="5" s="1"/>
  <c r="AA18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C85" i="10"/>
  <c r="T16" i="5" l="1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L13" i="6" l="1"/>
  <c r="F13" i="6"/>
  <c r="F12" i="6"/>
  <c r="L12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<sst xmlns="http://schemas.openxmlformats.org/spreadsheetml/2006/main" count="9432" uniqueCount="759">
  <si>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</si>
  <si>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</si>
  <si>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</si>
  <si>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</si>
  <si>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</si>
  <si>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</si>
  <si>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</si>
  <si>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</si>
  <si>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</si>
  <si>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</si>
  <si>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</si>
  <si>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</si>
  <si>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</si>
  <si>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</si>
  <si>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</si>
  <si>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</si>
  <si>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</si>
  <si>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</si>
  <si>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</si>
  <si>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</si>
  <si>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</si>
  <si>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</si>
  <si>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</si>
  <si>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</si>
  <si>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</si>
  <si>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</si>
  <si>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</si>
  <si>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</si>
  <si>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</si>
  <si>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</si>
  <si>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</si>
  <si>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</si>
  <si>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</si>
  <si>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</si>
  <si>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</si>
  <si>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</si>
  <si>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</si>
  <si>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</si>
  <si>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</si>
  <si>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</si>
  <si>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</si>
  <si>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</si>
  <si>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</si>
  <si>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</si>
  <si>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</si>
  <si>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</si>
  <si>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</si>
  <si>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</si>
  <si>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</si>
  <si>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</si>
  <si>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</si>
  <si>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</si>
  <si>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</si>
  <si>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</si>
  <si>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</si>
  <si>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</si>
  <si>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</si>
  <si>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</si>
  <si>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</si>
  <si>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</si>
  <si>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</si>
  <si>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</si>
  <si>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</si>
  <si>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</si>
  <si>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</si>
  <si>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</si>
  <si>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</si>
  <si>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</si>
  <si>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</si>
  <si>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</si>
  <si>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</si>
  <si>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</si>
  <si>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</si>
  <si>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</si>
  <si>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</si>
  <si>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</si>
  <si>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</si>
  <si>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</si>
  <si>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</si>
  <si>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</si>
  <si>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</si>
  <si>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</si>
  <si>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</si>
  <si>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</si>
  <si>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</si>
  <si>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</si>
  <si>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</si>
  <si>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</si>
  <si>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</si>
  <si>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</si>
  <si>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</si>
  <si>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</si>
  <si>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</si>
  <si>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</si>
  <si>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</si>
  <si>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</si>
  <si>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</si>
  <si>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</si>
  <si>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</si>
  <si>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</si>
  <si>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</si>
  <si>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</si>
  <si>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</si>
  <si>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</si>
  <si>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</si>
  <si>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</si>
  <si>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</si>
  <si>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</si>
  <si>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</si>
  <si>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</si>
  <si>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</si>
  <si>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</si>
  <si>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</si>
  <si>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</si>
  <si>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</si>
  <si>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</si>
  <si>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</si>
  <si>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</si>
  <si>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</si>
  <si>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</si>
  <si>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</si>
  <si>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</si>
  <si>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</si>
  <si>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</si>
  <si>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</si>
  <si>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</si>
  <si>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</si>
  <si>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</si>
  <si>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</si>
  <si>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</si>
  <si>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</si>
  <si>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</si>
  <si>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</si>
  <si>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</si>
  <si>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</si>
  <si>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</si>
  <si>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</si>
  <si>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</si>
  <si>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</si>
  <si>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</si>
  <si>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</si>
  <si>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</si>
  <si>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</si>
  <si>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</si>
  <si>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</si>
  <si>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</si>
  <si>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</si>
  <si>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</si>
  <si>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</si>
  <si>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</si>
  <si>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</si>
  <si>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</si>
  <si>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</si>
  <si>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</si>
  <si>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</si>
  <si>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</si>
  <si>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</si>
  <si>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</si>
  <si>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</si>
  <si>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</si>
  <si>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</si>
  <si>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</si>
  <si>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</si>
  <si>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</si>
  <si>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</si>
  <si>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</si>
  <si>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</si>
  <si>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</si>
  <si>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</si>
  <si>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</si>
  <si>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</si>
  <si>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</si>
  <si>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</si>
  <si>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</si>
  <si>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</si>
  <si>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</si>
  <si>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</si>
  <si>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</si>
  <si>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</si>
  <si>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</si>
  <si>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</si>
  <si>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</si>
  <si>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</si>
  <si>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</si>
  <si>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</si>
  <si>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</si>
  <si>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</si>
  <si>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</si>
  <si>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</si>
  <si>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</si>
  <si>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</si>
  <si>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</si>
  <si>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</si>
  <si>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</si>
  <si>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</si>
  <si>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</si>
  <si>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</si>
  <si>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</si>
  <si>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</si>
  <si>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</si>
  <si>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</si>
  <si>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</si>
  <si>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</si>
  <si>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</si>
  <si>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</si>
  <si>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</si>
  <si>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</si>
  <si>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</si>
  <si>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</si>
  <si>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</si>
  <si>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</si>
  <si>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</si>
  <si>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</si>
  <si>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</si>
  <si>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</si>
  <si>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</si>
  <si>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</si>
  <si>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</si>
  <si>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</si>
  <si>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</si>
  <si>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</si>
  <si>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</si>
  <si>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</si>
  <si>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</si>
  <si>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</si>
  <si>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</si>
  <si>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</si>
  <si>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</si>
  <si>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</si>
  <si>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</si>
  <si>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</si>
  <si>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</si>
  <si>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</si>
  <si>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</si>
  <si>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</si>
  <si>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</si>
  <si>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</si>
  <si>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</si>
  <si>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</si>
  <si>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</si>
  <si>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</si>
  <si>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</si>
  <si>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</si>
  <si>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</si>
  <si>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</si>
  <si>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</si>
  <si>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</si>
  <si>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</si>
  <si>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</si>
  <si>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</si>
  <si>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</si>
  <si>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</si>
  <si>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</si>
  <si>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</si>
  <si>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</si>
  <si>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</si>
  <si>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</si>
  <si>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</si>
  <si>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</si>
  <si>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</si>
  <si>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</si>
  <si>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</si>
  <si>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</si>
  <si>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</si>
  <si>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</si>
  <si>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</si>
  <si>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</si>
  <si>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</si>
  <si>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</si>
  <si>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</si>
  <si>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</si>
  <si>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</si>
  <si>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</si>
  <si>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</si>
  <si>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</si>
  <si>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</si>
  <si>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</si>
  <si>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</si>
  <si>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</si>
  <si>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</si>
  <si>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</si>
  <si>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</si>
  <si>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</si>
  <si>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</si>
  <si>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</si>
  <si>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</si>
  <si>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</si>
  <si>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</si>
  <si>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</si>
  <si>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</si>
  <si>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</si>
  <si>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</si>
  <si>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</si>
  <si>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</si>
  <si>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</si>
  <si>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</si>
  <si>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</si>
  <si>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</si>
  <si>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</si>
  <si>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</si>
  <si>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</si>
  <si>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</si>
  <si>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</si>
  <si>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</si>
  <si>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</si>
  <si>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</si>
  <si>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</si>
  <si>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</si>
  <si>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</si>
  <si>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</si>
  <si>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</si>
  <si>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</si>
  <si>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</si>
  <si>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</si>
  <si>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</si>
  <si>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</si>
  <si>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</si>
  <si>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</si>
  <si>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</si>
  <si>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</si>
  <si>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</si>
  <si>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</si>
  <si>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</si>
  <si>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</si>
  <si>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</si>
  <si>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</si>
  <si>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</si>
  <si>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</si>
  <si>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</si>
  <si>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</si>
  <si>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</si>
  <si>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</si>
  <si>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</si>
  <si>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</si>
  <si>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</si>
  <si>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</si>
  <si>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</si>
  <si>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</si>
  <si>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</si>
  <si>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</si>
  <si>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</si>
  <si>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</si>
  <si>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</si>
  <si>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</si>
  <si>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</si>
  <si>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</si>
  <si>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</si>
  <si>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</si>
  <si>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</si>
  <si>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</si>
  <si>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</si>
  <si>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</si>
  <si>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</si>
  <si>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</si>
  <si>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</si>
  <si>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</si>
  <si>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</si>
  <si>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</si>
  <si>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</si>
  <si>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</si>
  <si>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</si>
  <si>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</si>
  <si>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</si>
  <si>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</si>
  <si>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</si>
  <si>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</si>
  <si>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</si>
  <si>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</si>
  <si>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</si>
  <si>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</si>
  <si>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</si>
  <si>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</si>
  <si>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</si>
  <si>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</si>
  <si>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</si>
  <si>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</si>
  <si>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</si>
  <si>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</si>
  <si>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</si>
  <si>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</si>
  <si>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</si>
  <si>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</si>
  <si>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</si>
  <si>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</si>
  <si>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</si>
  <si>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</si>
  <si>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</si>
  <si>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</si>
  <si>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</si>
  <si>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</si>
  <si>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</si>
  <si>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</si>
  <si>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</si>
  <si>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</si>
  <si>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</si>
  <si>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</si>
  <si>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</si>
  <si>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</si>
  <si>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</si>
  <si>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</si>
  <si>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</si>
  <si>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</si>
  <si>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</si>
  <si>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</si>
  <si>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</si>
  <si>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</si>
  <si>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</si>
  <si>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</si>
  <si>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</si>
  <si>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</si>
  <si>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</si>
  <si>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</si>
  <si>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</si>
  <si>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</si>
  <si>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</si>
  <si>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</si>
  <si>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</si>
  <si>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</si>
  <si>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</si>
  <si>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</si>
  <si>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</si>
  <si>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</si>
  <si>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</si>
  <si>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</si>
  <si>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</si>
  <si>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</si>
  <si>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</si>
  <si>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</si>
  <si>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</si>
  <si>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</si>
  <si>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</si>
  <si>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</si>
  <si>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</si>
  <si>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</si>
  <si>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</si>
  <si>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</si>
  <si>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</si>
  <si>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</si>
  <si>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</si>
  <si>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</si>
  <si>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</si>
  <si>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</si>
  <si>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</si>
  <si>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</si>
  <si>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</si>
  <si>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</si>
  <si>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</si>
  <si>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</si>
  <si>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</si>
  <si>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</si>
  <si>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</si>
  <si>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</si>
  <si>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</si>
  <si>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</si>
  <si>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</si>
  <si>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</si>
  <si>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</si>
  <si>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</si>
  <si>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</si>
  <si>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</si>
  <si>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</si>
  <si>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</si>
  <si>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</si>
  <si>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</si>
  <si>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</si>
  <si>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</si>
  <si>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</si>
  <si>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</si>
  <si>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</si>
  <si>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</si>
  <si>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</si>
  <si>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</si>
  <si>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</si>
  <si>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</si>
  <si>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</si>
  <si>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</si>
  <si>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</si>
  <si>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</si>
  <si>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</si>
  <si>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</si>
  <si>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</si>
  <si>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</si>
  <si>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</si>
  <si>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</si>
  <si>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</si>
  <si>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</si>
  <si>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</si>
  <si>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</si>
  <si>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</si>
  <si>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</si>
  <si>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</si>
  <si>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</si>
  <si>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</si>
  <si>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</si>
  <si>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</si>
  <si>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</si>
  <si>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</si>
  <si>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</si>
  <si>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</si>
  <si>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</si>
  <si>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</si>
  <si>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</si>
  <si>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</si>
  <si>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</si>
  <si>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</si>
  <si>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</si>
  <si>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</si>
  <si>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</si>
  <si>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</si>
  <si>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</si>
  <si>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</si>
  <si>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</si>
  <si>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</si>
  <si>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</si>
  <si>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</si>
  <si>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</si>
  <si>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</si>
  <si>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</si>
  <si>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</si>
  <si>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</si>
  <si>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</si>
  <si>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</si>
  <si>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</si>
  <si>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</si>
  <si>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</si>
  <si>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</si>
  <si>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</si>
  <si>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</si>
  <si>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</si>
  <si>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</si>
  <si>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</si>
  <si>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</si>
  <si>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</si>
  <si>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</si>
  <si>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</si>
  <si>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</si>
  <si>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</si>
  <si>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</si>
  <si>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</si>
  <si>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</si>
  <si>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</si>
  <si>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</si>
  <si>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</si>
  <si>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</si>
  <si>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</si>
  <si>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</si>
  <si>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</si>
  <si>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</si>
  <si>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</si>
  <si>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</si>
  <si>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</si>
  <si>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</si>
  <si>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</si>
  <si>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</si>
  <si>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</si>
  <si>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</si>
  <si>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</si>
  <si>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</si>
  <si>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</si>
  <si>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</si>
  <si>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</si>
  <si>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</si>
  <si>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</si>
  <si>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</si>
  <si>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</si>
  <si>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</si>
  <si>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</si>
  <si>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</si>
  <si>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</si>
  <si>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</si>
  <si>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</si>
  <si>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</si>
  <si>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</si>
  <si>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</si>
  <si>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</si>
  <si>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</si>
  <si>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</si>
  <si>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</si>
  <si>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</si>
  <si>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</si>
  <si>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</si>
  <si>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</si>
  <si>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</si>
  <si>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</si>
  <si>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</si>
  <si>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</si>
  <si>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</si>
  <si>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</si>
  <si>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</si>
  <si>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</si>
  <si>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</si>
  <si>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</si>
  <si>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</si>
  <si>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</si>
  <si>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</si>
  <si>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</si>
  <si>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</si>
  <si>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</si>
  <si>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</si>
  <si>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</si>
  <si>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</si>
  <si>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</si>
  <si>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</si>
  <si>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</si>
  <si>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</si>
  <si>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</si>
  <si>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</si>
  <si>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</si>
  <si>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</si>
  <si>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</si>
  <si>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</si>
  <si>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</si>
  <si>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</si>
  <si>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</si>
  <si>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</si>
  <si>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</si>
  <si>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</si>
  <si>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</si>
  <si>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</si>
  <si>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</si>
  <si>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</si>
  <si>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</si>
  <si>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</si>
  <si>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</si>
  <si>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</si>
  <si>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</si>
  <si>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</si>
  <si>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</si>
  <si>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</si>
  <si>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</si>
  <si>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</si>
  <si>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</si>
  <si>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</si>
  <si>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</si>
  <si>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</si>
  <si>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</si>
  <si>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</si>
  <si>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</si>
  <si>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</si>
  <si>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</si>
  <si>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</si>
  <si>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</si>
  <si>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</si>
  <si>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</si>
  <si>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</si>
  <si>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</si>
  <si>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</si>
  <si>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</si>
  <si>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</si>
  <si>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</si>
  <si>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</si>
  <si>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</si>
  <si>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</si>
  <si>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</si>
  <si>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</si>
  <si>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</si>
  <si>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</si>
  <si>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</si>
  <si>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</si>
  <si>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</si>
  <si>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</si>
  <si>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</si>
  <si>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</si>
  <si>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</si>
  <si>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</si>
  <si>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</si>
  <si>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</si>
  <si>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</si>
  <si>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</si>
  <si>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</si>
  <si>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</si>
  <si>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</si>
  <si>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</si>
  <si>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</si>
  <si>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</si>
  <si>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</si>
  <si>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</si>
  <si>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</si>
  <si>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</si>
  <si>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</si>
  <si>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</si>
  <si>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</si>
  <si>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</si>
  <si>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</si>
  <si>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</si>
  <si>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</si>
  <si>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</si>
  <si>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</si>
  <si>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</si>
  <si>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</si>
  <si>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</si>
  <si>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</si>
  <si>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</si>
  <si>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</si>
  <si>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</si>
  <si>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</si>
  <si>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</si>
  <si>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</si>
  <si>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</si>
  <si>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</si>
  <si>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</si>
  <si>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</si>
  <si>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</si>
  <si>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</si>
  <si>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</si>
  <si>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</si>
  <si>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</si>
  <si>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</si>
  <si>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</si>
  <si>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</si>
  <si>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</si>
  <si>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</si>
  <si>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</si>
  <si>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</si>
  <si>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</si>
  <si>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</si>
  <si>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</si>
  <si>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</si>
  <si>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</si>
  <si>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</si>
  <si>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</si>
  <si>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</si>
  <si>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</si>
  <si>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</si>
  <si>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</si>
  <si>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</si>
  <si>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</si>
  <si>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</si>
  <si>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</si>
  <si>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</si>
  <si>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</si>
  <si>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</si>
  <si>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</si>
  <si>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</si>
  <si>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</si>
  <si>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</si>
  <si>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</si>
  <si>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</si>
  <si>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</si>
  <si>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</si>
  <si>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</si>
  <si>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</si>
  <si>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</si>
  <si>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</si>
  <si>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</si>
  <si>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</si>
  <si>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</si>
  <si>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</si>
  <si>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</si>
  <si>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</si>
  <si>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</si>
  <si>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>FAB100POL-03579</t>
  </si>
  <si>
    <t xml:space="preserve">VENTANA A </t>
  </si>
  <si>
    <t xml:space="preserve">VENTANA B </t>
  </si>
  <si>
    <t xml:space="preserve">VENTANA C </t>
  </si>
  <si>
    <t xml:space="preserve">MARK KRACKOWIZER </t>
  </si>
  <si>
    <t xml:space="preserve">CAMPO TORRES 21 ROSARITO </t>
  </si>
  <si>
    <t>001 858 518 2272</t>
  </si>
  <si>
    <t xml:space="preserve">BS 251127 D DRAPE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</si>
</sst>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8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85" zoomScaleNormal="85" workbookViewId="0">
      <selection activeCell="A15" sqref="A15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251127 D DRAPE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MARK KRACKOWIZER </v>
      </c>
      <c r="L4" s="340"/>
      <c r="N4" s="340" t="str">
        <f>'FILL QUOTE-CALCULATIONS'!O6</f>
        <v xml:space="preserve">CAMPO TORRES 21 ROSARITO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MARK KRACKOWIZER </v>
      </c>
      <c r="L7" s="340"/>
      <c r="N7" s="347" t="str">
        <f>'FILL QUOTE-CALCULATIONS'!O9</f>
        <v>001 858 518 2272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45988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HERRAJE</v>
      </c>
      <c r="Q10" s="908"/>
      <c r="R10" s="908"/>
      <c r="S10" s="908"/>
      <c r="T10" s="352" t="str">
        <f>'FILL QUOTE-CALCULATIONS'!T12</f>
        <v>CORTINAS</v>
      </c>
      <c r="U10" s="352" t="str">
        <f>'FILL QUOTE-CALCULATIONS'!W12</f>
        <v>HERRAJE</v>
      </c>
      <c r="V10" s="908" t="str">
        <f>'FILL QUOTE-CALCULATIONS'!AB12</f>
        <v>TOTALES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PLIEGUES-GANCHOS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>FAB100POL-03579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VENTANA A </v>
      </c>
      <c r="N12" s="362">
        <f>IF(OR(C12&lt;1,C12=""),"",'FILL QUOTE-CALCULATIONS'!N15)</f>
        <v>76.5</v>
      </c>
      <c r="O12" s="362">
        <f>IF(OR(C12&lt;1,C12=""),"",'FILL QUOTE-CALCULATIONS'!O15)</f>
        <v>56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HOTELERO - BASTON - P.P.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282.40000000000003</v>
      </c>
      <c r="U12" s="364">
        <f>IF(OR(C12&lt;1,C12=""),"",'FILL QUOTE-CALCULATIONS'!W15)</f>
        <v>68.150000000000006</v>
      </c>
      <c r="V12" s="365">
        <f>IF(OR(C12&lt;1,C12=""),"",IF('FILL QUOTE-CALCULATIONS'!$S$3="DOLLARS",'FILL QUOTE-CALCULATIONS'!AB15,'FILL QUOTE-CALCULATIONS'!AB15*'FILL QUOTE-CALCULATIONS'!$AC$4))</f>
        <v>350.55000000000007</v>
      </c>
      <c r="W12" s="366">
        <f>IF(OR(C12&lt;1,C12=""),"",IF('FILL QUOTE-CALCULATIONS'!$S$3="DOLLARS",'FILL QUOTE-CALCULATIONS'!AC15,'FILL QUOTE-CALCULATIONS'!AC15*'FILL QUOTE-CALCULATIONS'!$AC$4))</f>
        <v>350.55000000000007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PNL-DER.</v>
      </c>
      <c r="E13" s="360" t="str">
        <f>IF(OR(C13&lt;1,C13=""),"",IF('FILL QUOTE-CALCULATIONS'!$S$4="INGLES",'FILL QUOTE-CALCULATIONS'!E16,VLOOKUP('FILL QUOTE-CALCULATIONS'!E16,'DROP LIST'!$E$7:$F$15,2,0)))</f>
        <v>PLIEGUES-GANCHOS</v>
      </c>
      <c r="F13" s="360" t="str">
        <f>IF(OR(C13&lt;1,C13=""),"",IF('FILL QUOTE-CALCULATIONS'!$S$4="INGLES",'FILL QUOTE-CALCULATIONS'!F16,VLOOKUP('FILL QUOTE-CALCULATIONS'!F16,'DROP LIST'!$H$7:$I$19,2,0)))</f>
        <v>CORTINA 'BLACKOUT'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BO TEXTURIZADO</v>
      </c>
      <c r="J13" s="360" t="str">
        <f>'FILL QUOTE-CALCULATIONS'!J16</f>
        <v/>
      </c>
      <c r="K13" s="360" t="str">
        <f>IF(OR(C13&lt;1,C13=""),"",'FILL QUOTE-CALCULATIONS'!K16)</f>
        <v>FAB100POL-03579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VENTANA B </v>
      </c>
      <c r="N13" s="362">
        <f>IF(OR(C13&lt;1,C13=""),"",'FILL QUOTE-CALCULATIONS'!N16)</f>
        <v>90</v>
      </c>
      <c r="O13" s="362">
        <f>IF(OR(C13&lt;1,C13=""),"",'FILL QUOTE-CALCULATIONS'!O16)</f>
        <v>56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HOTELERO - BASTON - P.P.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319.75</v>
      </c>
      <c r="U13" s="364">
        <f>IF(OR(C13&lt;1,C13=""),"",'FILL QUOTE-CALCULATIONS'!W16)</f>
        <v>78.550000000000011</v>
      </c>
      <c r="V13" s="365">
        <f>IF(OR(C13&lt;1,C13=""),"",IF('FILL QUOTE-CALCULATIONS'!$S$3="DOLLARS",'FILL QUOTE-CALCULATIONS'!AB16,'FILL QUOTE-CALCULATIONS'!AB16*'FILL QUOTE-CALCULATIONS'!$AC$4))</f>
        <v>398.3</v>
      </c>
      <c r="W13" s="366">
        <f>IF(OR(C13&lt;1,C13=""),"",IF('FILL QUOTE-CALCULATIONS'!$S$3="DOLLARS",'FILL QUOTE-CALCULATIONS'!AC16,'FILL QUOTE-CALCULATIONS'!AC16*'FILL QUOTE-CALCULATIONS'!$AC$4))</f>
        <v>398.3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PLIEGUES-GANCHOS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>FAB100POL-03579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VENTANA C </v>
      </c>
      <c r="N14" s="362">
        <f>IF(OR(C14&lt;1,C14=""),"",'FILL QUOTE-CALCULATIONS'!N17)</f>
        <v>90</v>
      </c>
      <c r="O14" s="362">
        <f>IF(OR(C14&lt;1,C14=""),"",'FILL QUOTE-CALCULATIONS'!O17)</f>
        <v>56</v>
      </c>
      <c r="P14" s="360" t="str">
        <f>IF(OR(C14&lt;1,C14=""),"",IF('FILL QUOTE-CALCULATIONS'!$S$4="INGLES",'FILL QUOTE-CALCULATIONS'!P17, VLOOKUP('FILL QUOTE-CALCULATIONS'!P17,'DROP LIST'!$E$25:$F$27,2,0)))</f>
        <v>A LA PARED</v>
      </c>
      <c r="Q14" s="360" t="str">
        <f>IF(OR(C14&lt;1,C14=""),"",IF('FILL QUOTE-CALCULATIONS'!$S$4="INGLES",'FILL QUOTE-CALCULATIONS'!Q17,VLOOKUP('FILL QUOTE-CALCULATIONS'!Q17,'DROP LIST'!$H$25:$I$36,2,0)))</f>
        <v>HOTELERO - BASTON - P.P.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319.75</v>
      </c>
      <c r="U14" s="364">
        <f>IF(OR(C14&lt;1,C14=""),"",'FILL QUOTE-CALCULATIONS'!W17)</f>
        <v>78.550000000000011</v>
      </c>
      <c r="V14" s="365">
        <f>IF(OR(C14&lt;1,C14=""),"",IF('FILL QUOTE-CALCULATIONS'!$S$3="DOLLARS",'FILL QUOTE-CALCULATIONS'!AB17,'FILL QUOTE-CALCULATIONS'!AB17*'FILL QUOTE-CALCULATIONS'!$AC$4))</f>
        <v>398.3</v>
      </c>
      <c r="W14" s="366">
        <f>IF(OR(C14&lt;1,C14=""),"",IF('FILL QUOTE-CALCULATIONS'!$S$3="DOLLARS",'FILL QUOTE-CALCULATIONS'!AC17,'FILL QUOTE-CALCULATIONS'!AC17*'FILL QUOTE-CALCULATIONS'!$AC$4))</f>
        <v>398.3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1147.1500000000001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0.39999999999999997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458.86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688.29000000000008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09" t="str">
        <f>'FILL QUOTE-CALCULATIONS'!AB76</f>
        <v xml:space="preserve">RICARDO GARCIA 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282.40000000000003</v>
      </c>
      <c r="D19" s="109">
        <f>'FILL QUOTE-CALCULATIONS'!BF16</f>
        <v>319.75</v>
      </c>
      <c r="E19" s="109">
        <f>'FILL QUOTE-CALCULATIONS'!BF17</f>
        <v>319.75</v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3.5</v>
      </c>
      <c r="D24" s="73">
        <f>'FILL QUOTE-CALCULATIONS'!AN16</f>
        <v>4</v>
      </c>
      <c r="E24" s="73">
        <f>'FILL QUOTE-CALCULATIONS'!AN17</f>
        <v>4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564.80000000000007</v>
      </c>
      <c r="D29" s="119">
        <f>E19</f>
        <v>319.75</v>
      </c>
      <c r="E29" s="119">
        <f>E19</f>
        <v>319.75</v>
      </c>
      <c r="F29" s="119">
        <f>D19*2</f>
        <v>639.5</v>
      </c>
      <c r="G29" s="119" t="str">
        <f>G19</f>
        <v/>
      </c>
      <c r="H29" s="119">
        <f>E19*2</f>
        <v>639.5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3.5</v>
      </c>
      <c r="D24" s="73">
        <f>'FILL QUOTE-CALCULATIONS'!AN16</f>
        <v>4</v>
      </c>
      <c r="E24" s="73">
        <f>'FILL QUOTE-CALCULATIONS'!AN17</f>
        <v>4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10" sqref="AC10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755</v>
      </c>
      <c r="L6" s="214"/>
      <c r="O6" s="907" t="s">
        <v>756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755</v>
      </c>
      <c r="L9" s="214"/>
      <c r="O9" s="907" t="s">
        <v>757</v>
      </c>
      <c r="P9" s="214"/>
      <c r="Q9" s="214"/>
      <c r="R9" s="211"/>
      <c r="S9" s="213" t="s">
        <v>205</v>
      </c>
      <c r="T9" s="214"/>
      <c r="AC9" s="221">
        <v>45988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6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19" t="str">
        <f>IF(S4="INGLES","TOTALS","TOTALES")</f>
        <v>TOTALES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131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76.5</v>
      </c>
      <c r="O15" s="673">
        <v>56</v>
      </c>
      <c r="P15" s="197" t="s">
        <v>266</v>
      </c>
      <c r="Q15" s="178" t="s">
        <v>736</v>
      </c>
      <c r="R15" s="176" t="s">
        <v>750</v>
      </c>
      <c r="S15" s="179" t="s">
        <v>289</v>
      </c>
      <c r="T15" s="895">
        <f t="shared" ref="T15:T62" si="1">IF(E15="",0,IF(OR(C15&lt;1,C15=""),"",BF15))</f>
        <v>282.40000000000003</v>
      </c>
      <c r="U15" s="668">
        <v>0.4</v>
      </c>
      <c r="V15" s="669">
        <v>0.5</v>
      </c>
      <c r="W15" s="896">
        <f t="shared" ref="W15:W62" si="2">IF(OR(C15&lt;1,C15=""),"",BI15)</f>
        <v>68.150000000000006</v>
      </c>
      <c r="X15" s="694">
        <v>0.4</v>
      </c>
      <c r="Y15" s="690">
        <v>0.3</v>
      </c>
      <c r="Z15" s="667">
        <f>T15*IF($L$4="RESIDENCIAL",1-U15,1-V15)+W15*IF($L$4="RESIDENCIAL",1-X15,1-Y15)</f>
        <v>210.33000000000004</v>
      </c>
      <c r="AA15" s="659">
        <f>IF(E15="",0,IF(OR(C15&lt;1,C15=""),"",IF($S$3="PESOS",Z15*C15*$AC$4,Z15*C15)))</f>
        <v>210.33000000000004</v>
      </c>
      <c r="AB15" s="895">
        <f t="shared" ref="AB15:AB62" si="3">IF(E15="",0,IF(OR(C15&lt;1,C15=""),"",T15+W15))</f>
        <v>350.55000000000007</v>
      </c>
      <c r="AC15" s="896">
        <f>IF(E15="",0,IF(OR(C15&lt;1,C15=""),"",IF($S$3="PESOS",AB15*C15*$AC$4, AB15*C15)))</f>
        <v>350.55000000000007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3.8250000000000002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169.32499999999999</v>
      </c>
      <c r="AJ15" s="307">
        <f t="shared" ref="AJ15:AJ62" si="9">IF(C15="","",O15+AG15+AH15)</f>
        <v>73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3.1356481481481477</v>
      </c>
      <c r="AN15" s="309">
        <f t="shared" ref="AN15:AN62" si="13">IF(C15="","",IF(AL15="RAILROAD","N/A",IF(AK15&lt;60,CEILING(AM15,0.5),CEILING(AM15,0.25))))</f>
        <v>3.5</v>
      </c>
      <c r="AO15" s="309">
        <f t="shared" ref="AO15:AO62" si="14">IF(C15="","",IF(AL15="VERTICAL",AN15*AK15/54,CEILING(AI15/54,0.5)))</f>
        <v>3.5</v>
      </c>
      <c r="AP15" s="308">
        <f t="shared" ref="AP15:AP62" si="15">IF(C15="","",IF(AL15="VERTICAL",CEILING(AN15*AJ15/36/0.93,0.25),CEILING(AI15/36/0.93,0.25)))</f>
        <v>7.75</v>
      </c>
      <c r="AQ15" s="310">
        <f t="shared" ref="AQ15:AQ62" si="16">IF(C15="","",AP15*C15)</f>
        <v>7.75</v>
      </c>
      <c r="AR15" s="306">
        <f t="shared" ref="AR15:AR62" si="17">IF(C15="","",CEILING(AI15,1))</f>
        <v>170</v>
      </c>
      <c r="AS15" s="308">
        <f t="shared" ref="AS15:AS62" si="18">IF(C15="","",O15+(2*$AG$3)+2+1)</f>
        <v>67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6.5</v>
      </c>
      <c r="AW15" s="310">
        <f t="shared" ref="AW15:AW62" si="22">IF(C15="","",AV15*C15)</f>
        <v>6.5</v>
      </c>
      <c r="AX15" s="311">
        <f t="shared" ref="AX15:AX62" si="23">IF(C15="","",N15/12/(1-$AX$13))</f>
        <v>6.9293478260869561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216.22500000000002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66.150000000000006</v>
      </c>
      <c r="BF15" s="313">
        <f>IF(C15="","",CEILING(BA15+BC15+BE15,0.05))</f>
        <v>282.40000000000003</v>
      </c>
      <c r="BG15" s="316">
        <f>IF(C15="","",IF(Q15="N/A",0,VLOOKUP(Q15,'COST - SELL'!$B$80:$I$91,8,0)*'FILL QUOTE-CALCULATIONS'!AX15))</f>
        <v>58.899456521739125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68.150000000000006</v>
      </c>
      <c r="BJ15" s="316">
        <f t="shared" ref="BJ15:BJ62" si="29">IF(C15="","",BF15+BI15)</f>
        <v>350.55000000000007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272</v>
      </c>
      <c r="E16" s="179" t="s">
        <v>131</v>
      </c>
      <c r="F16" s="179" t="s">
        <v>136</v>
      </c>
      <c r="G16" s="671">
        <v>2</v>
      </c>
      <c r="H16" s="906" t="s">
        <v>187</v>
      </c>
      <c r="I16" s="906" t="s">
        <v>321</v>
      </c>
      <c r="J16" s="179" t="str">
        <f t="shared" si="0"/>
        <v/>
      </c>
      <c r="K16" s="672" t="s">
        <v>751</v>
      </c>
      <c r="L16" s="179" t="s">
        <v>122</v>
      </c>
      <c r="M16" s="672" t="s">
        <v>753</v>
      </c>
      <c r="N16" s="673">
        <v>90</v>
      </c>
      <c r="O16" s="673">
        <v>56</v>
      </c>
      <c r="P16" s="197" t="s">
        <v>266</v>
      </c>
      <c r="Q16" s="178" t="s">
        <v>736</v>
      </c>
      <c r="R16" s="176" t="s">
        <v>750</v>
      </c>
      <c r="S16" s="179" t="s">
        <v>289</v>
      </c>
      <c r="T16" s="895">
        <f t="shared" si="1"/>
        <v>319.75</v>
      </c>
      <c r="U16" s="668">
        <v>0.4</v>
      </c>
      <c r="V16" s="669">
        <v>0.5</v>
      </c>
      <c r="W16" s="896">
        <f t="shared" si="2"/>
        <v>78.550000000000011</v>
      </c>
      <c r="X16" s="694">
        <v>0.4</v>
      </c>
      <c r="Y16" s="690">
        <v>0.3</v>
      </c>
      <c r="Z16" s="667">
        <f>IF(E16="",0,T16*IF($L$4="RESIDENCIAL",1-U16,1-V16)+W16*IF($L$4="RESIDENCIAL",1-X16,1-Y16))</f>
        <v>238.98</v>
      </c>
      <c r="AA16" s="659">
        <f>IF(E16="",0,IF(OR(C16&lt;1,C16=""),"",IF($S$3="PESOS",Z16*C16*$AC$4, Z16*C16)))</f>
        <v>238.98</v>
      </c>
      <c r="AB16" s="895">
        <f t="shared" si="3"/>
        <v>398.3</v>
      </c>
      <c r="AC16" s="896">
        <f>IF(E16="",0,IF(OR(C16&lt;1,C16=""),"",IF($S$3="PESOS",AB16*C16*$AC$4, AB16*C16)))</f>
        <v>398.3</v>
      </c>
      <c r="AD16" s="181"/>
      <c r="AE16" s="883">
        <f t="shared" si="4"/>
        <v>12.5</v>
      </c>
      <c r="AF16" s="883">
        <f t="shared" si="5"/>
        <v>4.5</v>
      </c>
      <c r="AG16" s="883">
        <f t="shared" si="6"/>
        <v>9</v>
      </c>
      <c r="AH16" s="884">
        <f t="shared" si="7"/>
        <v>8</v>
      </c>
      <c r="AI16" s="317">
        <f t="shared" si="8"/>
        <v>197</v>
      </c>
      <c r="AJ16" s="304">
        <f t="shared" si="9"/>
        <v>73</v>
      </c>
      <c r="AK16" s="304">
        <f t="shared" si="10"/>
        <v>54</v>
      </c>
      <c r="AL16" s="318" t="str">
        <f t="shared" si="11"/>
        <v>VERTICAL</v>
      </c>
      <c r="AM16" s="318">
        <f t="shared" si="12"/>
        <v>3.6481481481481484</v>
      </c>
      <c r="AN16" s="319">
        <f t="shared" si="13"/>
        <v>4</v>
      </c>
      <c r="AO16" s="319">
        <f t="shared" si="14"/>
        <v>4</v>
      </c>
      <c r="AP16" s="318">
        <f t="shared" si="15"/>
        <v>8.75</v>
      </c>
      <c r="AQ16" s="320">
        <f t="shared" si="16"/>
        <v>8.75</v>
      </c>
      <c r="AR16" s="306">
        <f t="shared" si="17"/>
        <v>197</v>
      </c>
      <c r="AS16" s="308">
        <f t="shared" si="18"/>
        <v>67</v>
      </c>
      <c r="AT16" s="308">
        <f t="shared" si="19"/>
        <v>54</v>
      </c>
      <c r="AU16" s="308" t="str">
        <f t="shared" si="20"/>
        <v>VERTICAL</v>
      </c>
      <c r="AV16" s="308">
        <f t="shared" si="21"/>
        <v>7.5</v>
      </c>
      <c r="AW16" s="310">
        <f t="shared" si="22"/>
        <v>7.5</v>
      </c>
      <c r="AX16" s="321">
        <f t="shared" si="23"/>
        <v>8.1521739130434785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27.900000000000002</v>
      </c>
      <c r="BA16" s="313">
        <f t="shared" si="25"/>
        <v>244.12500000000003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75.600000000000009</v>
      </c>
      <c r="BF16" s="313">
        <f t="shared" ref="BF16:BF62" si="30">IF(C16="","",CEILING(BA16+BC16+BE16,0.05))</f>
        <v>319.75</v>
      </c>
      <c r="BG16" s="316">
        <f>IF(C16="","",IF(Q16="N/A",0,VLOOKUP(Q16,'COST - SELL'!$B$80:$I$91,8,0)*'FILL QUOTE-CALCULATIONS'!AX16))</f>
        <v>69.293478260869563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78.550000000000011</v>
      </c>
      <c r="BJ16" s="316">
        <f t="shared" si="29"/>
        <v>398.3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136</v>
      </c>
      <c r="G17" s="671">
        <v>2</v>
      </c>
      <c r="H17" s="906" t="s">
        <v>187</v>
      </c>
      <c r="I17" s="906" t="s">
        <v>321</v>
      </c>
      <c r="J17" s="179" t="str">
        <f t="shared" si="0"/>
        <v/>
      </c>
      <c r="K17" s="672" t="s">
        <v>751</v>
      </c>
      <c r="L17" s="179" t="s">
        <v>122</v>
      </c>
      <c r="M17" s="672" t="s">
        <v>754</v>
      </c>
      <c r="N17" s="673">
        <v>90</v>
      </c>
      <c r="O17" s="673">
        <v>56</v>
      </c>
      <c r="P17" s="197" t="s">
        <v>266</v>
      </c>
      <c r="Q17" s="178" t="s">
        <v>736</v>
      </c>
      <c r="R17" s="176" t="s">
        <v>750</v>
      </c>
      <c r="S17" s="179" t="s">
        <v>289</v>
      </c>
      <c r="T17" s="895">
        <f t="shared" si="1"/>
        <v>319.75</v>
      </c>
      <c r="U17" s="668">
        <v>0.4</v>
      </c>
      <c r="V17" s="669">
        <v>0.5</v>
      </c>
      <c r="W17" s="896">
        <f t="shared" si="2"/>
        <v>78.550000000000011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238.98</v>
      </c>
      <c r="AA17" s="659">
        <f t="shared" ref="AA17:AA62" si="33">IF(E17="",0,IF(OR(C17&lt;1,C17=""),"",IF($S$3="PESOS",Z17*C17*$AC$4, Z17*C17)))</f>
        <v>238.98</v>
      </c>
      <c r="AB17" s="895">
        <f t="shared" si="3"/>
        <v>398.3</v>
      </c>
      <c r="AC17" s="896">
        <f t="shared" ref="AC17:AC62" si="34">IF(E17="",0,IF(OR(C17&lt;1,C17=""),"",IF($S$3="PESOS",AB17*C17*$AC$4, AB17*C17)))</f>
        <v>398.3</v>
      </c>
      <c r="AD17" s="181"/>
      <c r="AE17" s="883">
        <f t="shared" si="4"/>
        <v>12.5</v>
      </c>
      <c r="AF17" s="883">
        <f t="shared" si="5"/>
        <v>4.5</v>
      </c>
      <c r="AG17" s="883">
        <f t="shared" si="6"/>
        <v>9</v>
      </c>
      <c r="AH17" s="884">
        <f t="shared" si="7"/>
        <v>8</v>
      </c>
      <c r="AI17" s="317">
        <f t="shared" si="8"/>
        <v>197</v>
      </c>
      <c r="AJ17" s="304">
        <f t="shared" si="9"/>
        <v>73</v>
      </c>
      <c r="AK17" s="304">
        <f t="shared" si="10"/>
        <v>54</v>
      </c>
      <c r="AL17" s="318" t="str">
        <f t="shared" si="11"/>
        <v>VERTICAL</v>
      </c>
      <c r="AM17" s="318">
        <f t="shared" si="12"/>
        <v>3.6481481481481484</v>
      </c>
      <c r="AN17" s="319">
        <f t="shared" si="13"/>
        <v>4</v>
      </c>
      <c r="AO17" s="319">
        <f t="shared" si="14"/>
        <v>4</v>
      </c>
      <c r="AP17" s="318">
        <f t="shared" si="15"/>
        <v>8.75</v>
      </c>
      <c r="AQ17" s="320">
        <f t="shared" si="16"/>
        <v>8.75</v>
      </c>
      <c r="AR17" s="306">
        <f t="shared" si="17"/>
        <v>197</v>
      </c>
      <c r="AS17" s="308">
        <f t="shared" si="18"/>
        <v>67</v>
      </c>
      <c r="AT17" s="308">
        <f t="shared" si="19"/>
        <v>54</v>
      </c>
      <c r="AU17" s="308" t="str">
        <f t="shared" si="20"/>
        <v>VERTICAL</v>
      </c>
      <c r="AV17" s="308">
        <f t="shared" si="21"/>
        <v>7.5</v>
      </c>
      <c r="AW17" s="310">
        <f t="shared" si="22"/>
        <v>7.5</v>
      </c>
      <c r="AX17" s="321">
        <f t="shared" si="23"/>
        <v>8.1521739130434785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244.12500000000003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75.600000000000009</v>
      </c>
      <c r="BF17" s="313">
        <f t="shared" si="30"/>
        <v>319.75</v>
      </c>
      <c r="BG17" s="316">
        <f>IF(C17="","",IF(Q17="N/A",0,VLOOKUP(Q17,'COST - SELL'!$B$80:$I$91,8,0)*'FILL QUOTE-CALCULATIONS'!AX17))</f>
        <v>69.293478260869563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8"/>
        <v>78.550000000000011</v>
      </c>
      <c r="BJ17" s="316">
        <f t="shared" si="29"/>
        <v>398.3</v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>
        <v>2</v>
      </c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 t="s">
        <v>122</v>
      </c>
      <c r="Q18" s="178"/>
      <c r="R18" s="176"/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3" t="str">
        <f>IF('FILL QUOTE-CALCULATIONS'!S4="INGLES","DESCRIPTION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1147.1500000000001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0.39999999999999997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458.86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688.29000000000008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7" t="s">
        <v>172</v>
      </c>
      <c r="G7" s="938"/>
      <c r="H7" s="939"/>
      <c r="J7" s="940" t="s">
        <v>329</v>
      </c>
      <c r="L7" s="937" t="s">
        <v>172</v>
      </c>
      <c r="M7" s="938"/>
      <c r="N7" s="939"/>
    </row>
    <row r="8" spans="2:16" ht="15" hidden="1" customHeight="1" x14ac:dyDescent="0.25">
      <c r="B8" s="949" t="s">
        <v>328</v>
      </c>
      <c r="C8" s="95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1"/>
      <c r="C9" s="952"/>
      <c r="D9" s="437">
        <v>0.4</v>
      </c>
      <c r="F9" s="438" t="s">
        <v>77</v>
      </c>
      <c r="G9" s="438" t="s">
        <v>174</v>
      </c>
      <c r="H9" s="438" t="s">
        <v>175</v>
      </c>
      <c r="J9" s="94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7" t="s">
        <v>172</v>
      </c>
      <c r="F22" s="938"/>
      <c r="G22" s="939"/>
      <c r="O22" s="937" t="s">
        <v>172</v>
      </c>
      <c r="P22" s="938"/>
      <c r="Q22" s="939"/>
    </row>
    <row r="23" spans="2:17" hidden="1" x14ac:dyDescent="0.25">
      <c r="B23" s="943" t="s">
        <v>181</v>
      </c>
      <c r="C23" s="944"/>
      <c r="D23" s="94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3" t="s">
        <v>185</v>
      </c>
      <c r="K23" s="944"/>
      <c r="L23" s="944"/>
      <c r="M23" s="944"/>
      <c r="N23" s="94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6"/>
      <c r="C24" s="947"/>
      <c r="D24" s="948"/>
      <c r="E24" s="438" t="s">
        <v>77</v>
      </c>
      <c r="F24" s="438" t="s">
        <v>174</v>
      </c>
      <c r="G24" s="438" t="s">
        <v>175</v>
      </c>
      <c r="J24" s="946"/>
      <c r="K24" s="947"/>
      <c r="L24" s="947"/>
      <c r="M24" s="947"/>
      <c r="N24" s="94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7" t="s">
        <v>172</v>
      </c>
      <c r="H32" s="938"/>
      <c r="I32" s="939"/>
    </row>
    <row r="33" spans="1:12" hidden="1" x14ac:dyDescent="0.25">
      <c r="B33" s="953" t="s">
        <v>662</v>
      </c>
      <c r="C33" s="954"/>
      <c r="D33" s="954"/>
      <c r="E33" s="954"/>
      <c r="F33" s="95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6"/>
      <c r="C34" s="957"/>
      <c r="D34" s="957"/>
      <c r="E34" s="957"/>
      <c r="F34" s="95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7" t="s">
        <v>172</v>
      </c>
      <c r="H56" s="938"/>
      <c r="I56" s="93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4" t="s">
        <v>172</v>
      </c>
      <c r="H67" s="935"/>
      <c r="I67" s="935"/>
      <c r="J67" s="935"/>
      <c r="K67" s="934" t="s">
        <v>172</v>
      </c>
      <c r="L67" s="935"/>
      <c r="M67" s="935"/>
      <c r="N67" s="936"/>
      <c r="O67" s="457"/>
      <c r="P67" s="934" t="s">
        <v>172</v>
      </c>
      <c r="Q67" s="935"/>
      <c r="R67" s="935"/>
      <c r="S67" s="936"/>
    </row>
    <row r="68" spans="2:19" ht="15.75" hidden="1" x14ac:dyDescent="0.25">
      <c r="C68" s="934" t="s">
        <v>196</v>
      </c>
      <c r="D68" s="935"/>
      <c r="E68" s="935"/>
      <c r="F68" s="936"/>
      <c r="G68" s="962">
        <f>'MARK UP''s'!D12</f>
        <v>0.5</v>
      </c>
      <c r="H68" s="963"/>
      <c r="I68" s="963"/>
      <c r="J68" s="963"/>
      <c r="K68" s="962">
        <f>'MARK UP''s'!E12</f>
        <v>0.4</v>
      </c>
      <c r="L68" s="963"/>
      <c r="M68" s="963"/>
      <c r="N68" s="964"/>
      <c r="O68" s="458"/>
      <c r="P68" s="962">
        <f>'MARK UP''s'!F12</f>
        <v>0.3</v>
      </c>
      <c r="Q68" s="963"/>
      <c r="R68" s="963"/>
      <c r="S68" s="964"/>
    </row>
    <row r="69" spans="2:19" ht="16.5" hidden="1" thickBot="1" x14ac:dyDescent="0.3">
      <c r="C69" s="959" t="s">
        <v>77</v>
      </c>
      <c r="D69" s="960"/>
      <c r="E69" s="960"/>
      <c r="F69" s="961"/>
      <c r="G69" s="959" t="s">
        <v>77</v>
      </c>
      <c r="H69" s="960"/>
      <c r="I69" s="960"/>
      <c r="J69" s="960"/>
      <c r="K69" s="959" t="s">
        <v>174</v>
      </c>
      <c r="L69" s="960"/>
      <c r="M69" s="960"/>
      <c r="N69" s="961"/>
      <c r="O69" s="459"/>
      <c r="P69" s="959" t="s">
        <v>175</v>
      </c>
      <c r="Q69" s="960"/>
      <c r="R69" s="960"/>
      <c r="S69" s="96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5" t="s">
        <v>172</v>
      </c>
      <c r="E78" s="966"/>
      <c r="F78" s="96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7" t="s">
        <v>708</v>
      </c>
      <c r="C98" s="928"/>
      <c r="D98" s="931" t="s">
        <v>339</v>
      </c>
      <c r="E98" s="932"/>
      <c r="F98" s="932"/>
      <c r="G98" s="932"/>
      <c r="H98" s="932"/>
      <c r="I98" s="933"/>
    </row>
    <row r="99" spans="2:9" ht="15.75" hidden="1" thickBot="1" x14ac:dyDescent="0.3">
      <c r="B99" s="929"/>
      <c r="C99" s="930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2025-11-27T19:35:36Z</dcterms:modified>
</cp:coreProperties>
</file>