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CHRIS CRAW ADRIAN GONZALEZ\"/>
    </mc:Choice>
  </mc:AlternateContent>
  <xr:revisionPtr revIDLastSave="0" documentId="13_ncr:1_{69478459-BA0C-4226-A52A-B30F040B743C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7" i="59" l="1"/>
  <c r="AA13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19" i="51" l="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R25" i="38" s="1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19" i="32" l="1"/>
  <c r="AN19" i="34"/>
  <c r="AN31" i="37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D25" i="38" s="1"/>
  <c r="U25" i="38" s="1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D24" i="38" s="1"/>
  <c r="AN18" i="37"/>
  <c r="AA17" i="42"/>
  <c r="AN17" i="33"/>
  <c r="AN17" i="36"/>
  <c r="AN17" i="34"/>
  <c r="AD23" i="38" s="1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AN16" i="35"/>
  <c r="AN16" i="34"/>
  <c r="AD22" i="38" s="1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D21" i="38" s="1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D20" i="38" s="1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U22" i="38" l="1"/>
  <c r="AD19" i="38"/>
  <c r="AD15" i="38"/>
  <c r="U15" i="38" s="1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24" i="38" l="1"/>
  <c r="S24" i="38" s="1"/>
  <c r="T24" i="38" s="1"/>
  <c r="W37" i="38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<sst xmlns="http://schemas.openxmlformats.org/spreadsheetml/2006/main" count="3408" uniqueCount="484">
  <si>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</si>
  <si>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</si>
  <si>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</si>
  <si>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</si>
  <si>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</si>
  <si>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</si>
  <si>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</si>
  <si>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</si>
  <si>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</si>
  <si>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</si>
  <si>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</si>
  <si>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</si>
  <si>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</si>
  <si>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</si>
  <si>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</si>
  <si>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</si>
  <si>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</si>
  <si>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</si>
  <si>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</si>
  <si>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</si>
  <si>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</si>
  <si>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</si>
  <si>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</si>
  <si>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</si>
  <si>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</si>
  <si>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</si>
  <si>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</si>
  <si>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</si>
  <si>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</si>
  <si>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</si>
  <si>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</si>
  <si>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</si>
  <si>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</si>
  <si>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</si>
  <si>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</si>
  <si>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</si>
  <si>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</si>
  <si>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</si>
  <si>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</si>
  <si>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</si>
  <si>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</si>
  <si>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</si>
  <si>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</si>
  <si>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</si>
  <si>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</si>
  <si>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</si>
  <si>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</si>
  <si>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</si>
  <si>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</si>
  <si>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</si>
  <si>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</si>
  <si>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</si>
  <si>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</si>
  <si>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</si>
  <si>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</si>
  <si>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</si>
  <si>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</si>
  <si>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</si>
  <si>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</si>
  <si>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</si>
  <si>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</si>
  <si>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</si>
  <si>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</si>
  <si>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</si>
  <si>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</si>
  <si>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</si>
  <si>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</si>
  <si>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</si>
  <si>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</si>
  <si>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</si>
  <si>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</si>
  <si>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</si>
  <si>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</si>
  <si>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</si>
  <si>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</si>
  <si>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</si>
  <si>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</si>
  <si>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</si>
  <si>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</si>
  <si>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</si>
  <si>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</si>
  <si>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</si>
  <si>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</si>
  <si>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</si>
  <si>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</si>
  <si>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</si>
  <si>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</si>
  <si>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</si>
  <si>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</si>
  <si>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</si>
  <si>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</si>
  <si>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</si>
  <si>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</si>
  <si>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</si>
  <si>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</si>
  <si>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</si>
  <si>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</si>
  <si>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</si>
  <si>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</si>
  <si>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</si>
  <si>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</si>
  <si>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</si>
  <si>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</si>
  <si>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</si>
  <si>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</si>
  <si>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</si>
  <si>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</si>
  <si>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</si>
  <si>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</si>
  <si>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</si>
  <si>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</si>
  <si>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</si>
  <si>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</si>
  <si>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</si>
  <si>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</si>
  <si>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</si>
  <si>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</si>
  <si>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</si>
  <si>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</si>
  <si>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</si>
  <si>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</si>
  <si>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</si>
  <si>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</si>
  <si>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</si>
  <si>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</si>
  <si>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</si>
  <si>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</si>
  <si>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</si>
  <si>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</si>
  <si>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</si>
  <si>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</si>
  <si>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</si>
  <si>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</si>
  <si>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</si>
  <si>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</si>
  <si>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</si>
  <si>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</si>
  <si>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</si>
  <si>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</si>
  <si>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</si>
  <si>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</si>
  <si>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</si>
  <si>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</si>
  <si>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</si>
  <si>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</si>
  <si>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</si>
  <si>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</si>
  <si>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</si>
  <si>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</si>
  <si>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</si>
  <si>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</si>
  <si>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</si>
  <si>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</si>
  <si>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</si>
  <si>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</si>
  <si>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</si>
  <si>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</si>
  <si>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</si>
  <si>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</si>
  <si>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</si>
  <si>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</si>
  <si>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</si>
  <si>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</si>
  <si>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</si>
  <si>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</si>
  <si>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</si>
  <si>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</si>
  <si>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</si>
  <si>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</si>
  <si>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</si>
  <si>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</si>
  <si>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</si>
  <si>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</si>
  <si>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</si>
  <si>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</si>
  <si>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</si>
  <si>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</si>
  <si>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</si>
  <si>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</si>
  <si>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</si>
  <si>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</si>
  <si>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</si>
  <si>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</si>
  <si>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</si>
  <si>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</si>
  <si>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</si>
  <si>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</si>
  <si>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</si>
  <si>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</si>
  <si>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</si>
  <si>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</si>
  <si>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</si>
  <si>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</si>
  <si>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</si>
  <si>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</si>
  <si>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</si>
  <si>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</si>
  <si>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</si>
  <si>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</si>
  <si>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</si>
  <si>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</si>
  <si>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</si>
  <si>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</si>
  <si>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</si>
  <si>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</si>
  <si>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</si>
  <si>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</si>
  <si>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</si>
  <si>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</si>
  <si>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</si>
  <si>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</si>
  <si>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</si>
  <si>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</si>
  <si>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</si>
  <si>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</si>
  <si>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</si>
  <si>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</si>
  <si>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</si>
  <si>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</si>
  <si>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</si>
  <si>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</si>
  <si>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</si>
  <si>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</si>
  <si>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</si>
  <si>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</si>
  <si>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</si>
  <si>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</si>
  <si>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</si>
  <si>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</si>
  <si>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</si>
  <si>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</si>
  <si>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</si>
  <si>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</si>
  <si>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</si>
  <si>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</si>
  <si>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</si>
  <si>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</si>
  <si>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</si>
  <si>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</si>
  <si>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</si>
  <si>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</si>
  <si>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</si>
  <si>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</si>
  <si>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</si>
  <si>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</si>
  <si>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</si>
  <si>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</si>
  <si>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</si>
  <si>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</si>
  <si>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</si>
  <si>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</si>
  <si>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</si>
  <si>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</si>
  <si>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</si>
  <si>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</si>
  <si>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</si>
  <si>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</si>
  <si>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</si>
  <si>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</si>
  <si>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</si>
  <si>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</si>
  <si>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</si>
  <si>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</si>
  <si>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</si>
  <si>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</si>
  <si>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</si>
  <si>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</si>
  <si>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</si>
  <si>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</si>
  <si>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</si>
  <si>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</si>
  <si>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</si>
  <si>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</si>
  <si>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</si>
  <si>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</si>
  <si>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</si>
  <si>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</si>
  <si>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</si>
  <si>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</si>
  <si>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</si>
  <si>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</si>
  <si>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</si>
  <si>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</si>
  <si>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</si>
  <si>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</si>
  <si>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</si>
  <si>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</si>
  <si>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</si>
  <si>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</si>
  <si>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</si>
  <si>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</si>
  <si>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</si>
  <si>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</si>
  <si>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</si>
  <si>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</si>
  <si>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</si>
  <si>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</si>
  <si>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</si>
  <si>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</si>
  <si>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</si>
  <si>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</si>
  <si>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</si>
  <si>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</si>
  <si>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</si>
  <si>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</si>
  <si>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</si>
  <si>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</si>
  <si>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</si>
  <si>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</si>
  <si>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</si>
  <si>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</si>
  <si>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</si>
  <si>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</si>
  <si>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</si>
  <si>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</si>
  <si>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</si>
  <si>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</si>
  <si>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</si>
  <si>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</si>
  <si>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</si>
  <si>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</si>
  <si>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</si>
  <si>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</si>
  <si>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</si>
  <si>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</si>
  <si>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</si>
  <si>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</si>
  <si>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</si>
  <si>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</si>
  <si>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</si>
  <si>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</si>
  <si>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</si>
  <si>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</si>
  <si>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</si>
  <si>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</si>
  <si>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</si>
  <si>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</si>
  <si>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</si>
  <si>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</si>
  <si>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</si>
  <si>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</si>
  <si>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</si>
  <si>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</si>
  <si>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</si>
  <si>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</si>
  <si>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</si>
  <si>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</si>
  <si>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</si>
  <si>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</si>
  <si>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</si>
  <si>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</si>
  <si>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</si>
  <si>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</si>
  <si>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</si>
  <si>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</si>
  <si>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</si>
  <si>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</si>
  <si>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</si>
  <si>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</si>
  <si>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</si>
  <si>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</si>
  <si>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</si>
  <si>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</si>
  <si>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</si>
  <si>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</si>
  <si>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</si>
  <si>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</si>
  <si>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</si>
  <si>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</si>
  <si>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</si>
  <si>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</si>
  <si>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</si>
  <si>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</si>
  <si>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</si>
  <si>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</si>
  <si>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</si>
  <si>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</si>
  <si>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</si>
  <si>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</si>
  <si>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</si>
  <si>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</si>
  <si>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</si>
  <si>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</si>
  <si>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</si>
  <si>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</si>
  <si>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</si>
  <si>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</si>
  <si>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</si>
  <si>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</si>
  <si>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</si>
  <si>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</si>
  <si>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</si>
  <si>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</si>
  <si>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</si>
  <si>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</si>
  <si>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</si>
  <si>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</si>
  <si>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</si>
  <si>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</si>
  <si>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</si>
  <si>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</si>
  <si>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</si>
  <si>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</si>
  <si>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</si>
  <si>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</si>
  <si>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</si>
  <si>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</si>
  <si>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</si>
  <si>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</si>
  <si>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</si>
  <si>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</si>
  <si>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</si>
  <si>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</si>
  <si>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</si>
  <si>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</si>
  <si>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</si>
  <si>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</si>
  <si>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</si>
  <si>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</si>
  <si>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</si>
  <si>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</si>
  <si>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</si>
  <si>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</si>
  <si>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</si>
  <si>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</si>
  <si>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</si>
  <si>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</si>
  <si>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</si>
  <si>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</si>
  <si>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</si>
  <si>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</si>
  <si>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</si>
  <si>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</si>
  <si>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</si>
  <si>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</si>
  <si>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</si>
  <si>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</si>
  <si>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</si>
  <si>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</si>
  <si>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</si>
  <si>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</si>
  <si>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</si>
  <si>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</si>
  <si>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</si>
  <si>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</si>
  <si>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</si>
  <si>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</si>
  <si>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</si>
  <si>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</si>
  <si>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</si>
  <si>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</si>
  <si>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</si>
  <si>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</si>
  <si>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</si>
  <si>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</si>
  <si>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</si>
  <si>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</si>
  <si>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</si>
  <si>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</si>
  <si>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</si>
  <si>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</si>
  <si>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</si>
  <si>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</si>
  <si>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</si>
  <si>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</si>
  <si>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BO OHIO STONE </t>
  </si>
  <si>
    <t xml:space="preserve">SCREEN MILAN COFFE </t>
  </si>
  <si>
    <t xml:space="preserve">LIVING ROOM SLD SIDE A </t>
  </si>
  <si>
    <t xml:space="preserve">LIVING ROOM SLD SIDE B  </t>
  </si>
  <si>
    <t xml:space="preserve">LIVING ROOM SLD SIDE C </t>
  </si>
  <si>
    <t xml:space="preserve">MAIN BR SLD SIDE A </t>
  </si>
  <si>
    <t xml:space="preserve">MAIN BR SLD SIDE B </t>
  </si>
  <si>
    <t xml:space="preserve">MAIN BR SLD SIDE C </t>
  </si>
  <si>
    <t xml:space="preserve">BO SIDNEY IVORY </t>
  </si>
  <si>
    <t xml:space="preserve">GUEST BEROOM SLD </t>
  </si>
  <si>
    <t xml:space="preserve">MOTORS CONNECTED TO A/C </t>
  </si>
  <si>
    <t xml:space="preserve">CLUB MARENA VILLA 11 CHRIS CRAW </t>
  </si>
  <si>
    <t xml:space="preserve">ADRIAN GONZALEZ </t>
  </si>
  <si>
    <t xml:space="preserve">ROSARITO </t>
  </si>
  <si>
    <t xml:space="preserve">CLUB MARENA </t>
  </si>
  <si>
    <t xml:space="preserve">VILLA </t>
  </si>
  <si>
    <t xml:space="preserve"> 661 107 4653</t>
  </si>
  <si>
    <t>*</t>
  </si>
  <si>
    <t xml:space="preserve">BS 251103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</si>
</sst>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45964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251103 A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CLUB MARENA VILLA 11 CHRIS CRAW </v>
      </c>
      <c r="J7" s="365" t="str">
        <f>IF('CALCULATOR SHEET'!H8&lt;&gt;"","Calle: "&amp;'CALCULATOR SHEET'!H10&amp;", Numero: "&amp;'CALCULATOR SHEET'!H11,"")</f>
        <v>Calle: VILLA , Numero: 11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CLUB MARENA  - ROSARITO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ADRIAN GONZALEZ </v>
      </c>
      <c r="J10" s="365" t="str">
        <f>IF('CALCULATOR SHEET'!K11&lt;&gt;"",'CALCULATOR SHEET'!$K$11&amp;" Cell: "&amp;'CALCULATOR SHEET'!K10,"")</f>
        <v>* Cell:  661 107 4653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6</v>
      </c>
      <c r="G14" s="170" t="str">
        <f>IF('CALCULATOR SHEET'!G13&lt;&gt;"",'CALCULATOR SHEET'!G13,"")</f>
        <v xml:space="preserve">BO OHIO STONE </v>
      </c>
      <c r="H14" s="170" t="str">
        <f>IF('CALCULATOR SHEET'!H13&lt;&gt;"",'CALCULATOR SHEET'!H13,"")</f>
        <v xml:space="preserve">LIVING ROOM SLD SIDE A </v>
      </c>
      <c r="I14" s="171">
        <f>IF(E14&lt;&gt;"",'CALCULATOR SHEET'!I13,"")</f>
        <v>61.125</v>
      </c>
      <c r="J14" s="171">
        <f>IF(I14&lt;&gt;"",'CALCULATOR SHEET'!J13,"")</f>
        <v>105.5</v>
      </c>
      <c r="K14" s="169" t="str">
        <f>IF('CALCULATOR SHEET'!K13&lt;&gt;"",IF('CALCULATOR SHEET'!$W$2=1,'CALCULATOR SHEET'!K13,VLOOKUP('CALCULATOR SHEET'!K13,GENERAL!$H$6:$I$11,2,0)),"")</f>
        <v>REMOTE CONTROL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300</v>
      </c>
      <c r="O14" s="164"/>
      <c r="P14" s="167">
        <f>IF(D14&lt;&gt;"",N14*D14,"")</f>
        <v>300</v>
      </c>
      <c r="Q14" s="194"/>
      <c r="R14" s="64" t="s">
        <v>200</v>
      </c>
      <c r="T14" s="160">
        <f>IF('CALCULATOR SHEET'!$T$58="PESOS",'CALCULATOR SHEET'!S13*'CALCULATOR SHEET'!$W$6,'CALCULATOR SHEET'!S13)</f>
        <v>300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6</v>
      </c>
      <c r="G15" s="175" t="str">
        <f>IF('CALCULATOR SHEET'!G14&lt;&gt;"",'CALCULATOR SHEET'!G14,"")</f>
        <v xml:space="preserve">SCREEN MILAN COFFE </v>
      </c>
      <c r="H15" s="175" t="str">
        <f>IF('CALCULATOR SHEET'!H14&lt;&gt;"",'CALCULATOR SHEET'!H14,"")</f>
        <v xml:space="preserve">LIVING ROOM SLD SIDE A </v>
      </c>
      <c r="I15" s="176">
        <f>IF(E15&lt;&gt;"",'CALCULATOR SHEET'!I14,"")</f>
        <v>61.125</v>
      </c>
      <c r="J15" s="176">
        <f>IF(I15&lt;&gt;"",'CALCULATOR SHEET'!J14,"")</f>
        <v>105.5</v>
      </c>
      <c r="K15" s="169" t="str">
        <f>IF('CALCULATOR SHEET'!K14&lt;&gt;"",IF('CALCULATOR SHEET'!$W$2=1,'CALCULATOR SHEET'!K14,VLOOKUP('CALCULATOR SHEET'!K14,GENERAL!$H$6:$I$11,2,0)),"")</f>
        <v>REMOTE CONTROL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300</v>
      </c>
      <c r="O15" s="165"/>
      <c r="P15" s="166">
        <f>IF(D15&lt;&gt;"",N15*D15,"")</f>
        <v>300</v>
      </c>
      <c r="Q15" s="195"/>
      <c r="R15" s="64" t="s">
        <v>200</v>
      </c>
      <c r="T15" s="160">
        <f>IF('CALCULATOR SHEET'!$T$58="PESOS",'CALCULATOR SHEET'!S14*'CALCULATOR SHEET'!$W$6,'CALCULATOR SHEET'!S14)</f>
        <v>300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6</v>
      </c>
      <c r="G16" s="175" t="str">
        <f>IF('CALCULATOR SHEET'!G15&lt;&gt;"",'CALCULATOR SHEET'!G15,"")</f>
        <v xml:space="preserve">BO OHIO STONE </v>
      </c>
      <c r="H16" s="175" t="str">
        <f>IF('CALCULATOR SHEET'!H15&lt;&gt;"",'CALCULATOR SHEET'!H15,"")</f>
        <v xml:space="preserve">LIVING ROOM SLD SIDE B  </v>
      </c>
      <c r="I16" s="176">
        <f>IF(E16&lt;&gt;"",'CALCULATOR SHEET'!I15,"")</f>
        <v>60</v>
      </c>
      <c r="J16" s="176">
        <f>IF(I16&lt;&gt;"",'CALCULATOR SHEET'!J15,"")</f>
        <v>105.5</v>
      </c>
      <c r="K16" s="169" t="str">
        <f>IF('CALCULATOR SHEET'!K15&lt;&gt;"",IF('CALCULATOR SHEET'!$W$2=1,'CALCULATOR SHEET'!K15,VLOOKUP('CALCULATOR SHEET'!K15,GENERAL!$H$6:$I$11,2,0)),"")</f>
        <v>REMOTE CONTROL</v>
      </c>
      <c r="L16" s="174" t="str">
        <f>IF('CALCULATOR SHEET'!M15&lt;&gt;"",'CALCULATOR SHEET'!M15,"")</f>
        <v>R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278</v>
      </c>
      <c r="O16" s="165"/>
      <c r="P16" s="166">
        <f t="shared" ref="P16:P53" si="1">IF(D16&lt;&gt;"",N16*D16,"")</f>
        <v>278</v>
      </c>
      <c r="Q16" s="195"/>
      <c r="R16" s="64" t="s">
        <v>200</v>
      </c>
      <c r="T16" s="160">
        <f>IF('CALCULATOR SHEET'!$T$58="PESOS",'CALCULATOR SHEET'!S15*'CALCULATOR SHEET'!$W$6,'CALCULATOR SHEET'!S15)</f>
        <v>278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6</v>
      </c>
      <c r="G17" s="175" t="str">
        <f>IF('CALCULATOR SHEET'!G16&lt;&gt;"",'CALCULATOR SHEET'!G16,"")</f>
        <v xml:space="preserve">SCREEN MILAN COFFE </v>
      </c>
      <c r="H17" s="175" t="str">
        <f>IF('CALCULATOR SHEET'!H16&lt;&gt;"",'CALCULATOR SHEET'!H16,"")</f>
        <v xml:space="preserve">LIVING ROOM SLD SIDE B  </v>
      </c>
      <c r="I17" s="176">
        <f>IF(E17&lt;&gt;"",'CALCULATOR SHEET'!I16,"")</f>
        <v>60</v>
      </c>
      <c r="J17" s="176">
        <f>IF(I17&lt;&gt;"",'CALCULATOR SHEET'!J16,"")</f>
        <v>105.5</v>
      </c>
      <c r="K17" s="169" t="str">
        <f>IF('CALCULATOR SHEET'!K16&lt;&gt;"",IF('CALCULATOR SHEET'!$W$2=1,'CALCULATOR SHEET'!K16,VLOOKUP('CALCULATOR SHEET'!K16,GENERAL!$H$6:$I$11,2,0)),"")</f>
        <v>REMOTE CONTROL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278</v>
      </c>
      <c r="O17" s="165"/>
      <c r="P17" s="166">
        <f t="shared" si="1"/>
        <v>278</v>
      </c>
      <c r="Q17" s="195"/>
      <c r="R17" s="64" t="s">
        <v>200</v>
      </c>
      <c r="T17" s="160">
        <f>IF('CALCULATOR SHEET'!$T$58="PESOS",'CALCULATOR SHEET'!S16*'CALCULATOR SHEET'!$W$6,'CALCULATOR SHEET'!S16)</f>
        <v>278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6</v>
      </c>
      <c r="G18" s="175" t="str">
        <f>IF('CALCULATOR SHEET'!G17&lt;&gt;"",'CALCULATOR SHEET'!G17,"")</f>
        <v xml:space="preserve">BO OHIO STONE </v>
      </c>
      <c r="H18" s="175" t="str">
        <f>IF('CALCULATOR SHEET'!H17&lt;&gt;"",'CALCULATOR SHEET'!H17,"")</f>
        <v xml:space="preserve">LIVING ROOM SLD SIDE C </v>
      </c>
      <c r="I18" s="176">
        <f>IF(E18&lt;&gt;"",'CALCULATOR SHEET'!I17,"")</f>
        <v>61</v>
      </c>
      <c r="J18" s="176">
        <f>IF(I18&lt;&gt;"",'CALCULATOR SHEET'!J17,"")</f>
        <v>105.5</v>
      </c>
      <c r="K18" s="169" t="str">
        <f>IF('CALCULATOR SHEET'!K17&lt;&gt;"",IF('CALCULATOR SHEET'!$W$2=1,'CALCULATOR SHEET'!K17,VLOOKUP('CALCULATOR SHEET'!K17,GENERAL!$H$6:$I$11,2,0)),"")</f>
        <v>REMOTE CONTROL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/>
      </c>
      <c r="N18" s="177">
        <f t="shared" si="0"/>
        <v>300</v>
      </c>
      <c r="O18" s="165"/>
      <c r="P18" s="166">
        <f t="shared" si="1"/>
        <v>300</v>
      </c>
      <c r="Q18" s="195"/>
      <c r="R18" s="64" t="s">
        <v>200</v>
      </c>
      <c r="T18" s="160">
        <f>IF('CALCULATOR SHEET'!$T$58="PESOS",'CALCULATOR SHEET'!S17*'CALCULATOR SHEET'!$W$6,'CALCULATOR SHEET'!S17)</f>
        <v>300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6</v>
      </c>
      <c r="G19" s="175" t="str">
        <f>IF('CALCULATOR SHEET'!G18&lt;&gt;"",'CALCULATOR SHEET'!G18,"")</f>
        <v xml:space="preserve">SCREEN MILAN COFFE </v>
      </c>
      <c r="H19" s="175" t="str">
        <f>IF('CALCULATOR SHEET'!H18&lt;&gt;"",'CALCULATOR SHEET'!H18,"")</f>
        <v xml:space="preserve">LIVING ROOM SLD SIDE C </v>
      </c>
      <c r="I19" s="176">
        <f>IF(E19&lt;&gt;"",'CALCULATOR SHEET'!I18,"")</f>
        <v>61</v>
      </c>
      <c r="J19" s="176">
        <f>IF(I19&lt;&gt;"",'CALCULATOR SHEET'!J18,"")</f>
        <v>105.5</v>
      </c>
      <c r="K19" s="169" t="str">
        <f>IF('CALCULATOR SHEET'!K18&lt;&gt;"",IF('CALCULATOR SHEET'!$W$2=1,'CALCULATOR SHEET'!K18,VLOOKUP('CALCULATOR SHEET'!K18,GENERAL!$H$6:$I$11,2,0)),"")</f>
        <v>REMOTE CONTROL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/>
      </c>
      <c r="N19" s="177">
        <f t="shared" si="0"/>
        <v>300</v>
      </c>
      <c r="O19" s="165"/>
      <c r="P19" s="166">
        <f t="shared" si="1"/>
        <v>300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300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6</v>
      </c>
      <c r="G20" s="175" t="str">
        <f>IF('CALCULATOR SHEET'!G19&lt;&gt;"",'CALCULATOR SHEET'!G19,"")</f>
        <v xml:space="preserve">BO OHIO STONE </v>
      </c>
      <c r="H20" s="175" t="str">
        <f>IF('CALCULATOR SHEET'!H19&lt;&gt;"",'CALCULATOR SHEET'!H19,"")</f>
        <v xml:space="preserve">MAIN BR SLD SIDE A </v>
      </c>
      <c r="I20" s="176">
        <f>IF(E20&lt;&gt;"",'CALCULATOR SHEET'!I19,"")</f>
        <v>61.625</v>
      </c>
      <c r="J20" s="176">
        <f>IF(I20&lt;&gt;"",'CALCULATOR SHEET'!J19,"")</f>
        <v>82</v>
      </c>
      <c r="K20" s="169" t="str">
        <f>IF('CALCULATOR SHEET'!K19&lt;&gt;"",IF('CALCULATOR SHEET'!$W$2=1,'CALCULATOR SHEET'!K19,VLOOKUP('CALCULATOR SHEET'!K19,GENERAL!$H$6:$I$11,2,0)),"")</f>
        <v>REMOTE CONTROL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/>
      </c>
      <c r="N20" s="177">
        <f t="shared" si="0"/>
        <v>241</v>
      </c>
      <c r="O20" s="165"/>
      <c r="P20" s="166">
        <f t="shared" si="1"/>
        <v>241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241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6</v>
      </c>
      <c r="G21" s="175" t="str">
        <f>IF('CALCULATOR SHEET'!G20&lt;&gt;"",'CALCULATOR SHEET'!G20,"")</f>
        <v xml:space="preserve">SCREEN MILAN COFFE </v>
      </c>
      <c r="H21" s="175" t="str">
        <f>IF('CALCULATOR SHEET'!H20&lt;&gt;"",'CALCULATOR SHEET'!H20,"")</f>
        <v xml:space="preserve">MAIN BR SLD SIDE A </v>
      </c>
      <c r="I21" s="176">
        <f>IF(E21&lt;&gt;"",'CALCULATOR SHEET'!I20,"")</f>
        <v>61.625</v>
      </c>
      <c r="J21" s="176">
        <f>IF(I21&lt;&gt;"",'CALCULATOR SHEET'!J20,"")</f>
        <v>82</v>
      </c>
      <c r="K21" s="169" t="str">
        <f>IF('CALCULATOR SHEET'!K20&lt;&gt;"",IF('CALCULATOR SHEET'!$W$2=1,'CALCULATOR SHEET'!K20,VLOOKUP('CALCULATOR SHEET'!K20,GENERAL!$H$6:$I$11,2,0)),"")</f>
        <v>REMOTE CONTROL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241</v>
      </c>
      <c r="O21" s="165"/>
      <c r="P21" s="166">
        <f t="shared" si="1"/>
        <v>241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241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6</v>
      </c>
      <c r="G22" s="175" t="str">
        <f>IF('CALCULATOR SHEET'!G21&lt;&gt;"",'CALCULATOR SHEET'!G21,"")</f>
        <v xml:space="preserve">BO OHIO STONE </v>
      </c>
      <c r="H22" s="175" t="str">
        <f>IF('CALCULATOR SHEET'!H21&lt;&gt;"",'CALCULATOR SHEET'!H21,"")</f>
        <v xml:space="preserve">MAIN BR SLD SIDE B </v>
      </c>
      <c r="I22" s="176">
        <f>IF(E22&lt;&gt;"",'CALCULATOR SHEET'!I21,"")</f>
        <v>60.25</v>
      </c>
      <c r="J22" s="176">
        <f>IF(I22&lt;&gt;"",'CALCULATOR SHEET'!J21,"")</f>
        <v>82</v>
      </c>
      <c r="K22" s="169" t="str">
        <f>IF('CALCULATOR SHEET'!K21&lt;&gt;"",IF('CALCULATOR SHEET'!$W$2=1,'CALCULATOR SHEET'!K21,VLOOKUP('CALCULATOR SHEET'!K21,GENERAL!$H$6:$I$11,2,0)),"")</f>
        <v>REMOTE CONTROL</v>
      </c>
      <c r="L22" s="174" t="str">
        <f>IF('CALCULATOR SHEET'!M21&lt;&gt;"",'CALCULATOR SHEET'!M21,"")</f>
        <v>R</v>
      </c>
      <c r="M22" s="174" t="str">
        <f>IF(E22&lt;&gt;"",IF(OR('CALCULATOR SHEET'!P21&lt;&gt;"NO",'CALCULATOR SHEET'!Q21&lt;&gt;"NO"),"YES",""),"")</f>
        <v/>
      </c>
      <c r="N22" s="177">
        <f t="shared" si="0"/>
        <v>241</v>
      </c>
      <c r="O22" s="165"/>
      <c r="P22" s="166">
        <f t="shared" si="1"/>
        <v>241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241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6</v>
      </c>
      <c r="G23" s="175" t="str">
        <f>IF('CALCULATOR SHEET'!G22&lt;&gt;"",'CALCULATOR SHEET'!G22,"")</f>
        <v xml:space="preserve">SCREEN MILAN COFFE </v>
      </c>
      <c r="H23" s="175" t="str">
        <f>IF('CALCULATOR SHEET'!H22&lt;&gt;"",'CALCULATOR SHEET'!H22,"")</f>
        <v xml:space="preserve">MAIN BR SLD SIDE B </v>
      </c>
      <c r="I23" s="176">
        <f>IF(E23&lt;&gt;"",'CALCULATOR SHEET'!I22,"")</f>
        <v>60.25</v>
      </c>
      <c r="J23" s="176">
        <f>IF(I23&lt;&gt;"",'CALCULATOR SHEET'!J22,"")</f>
        <v>82</v>
      </c>
      <c r="K23" s="169" t="str">
        <f>IF('CALCULATOR SHEET'!K22&lt;&gt;"",IF('CALCULATOR SHEET'!$W$2=1,'CALCULATOR SHEET'!K22,VLOOKUP('CALCULATOR SHEET'!K22,GENERAL!$H$6:$I$11,2,0)),"")</f>
        <v>REMOTE CONTROL</v>
      </c>
      <c r="L23" s="174" t="str">
        <f>IF('CALCULATOR SHEET'!M22&lt;&gt;"",'CALCULATOR SHEET'!M22,"")</f>
        <v>R</v>
      </c>
      <c r="M23" s="174" t="str">
        <f>IF(E23&lt;&gt;"",IF(OR('CALCULATOR SHEET'!P22&lt;&gt;"NO",'CALCULATOR SHEET'!Q22&lt;&gt;"NO"),"YES",""),"")</f>
        <v/>
      </c>
      <c r="N23" s="177">
        <f t="shared" si="0"/>
        <v>241</v>
      </c>
      <c r="O23" s="165"/>
      <c r="P23" s="166">
        <f t="shared" si="1"/>
        <v>241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241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6</v>
      </c>
      <c r="G24" s="175" t="str">
        <f>IF('CALCULATOR SHEET'!G23&lt;&gt;"",'CALCULATOR SHEET'!G23,"")</f>
        <v xml:space="preserve">BO OHIO STONE </v>
      </c>
      <c r="H24" s="175" t="str">
        <f>IF('CALCULATOR SHEET'!H23&lt;&gt;"",'CALCULATOR SHEET'!H23,"")</f>
        <v xml:space="preserve">MAIN BR SLD SIDE C </v>
      </c>
      <c r="I24" s="176">
        <f>IF(E24&lt;&gt;"",'CALCULATOR SHEET'!I23,"")</f>
        <v>61.25</v>
      </c>
      <c r="J24" s="176">
        <f>IF(I24&lt;&gt;"",'CALCULATOR SHEET'!J23,"")</f>
        <v>82</v>
      </c>
      <c r="K24" s="169" t="str">
        <f>IF('CALCULATOR SHEET'!K23&lt;&gt;"",IF('CALCULATOR SHEET'!$W$2=1,'CALCULATOR SHEET'!K23,VLOOKUP('CALCULATOR SHEET'!K23,GENERAL!$H$6:$I$11,2,0)),"")</f>
        <v>REMOTE CONTROL</v>
      </c>
      <c r="L24" s="174" t="str">
        <f>IF('CALCULATOR SHEET'!M23&lt;&gt;"",'CALCULATOR SHEET'!M23,"")</f>
        <v>R</v>
      </c>
      <c r="M24" s="174" t="str">
        <f>IF(E24&lt;&gt;"",IF(OR('CALCULATOR SHEET'!P23&lt;&gt;"NO",'CALCULATOR SHEET'!Q23&lt;&gt;"NO"),"YES",""),"")</f>
        <v/>
      </c>
      <c r="N24" s="177">
        <f t="shared" si="0"/>
        <v>241</v>
      </c>
      <c r="O24" s="165"/>
      <c r="P24" s="166">
        <f t="shared" si="1"/>
        <v>241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241</v>
      </c>
      <c r="V24" s="162"/>
    </row>
    <row r="25" spans="3:22" s="64" customFormat="1" ht="45" customHeight="1">
      <c r="C25" s="173">
        <f t="shared" si="2"/>
        <v>12</v>
      </c>
      <c r="D25" s="174">
        <f>IF('CALCULATOR SHEET'!C24&lt;&gt;"",'CALCULATOR SHEET'!C24,"")</f>
        <v>1</v>
      </c>
      <c r="E25" s="170" t="str">
        <f>IF('CALCULATOR SHEET'!D24&lt;&gt;"",IF('CALCULATOR SHEET'!$W$2=1,'CALCULATOR SHEET'!D24,VLOOKUP('CALCULATOR SHEET'!D24,GENERAL!$J$6:$K$13,2,0)),"")</f>
        <v>ROLLER</v>
      </c>
      <c r="F25" s="175" t="str">
        <f>IF('CALCULATOR SHEET'!E24&lt;&gt;"",'CALCULATOR SHEET'!E24,"")</f>
        <v>GROUP 6</v>
      </c>
      <c r="G25" s="175" t="str">
        <f>IF('CALCULATOR SHEET'!G24&lt;&gt;"",'CALCULATOR SHEET'!G24,"")</f>
        <v xml:space="preserve">SCREEN MILAN COFFE </v>
      </c>
      <c r="H25" s="175" t="str">
        <f>IF('CALCULATOR SHEET'!H24&lt;&gt;"",'CALCULATOR SHEET'!H24,"")</f>
        <v xml:space="preserve">MAIN BR SLD SIDE C </v>
      </c>
      <c r="I25" s="176">
        <f>IF(E25&lt;&gt;"",'CALCULATOR SHEET'!I24,"")</f>
        <v>61.25</v>
      </c>
      <c r="J25" s="176">
        <f>IF(I25&lt;&gt;"",'CALCULATOR SHEET'!J24,"")</f>
        <v>82</v>
      </c>
      <c r="K25" s="169" t="str">
        <f>IF('CALCULATOR SHEET'!K24&lt;&gt;"",IF('CALCULATOR SHEET'!$W$2=1,'CALCULATOR SHEET'!K24,VLOOKUP('CALCULATOR SHEET'!K24,GENERAL!$H$6:$I$11,2,0)),"")</f>
        <v>REMOTE CONTROL</v>
      </c>
      <c r="L25" s="174" t="str">
        <f>IF('CALCULATOR SHEET'!M24&lt;&gt;"",'CALCULATOR SHEET'!M24,"")</f>
        <v>R</v>
      </c>
      <c r="M25" s="174" t="str">
        <f>IF(E25&lt;&gt;"",IF(OR('CALCULATOR SHEET'!P24&lt;&gt;"NO",'CALCULATOR SHEET'!Q24&lt;&gt;"NO"),"YES",""),"")</f>
        <v/>
      </c>
      <c r="N25" s="177">
        <f t="shared" si="0"/>
        <v>241</v>
      </c>
      <c r="O25" s="165"/>
      <c r="P25" s="166">
        <f t="shared" si="1"/>
        <v>241</v>
      </c>
      <c r="Q25" s="195"/>
      <c r="R25" s="64" t="str">
        <f t="shared" si="3"/>
        <v>VERDADERO</v>
      </c>
      <c r="T25" s="160">
        <f>IF('CALCULATOR SHEET'!$T$58="PESOS",'CALCULATOR SHEET'!S24*'CALCULATOR SHEET'!$W$6,'CALCULATOR SHEET'!S24)</f>
        <v>241</v>
      </c>
      <c r="V25" s="162"/>
    </row>
    <row r="26" spans="3:22" s="64" customFormat="1" ht="45" customHeight="1">
      <c r="C26" s="173">
        <f t="shared" si="2"/>
        <v>13</v>
      </c>
      <c r="D26" s="174">
        <f>IF('CALCULATOR SHEET'!C25&lt;&gt;"",'CALCULATOR SHEET'!C25,"")</f>
        <v>1</v>
      </c>
      <c r="E26" s="170" t="str">
        <f>IF('CALCULATOR SHEET'!D25&lt;&gt;"",IF('CALCULATOR SHEET'!$W$2=1,'CALCULATOR SHEET'!D25,VLOOKUP('CALCULATOR SHEET'!D25,GENERAL!$J$6:$K$13,2,0)),"")</f>
        <v>ROLLER</v>
      </c>
      <c r="F26" s="175" t="str">
        <f>IF('CALCULATOR SHEET'!E25&lt;&gt;"",'CALCULATOR SHEET'!E25,"")</f>
        <v>GROUP 7</v>
      </c>
      <c r="G26" s="175" t="str">
        <f>IF('CALCULATOR SHEET'!G25&lt;&gt;"",'CALCULATOR SHEET'!G25,"")</f>
        <v xml:space="preserve">BO SIDNEY IVORY </v>
      </c>
      <c r="H26" s="175" t="str">
        <f>IF('CALCULATOR SHEET'!H25&lt;&gt;"",'CALCULATOR SHEET'!H25,"")</f>
        <v xml:space="preserve">GUEST BEROOM SLD </v>
      </c>
      <c r="I26" s="176">
        <f>IF(E26&lt;&gt;"",'CALCULATOR SHEET'!I25,"")</f>
        <v>86</v>
      </c>
      <c r="J26" s="176">
        <f>IF(I26&lt;&gt;"",'CALCULATOR SHEET'!J25,"")</f>
        <v>87</v>
      </c>
      <c r="K26" s="169" t="str">
        <f>IF('CALCULATOR SHEET'!K25&lt;&gt;"",IF('CALCULATOR SHEET'!$W$2=1,'CALCULATOR SHEET'!K25,VLOOKUP('CALCULATOR SHEET'!K25,GENERAL!$H$6:$I$11,2,0)),"")</f>
        <v>METAL CHAIN</v>
      </c>
      <c r="L26" s="174" t="str">
        <f>IF('CALCULATOR SHEET'!M25&lt;&gt;"",'CALCULATOR SHEET'!M25,"")</f>
        <v>L</v>
      </c>
      <c r="M26" s="174" t="str">
        <f>IF(E26&lt;&gt;"",IF(OR('CALCULATOR SHEET'!P25&lt;&gt;"NO",'CALCULATOR SHEET'!Q25&lt;&gt;"NO"),"YES",""),"")</f>
        <v/>
      </c>
      <c r="N26" s="177">
        <f t="shared" si="0"/>
        <v>420</v>
      </c>
      <c r="O26" s="165"/>
      <c r="P26" s="166">
        <f t="shared" si="1"/>
        <v>420</v>
      </c>
      <c r="Q26" s="195"/>
      <c r="R26" s="64" t="str">
        <f t="shared" si="3"/>
        <v>VERDADERO</v>
      </c>
      <c r="T26" s="160">
        <f>IF('CALCULATOR SHEET'!$T$58="PESOS",'CALCULATOR SHEET'!S25*'CALCULATOR SHEET'!$W$6,'CALCULATOR SHEET'!S25)</f>
        <v>420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2" t="str">
        <f>IF('CALCULATOR SHEET'!B54&lt;&gt;"",'CALCULATOR SHEET'!B54,"")</f>
        <v/>
      </c>
      <c r="D56" s="67">
        <f>IF('CALCULATOR SHEET'!C54&lt;&gt;"",'CALCULATOR SHEET'!C54,"")</f>
        <v>12</v>
      </c>
      <c r="E56" s="291" t="str">
        <f>IF('CALCULATOR SHEET'!E54&lt;&gt;"",'CALCULATOR SHEET'!E54,"")</f>
        <v xml:space="preserve">MOTORS CONNECTED TO A/C </v>
      </c>
      <c r="I56" s="184"/>
      <c r="J56" s="184"/>
      <c r="K56" s="67"/>
      <c r="L56" s="67"/>
      <c r="M56" s="67"/>
      <c r="N56" s="185"/>
      <c r="O56" s="185">
        <f>IF(D56&lt;&gt;"",T56,"")</f>
        <v>180</v>
      </c>
      <c r="P56" s="186">
        <f>IF(O56&lt;&gt;"",O56*D56,"")</f>
        <v>2160</v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180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3622</v>
      </c>
      <c r="Q62" s="188"/>
      <c r="X62" s="163" t="str">
        <f>IF('CALCULATOR SHEET'!$W$2=1,GENERAL!Q35,GENERAL!S35)</f>
        <v>SUB TOTAL</v>
      </c>
      <c r="Y62" s="222">
        <f>P62</f>
        <v>3622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1086.5999999999999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4695.3999999999996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2160</v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4695.3999999999996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4695.3999999999996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2160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4695.3999999999996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4695.3999999999996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61.125</v>
      </c>
      <c r="AK7" s="53">
        <f>'CALCULATOR SHEET'!J13</f>
        <v>105.5</v>
      </c>
      <c r="AL7" s="53">
        <f>IF(AJ7=0,"",MATCH(CEILING(AJ7,6),$D$4:$Z$4,0))</f>
        <v>8</v>
      </c>
      <c r="AM7" s="53">
        <f>IF(AK7=0,"",MATCH(CEILING(AK7,6),$C$7:$C$28,0))</f>
        <v>15</v>
      </c>
      <c r="AN7" s="54">
        <f>IF(AL7="","",INDEX($D$7:$Z$28,AM7,AL7))</f>
        <v>243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61.125</v>
      </c>
      <c r="AK8" s="53">
        <f>'CALCULATOR SHEET'!J14</f>
        <v>105.5</v>
      </c>
      <c r="AL8" s="53">
        <f t="shared" ref="AL8:AL71" si="0">IF(AJ8=0,"",MATCH(CEILING(AJ8,6),$D$4:$Z$4,0))</f>
        <v>8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243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60</v>
      </c>
      <c r="AK9" s="53">
        <f>'CALCULATOR SHEET'!J15</f>
        <v>105.5</v>
      </c>
      <c r="AL9" s="53">
        <f t="shared" si="0"/>
        <v>7</v>
      </c>
      <c r="AM9" s="53">
        <f t="shared" si="1"/>
        <v>15</v>
      </c>
      <c r="AN9" s="54">
        <f t="shared" si="2"/>
        <v>227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60</v>
      </c>
      <c r="AK10" s="53">
        <f>'CALCULATOR SHEET'!J16</f>
        <v>105.5</v>
      </c>
      <c r="AL10" s="53">
        <f t="shared" si="0"/>
        <v>7</v>
      </c>
      <c r="AM10" s="53">
        <f t="shared" si="1"/>
        <v>15</v>
      </c>
      <c r="AN10" s="54">
        <f t="shared" si="2"/>
        <v>227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61</v>
      </c>
      <c r="AK11" s="53">
        <f>'CALCULATOR SHEET'!J17</f>
        <v>105.5</v>
      </c>
      <c r="AL11" s="53">
        <f t="shared" si="0"/>
        <v>8</v>
      </c>
      <c r="AM11" s="53">
        <f t="shared" si="1"/>
        <v>15</v>
      </c>
      <c r="AN11" s="54">
        <f t="shared" si="2"/>
        <v>243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105.5</v>
      </c>
      <c r="AL12" s="53">
        <f t="shared" si="0"/>
        <v>8</v>
      </c>
      <c r="AM12" s="53">
        <f t="shared" si="1"/>
        <v>15</v>
      </c>
      <c r="AN12" s="54">
        <f t="shared" si="2"/>
        <v>243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61.625</v>
      </c>
      <c r="AK13" s="53">
        <f>'CALCULATOR SHEET'!J19</f>
        <v>82</v>
      </c>
      <c r="AL13" s="53">
        <f t="shared" si="0"/>
        <v>8</v>
      </c>
      <c r="AM13" s="53">
        <f t="shared" si="1"/>
        <v>11</v>
      </c>
      <c r="AN13" s="54">
        <f t="shared" si="2"/>
        <v>196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61.625</v>
      </c>
      <c r="AK14" s="53">
        <f>'CALCULATOR SHEET'!J20</f>
        <v>82</v>
      </c>
      <c r="AL14" s="53">
        <f t="shared" si="0"/>
        <v>8</v>
      </c>
      <c r="AM14" s="53">
        <f t="shared" si="1"/>
        <v>11</v>
      </c>
      <c r="AN14" s="54">
        <f t="shared" si="2"/>
        <v>196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60.25</v>
      </c>
      <c r="AK15" s="53">
        <f>'CALCULATOR SHEET'!J21</f>
        <v>82</v>
      </c>
      <c r="AL15" s="53">
        <f t="shared" si="0"/>
        <v>8</v>
      </c>
      <c r="AM15" s="53">
        <f t="shared" si="1"/>
        <v>11</v>
      </c>
      <c r="AN15" s="54">
        <f t="shared" si="2"/>
        <v>196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60.25</v>
      </c>
      <c r="AK16" s="53">
        <f>'CALCULATOR SHEET'!J22</f>
        <v>82</v>
      </c>
      <c r="AL16" s="53">
        <f t="shared" si="0"/>
        <v>8</v>
      </c>
      <c r="AM16" s="53">
        <f t="shared" si="1"/>
        <v>11</v>
      </c>
      <c r="AN16" s="54">
        <f t="shared" si="2"/>
        <v>196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61.25</v>
      </c>
      <c r="AK17" s="53">
        <f>'CALCULATOR SHEET'!J23</f>
        <v>82</v>
      </c>
      <c r="AL17" s="53">
        <f t="shared" si="0"/>
        <v>8</v>
      </c>
      <c r="AM17" s="53">
        <f t="shared" si="1"/>
        <v>11</v>
      </c>
      <c r="AN17" s="54">
        <f t="shared" si="2"/>
        <v>196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61.25</v>
      </c>
      <c r="AK18" s="53">
        <f>'CALCULATOR SHEET'!J24</f>
        <v>82</v>
      </c>
      <c r="AL18" s="53">
        <f t="shared" si="0"/>
        <v>8</v>
      </c>
      <c r="AM18" s="53">
        <f t="shared" si="1"/>
        <v>11</v>
      </c>
      <c r="AN18" s="54">
        <f t="shared" si="2"/>
        <v>196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86</v>
      </c>
      <c r="AK19" s="53">
        <f>'CALCULATOR SHEET'!J25</f>
        <v>87</v>
      </c>
      <c r="AL19" s="53">
        <f t="shared" si="0"/>
        <v>12</v>
      </c>
      <c r="AM19" s="53">
        <f t="shared" si="1"/>
        <v>12</v>
      </c>
      <c r="AN19" s="54">
        <f t="shared" si="2"/>
        <v>277</v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61.125</v>
      </c>
      <c r="AK7" s="53">
        <f>'CALCULATOR SHEET'!J13</f>
        <v>105.5</v>
      </c>
      <c r="AL7" s="53">
        <f t="shared" ref="AL7:AL70" si="0">IF(AJ7=0,"",MATCH(CEILING(AJ7,6),$D$4:$Z$4,0))</f>
        <v>8</v>
      </c>
      <c r="AM7" s="53">
        <f>IF(AK7=0,"",MATCH(CEILING(AK7,6),$C$7:$C$28,0))</f>
        <v>15</v>
      </c>
      <c r="AN7" s="54">
        <f t="shared" ref="AN7:AN70" si="1">IF(AL7="","",INDEX($D$7:$Z$28,AM7,AL7))</f>
        <v>291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61.125</v>
      </c>
      <c r="AK8" s="53">
        <f>'CALCULATOR SHEET'!J14</f>
        <v>105.5</v>
      </c>
      <c r="AL8" s="53">
        <f t="shared" si="0"/>
        <v>8</v>
      </c>
      <c r="AM8" s="53">
        <f t="shared" ref="AM8:AM71" si="2">IF(AK8=0,"",MATCH(CEILING(AK8,6),$C$7:$C$28,0))</f>
        <v>15</v>
      </c>
      <c r="AN8" s="54">
        <f t="shared" si="1"/>
        <v>291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60</v>
      </c>
      <c r="AK9" s="53">
        <f>'CALCULATOR SHEET'!J15</f>
        <v>105.5</v>
      </c>
      <c r="AL9" s="53">
        <f t="shared" si="0"/>
        <v>7</v>
      </c>
      <c r="AM9" s="53">
        <f t="shared" si="2"/>
        <v>15</v>
      </c>
      <c r="AN9" s="54">
        <f t="shared" si="1"/>
        <v>271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60</v>
      </c>
      <c r="AK10" s="53">
        <f>'CALCULATOR SHEET'!J16</f>
        <v>105.5</v>
      </c>
      <c r="AL10" s="53">
        <f t="shared" si="0"/>
        <v>7</v>
      </c>
      <c r="AM10" s="53">
        <f t="shared" si="2"/>
        <v>15</v>
      </c>
      <c r="AN10" s="54">
        <f t="shared" si="1"/>
        <v>271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61</v>
      </c>
      <c r="AK11" s="53">
        <f>'CALCULATOR SHEET'!J17</f>
        <v>105.5</v>
      </c>
      <c r="AL11" s="53">
        <f t="shared" si="0"/>
        <v>8</v>
      </c>
      <c r="AM11" s="53">
        <f t="shared" si="2"/>
        <v>15</v>
      </c>
      <c r="AN11" s="54">
        <f t="shared" si="1"/>
        <v>291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105.5</v>
      </c>
      <c r="AL12" s="53">
        <f t="shared" si="0"/>
        <v>8</v>
      </c>
      <c r="AM12" s="53">
        <f t="shared" si="2"/>
        <v>15</v>
      </c>
      <c r="AN12" s="54">
        <f t="shared" si="1"/>
        <v>291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61.625</v>
      </c>
      <c r="AK13" s="53">
        <f>'CALCULATOR SHEET'!J19</f>
        <v>82</v>
      </c>
      <c r="AL13" s="53">
        <f t="shared" si="0"/>
        <v>8</v>
      </c>
      <c r="AM13" s="53">
        <f t="shared" si="2"/>
        <v>11</v>
      </c>
      <c r="AN13" s="54">
        <f t="shared" si="1"/>
        <v>235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61.625</v>
      </c>
      <c r="AK14" s="53">
        <f>'CALCULATOR SHEET'!J20</f>
        <v>82</v>
      </c>
      <c r="AL14" s="53">
        <f t="shared" si="0"/>
        <v>8</v>
      </c>
      <c r="AM14" s="53">
        <f t="shared" si="2"/>
        <v>11</v>
      </c>
      <c r="AN14" s="54">
        <f t="shared" si="1"/>
        <v>235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60.25</v>
      </c>
      <c r="AK15" s="53">
        <f>'CALCULATOR SHEET'!J21</f>
        <v>82</v>
      </c>
      <c r="AL15" s="53">
        <f t="shared" si="0"/>
        <v>8</v>
      </c>
      <c r="AM15" s="53">
        <f t="shared" si="2"/>
        <v>11</v>
      </c>
      <c r="AN15" s="54">
        <f t="shared" si="1"/>
        <v>235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60.25</v>
      </c>
      <c r="AK16" s="53">
        <f>'CALCULATOR SHEET'!J22</f>
        <v>82</v>
      </c>
      <c r="AL16" s="53">
        <f t="shared" si="0"/>
        <v>8</v>
      </c>
      <c r="AM16" s="53">
        <f t="shared" si="2"/>
        <v>11</v>
      </c>
      <c r="AN16" s="54">
        <f t="shared" si="1"/>
        <v>235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61.25</v>
      </c>
      <c r="AK17" s="53">
        <f>'CALCULATOR SHEET'!J23</f>
        <v>82</v>
      </c>
      <c r="AL17" s="53">
        <f t="shared" si="0"/>
        <v>8</v>
      </c>
      <c r="AM17" s="53">
        <f t="shared" si="2"/>
        <v>11</v>
      </c>
      <c r="AN17" s="54">
        <f t="shared" si="1"/>
        <v>235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61.25</v>
      </c>
      <c r="AK18" s="53">
        <f>'CALCULATOR SHEET'!J24</f>
        <v>82</v>
      </c>
      <c r="AL18" s="53">
        <f t="shared" si="0"/>
        <v>8</v>
      </c>
      <c r="AM18" s="53">
        <f t="shared" si="2"/>
        <v>11</v>
      </c>
      <c r="AN18" s="54">
        <f t="shared" si="1"/>
        <v>235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86</v>
      </c>
      <c r="AK19" s="53">
        <f>'CALCULATOR SHEET'!J25</f>
        <v>87</v>
      </c>
      <c r="AL19" s="53">
        <f t="shared" si="0"/>
        <v>12</v>
      </c>
      <c r="AM19" s="53">
        <f t="shared" si="2"/>
        <v>12</v>
      </c>
      <c r="AN19" s="54">
        <f t="shared" si="1"/>
        <v>333</v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61.125</v>
      </c>
      <c r="AK7" s="53">
        <f>'CALCULATOR SHEET'!J13</f>
        <v>105.5</v>
      </c>
      <c r="AL7" s="53">
        <f>IF(AJ7=0,"",MATCH(CEILING(AJ7,6),$D$4:$Z$4,0))</f>
        <v>8</v>
      </c>
      <c r="AM7" s="53">
        <f>IF(AK7=0,"",MATCH(CEILING(AK7,6),$C$7:$C$28,0))</f>
        <v>15</v>
      </c>
      <c r="AN7" s="54">
        <f>IF(AL7="","",INDEX($D$7:$Z$28,AM7,AL7))</f>
        <v>300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61.125</v>
      </c>
      <c r="AK8" s="53">
        <f>'CALCULATOR SHEET'!J14</f>
        <v>105.5</v>
      </c>
      <c r="AL8" s="53">
        <f t="shared" ref="AL8:AL71" si="0">IF(AJ8=0,"",MATCH(CEILING(AJ8,6),$D$4:$Z$4,0))</f>
        <v>8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300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60</v>
      </c>
      <c r="AK9" s="53">
        <f>'CALCULATOR SHEET'!J15</f>
        <v>105.5</v>
      </c>
      <c r="AL9" s="53">
        <f t="shared" si="0"/>
        <v>7</v>
      </c>
      <c r="AM9" s="53">
        <f t="shared" si="1"/>
        <v>15</v>
      </c>
      <c r="AN9" s="54">
        <f t="shared" si="2"/>
        <v>278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60</v>
      </c>
      <c r="AK10" s="53">
        <f>'CALCULATOR SHEET'!J16</f>
        <v>105.5</v>
      </c>
      <c r="AL10" s="53">
        <f t="shared" si="0"/>
        <v>7</v>
      </c>
      <c r="AM10" s="53">
        <f t="shared" si="1"/>
        <v>15</v>
      </c>
      <c r="AN10" s="54">
        <f t="shared" si="2"/>
        <v>278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61</v>
      </c>
      <c r="AK11" s="53">
        <f>'CALCULATOR SHEET'!J17</f>
        <v>105.5</v>
      </c>
      <c r="AL11" s="53">
        <f t="shared" si="0"/>
        <v>8</v>
      </c>
      <c r="AM11" s="53">
        <f t="shared" si="1"/>
        <v>15</v>
      </c>
      <c r="AN11" s="54">
        <f t="shared" si="2"/>
        <v>300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105.5</v>
      </c>
      <c r="AL12" s="53">
        <f t="shared" si="0"/>
        <v>8</v>
      </c>
      <c r="AM12" s="53">
        <f t="shared" si="1"/>
        <v>15</v>
      </c>
      <c r="AN12" s="54">
        <f t="shared" si="2"/>
        <v>300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61.625</v>
      </c>
      <c r="AK13" s="53">
        <f>'CALCULATOR SHEET'!J19</f>
        <v>82</v>
      </c>
      <c r="AL13" s="53">
        <f t="shared" si="0"/>
        <v>8</v>
      </c>
      <c r="AM13" s="53">
        <f t="shared" si="1"/>
        <v>11</v>
      </c>
      <c r="AN13" s="54">
        <f t="shared" si="2"/>
        <v>241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61.625</v>
      </c>
      <c r="AK14" s="53">
        <f>'CALCULATOR SHEET'!J20</f>
        <v>82</v>
      </c>
      <c r="AL14" s="53">
        <f t="shared" si="0"/>
        <v>8</v>
      </c>
      <c r="AM14" s="53">
        <f t="shared" si="1"/>
        <v>11</v>
      </c>
      <c r="AN14" s="54">
        <f t="shared" si="2"/>
        <v>241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60.25</v>
      </c>
      <c r="AK15" s="53">
        <f>'CALCULATOR SHEET'!J21</f>
        <v>82</v>
      </c>
      <c r="AL15" s="53">
        <f t="shared" si="0"/>
        <v>8</v>
      </c>
      <c r="AM15" s="53">
        <f t="shared" si="1"/>
        <v>11</v>
      </c>
      <c r="AN15" s="54">
        <f t="shared" si="2"/>
        <v>241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60.25</v>
      </c>
      <c r="AK16" s="53">
        <f>'CALCULATOR SHEET'!J22</f>
        <v>82</v>
      </c>
      <c r="AL16" s="53">
        <f t="shared" si="0"/>
        <v>8</v>
      </c>
      <c r="AM16" s="53">
        <f t="shared" si="1"/>
        <v>11</v>
      </c>
      <c r="AN16" s="54">
        <f t="shared" si="2"/>
        <v>241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61.25</v>
      </c>
      <c r="AK17" s="53">
        <f>'CALCULATOR SHEET'!J23</f>
        <v>82</v>
      </c>
      <c r="AL17" s="53">
        <f t="shared" si="0"/>
        <v>8</v>
      </c>
      <c r="AM17" s="53">
        <f t="shared" si="1"/>
        <v>11</v>
      </c>
      <c r="AN17" s="54">
        <f t="shared" si="2"/>
        <v>241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61.25</v>
      </c>
      <c r="AK18" s="53">
        <f>'CALCULATOR SHEET'!J24</f>
        <v>82</v>
      </c>
      <c r="AL18" s="53">
        <f t="shared" si="0"/>
        <v>8</v>
      </c>
      <c r="AM18" s="53">
        <f t="shared" si="1"/>
        <v>11</v>
      </c>
      <c r="AN18" s="54">
        <f t="shared" si="2"/>
        <v>241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86</v>
      </c>
      <c r="AK19" s="53">
        <f>'CALCULATOR SHEET'!J25</f>
        <v>87</v>
      </c>
      <c r="AL19" s="53">
        <f t="shared" si="0"/>
        <v>12</v>
      </c>
      <c r="AM19" s="53">
        <f t="shared" si="1"/>
        <v>12</v>
      </c>
      <c r="AN19" s="54">
        <f t="shared" si="2"/>
        <v>343</v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61.125</v>
      </c>
      <c r="AK7" s="53">
        <f>'CALCULATOR SHEET'!J13</f>
        <v>105.5</v>
      </c>
      <c r="AL7" s="53">
        <f>IF(AJ7=0,"",MATCH(CEILING(AJ7,6),$D$4:$Z$4,0))</f>
        <v>8</v>
      </c>
      <c r="AM7" s="53">
        <f>IF(AK7=0,"",MATCH(CEILING(AK7,6),$C$7:$C$28,0))</f>
        <v>15</v>
      </c>
      <c r="AN7" s="54">
        <f>IF(AL7="","",INDEX($D$7:$Z$28,AM7,AL7))</f>
        <v>358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61.125</v>
      </c>
      <c r="AK8" s="53">
        <f>'CALCULATOR SHEET'!J14</f>
        <v>105.5</v>
      </c>
      <c r="AL8" s="53">
        <f t="shared" ref="AL8:AL71" si="0">IF(AJ8=0,"",MATCH(CEILING(AJ8,6),$D$4:$Z$4,0))</f>
        <v>8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358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60</v>
      </c>
      <c r="AK9" s="53">
        <f>'CALCULATOR SHEET'!J15</f>
        <v>105.5</v>
      </c>
      <c r="AL9" s="53">
        <f t="shared" si="0"/>
        <v>7</v>
      </c>
      <c r="AM9" s="53">
        <f t="shared" si="1"/>
        <v>15</v>
      </c>
      <c r="AN9" s="54">
        <f t="shared" si="2"/>
        <v>331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60</v>
      </c>
      <c r="AK10" s="53">
        <f>'CALCULATOR SHEET'!J16</f>
        <v>105.5</v>
      </c>
      <c r="AL10" s="53">
        <f t="shared" si="0"/>
        <v>7</v>
      </c>
      <c r="AM10" s="53">
        <f t="shared" si="1"/>
        <v>15</v>
      </c>
      <c r="AN10" s="54">
        <f t="shared" si="2"/>
        <v>331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61</v>
      </c>
      <c r="AK11" s="53">
        <f>'CALCULATOR SHEET'!J17</f>
        <v>105.5</v>
      </c>
      <c r="AL11" s="53">
        <f t="shared" si="0"/>
        <v>8</v>
      </c>
      <c r="AM11" s="53">
        <f t="shared" si="1"/>
        <v>15</v>
      </c>
      <c r="AN11" s="54">
        <f t="shared" si="2"/>
        <v>358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105.5</v>
      </c>
      <c r="AL12" s="53">
        <f t="shared" si="0"/>
        <v>8</v>
      </c>
      <c r="AM12" s="53">
        <f t="shared" si="1"/>
        <v>15</v>
      </c>
      <c r="AN12" s="54">
        <f t="shared" si="2"/>
        <v>358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61.625</v>
      </c>
      <c r="AK13" s="53">
        <f>'CALCULATOR SHEET'!J19</f>
        <v>82</v>
      </c>
      <c r="AL13" s="53">
        <f t="shared" si="0"/>
        <v>8</v>
      </c>
      <c r="AM13" s="53">
        <f t="shared" si="1"/>
        <v>11</v>
      </c>
      <c r="AN13" s="54">
        <f t="shared" si="2"/>
        <v>288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61.625</v>
      </c>
      <c r="AK14" s="53">
        <f>'CALCULATOR SHEET'!J20</f>
        <v>82</v>
      </c>
      <c r="AL14" s="53">
        <f t="shared" si="0"/>
        <v>8</v>
      </c>
      <c r="AM14" s="53">
        <f t="shared" si="1"/>
        <v>11</v>
      </c>
      <c r="AN14" s="54">
        <f t="shared" si="2"/>
        <v>288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60.25</v>
      </c>
      <c r="AK15" s="53">
        <f>'CALCULATOR SHEET'!J21</f>
        <v>82</v>
      </c>
      <c r="AL15" s="53">
        <f t="shared" si="0"/>
        <v>8</v>
      </c>
      <c r="AM15" s="53">
        <f t="shared" si="1"/>
        <v>11</v>
      </c>
      <c r="AN15" s="54">
        <f t="shared" si="2"/>
        <v>288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60.25</v>
      </c>
      <c r="AK16" s="53">
        <f>'CALCULATOR SHEET'!J22</f>
        <v>82</v>
      </c>
      <c r="AL16" s="53">
        <f t="shared" si="0"/>
        <v>8</v>
      </c>
      <c r="AM16" s="53">
        <f t="shared" si="1"/>
        <v>11</v>
      </c>
      <c r="AN16" s="54">
        <f t="shared" si="2"/>
        <v>288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61.25</v>
      </c>
      <c r="AK17" s="53">
        <f>'CALCULATOR SHEET'!J23</f>
        <v>82</v>
      </c>
      <c r="AL17" s="53">
        <f t="shared" si="0"/>
        <v>8</v>
      </c>
      <c r="AM17" s="53">
        <f t="shared" si="1"/>
        <v>11</v>
      </c>
      <c r="AN17" s="54">
        <f t="shared" si="2"/>
        <v>288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61.25</v>
      </c>
      <c r="AK18" s="53">
        <f>'CALCULATOR SHEET'!J24</f>
        <v>82</v>
      </c>
      <c r="AL18" s="53">
        <f t="shared" si="0"/>
        <v>8</v>
      </c>
      <c r="AM18" s="53">
        <f t="shared" si="1"/>
        <v>11</v>
      </c>
      <c r="AN18" s="54">
        <f t="shared" si="2"/>
        <v>288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86</v>
      </c>
      <c r="AK19" s="53">
        <f>'CALCULATOR SHEET'!J25</f>
        <v>87</v>
      </c>
      <c r="AL19" s="53">
        <f t="shared" si="0"/>
        <v>12</v>
      </c>
      <c r="AM19" s="53">
        <f t="shared" si="1"/>
        <v>12</v>
      </c>
      <c r="AN19" s="54">
        <f t="shared" si="2"/>
        <v>410</v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61.125</v>
      </c>
      <c r="AK7" s="53">
        <f>'CALCULATOR SHEET'!J13</f>
        <v>105.5</v>
      </c>
      <c r="AL7" s="53">
        <f>IF(AJ7=0,"",MATCH(CEILING(AJ7,6),$D$4:$Z$4,0))</f>
        <v>8</v>
      </c>
      <c r="AM7" s="53">
        <f>IF(AK7=0,"",MATCH(CEILING(AK7,6),$C$7:$C$28,0))</f>
        <v>15</v>
      </c>
      <c r="AN7" s="54">
        <f>IF(AL7="","",INDEX($D$7:$Z$28,AM7,AL7))</f>
        <v>410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61.125</v>
      </c>
      <c r="AK8" s="53">
        <f>'CALCULATOR SHEET'!J14</f>
        <v>105.5</v>
      </c>
      <c r="AL8" s="53">
        <f t="shared" ref="AL8:AL71" si="1">IF(AJ8=0,"",MATCH(CEILING(AJ8,6),$D$4:$Z$4,0))</f>
        <v>8</v>
      </c>
      <c r="AM8" s="53">
        <f t="shared" ref="AM8:AM71" si="2">IF(AK8=0,"",MATCH(CEILING(AK8,6),$C$7:$C$28,0))</f>
        <v>15</v>
      </c>
      <c r="AN8" s="54">
        <f t="shared" ref="AN8:AN71" si="3">IF(AL8="","",INDEX($D$7:$Z$28,AM8,AL8))</f>
        <v>410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60</v>
      </c>
      <c r="AK9" s="53">
        <f>'CALCULATOR SHEET'!J15</f>
        <v>105.5</v>
      </c>
      <c r="AL9" s="53">
        <f>IF(AJ9=0,"",MATCH(CEILING(AJ9,6),$D$4:$Z$4,0))</f>
        <v>7</v>
      </c>
      <c r="AM9" s="53">
        <f t="shared" si="2"/>
        <v>15</v>
      </c>
      <c r="AN9" s="54">
        <f t="shared" si="3"/>
        <v>378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60</v>
      </c>
      <c r="AK10" s="53">
        <f>'CALCULATOR SHEET'!J16</f>
        <v>105.5</v>
      </c>
      <c r="AL10" s="53">
        <f t="shared" si="1"/>
        <v>7</v>
      </c>
      <c r="AM10" s="53">
        <f t="shared" si="2"/>
        <v>15</v>
      </c>
      <c r="AN10" s="54">
        <f t="shared" si="3"/>
        <v>378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61</v>
      </c>
      <c r="AK11" s="53">
        <f>'CALCULATOR SHEET'!J17</f>
        <v>105.5</v>
      </c>
      <c r="AL11" s="53">
        <f t="shared" si="1"/>
        <v>8</v>
      </c>
      <c r="AM11" s="53">
        <f t="shared" si="2"/>
        <v>15</v>
      </c>
      <c r="AN11" s="54">
        <f t="shared" si="3"/>
        <v>410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61</v>
      </c>
      <c r="AK12" s="53">
        <f>'CALCULATOR SHEET'!J18</f>
        <v>105.5</v>
      </c>
      <c r="AL12" s="53">
        <f t="shared" si="1"/>
        <v>8</v>
      </c>
      <c r="AM12" s="53">
        <f t="shared" si="2"/>
        <v>15</v>
      </c>
      <c r="AN12" s="54">
        <f t="shared" si="3"/>
        <v>410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61.625</v>
      </c>
      <c r="AK13" s="53">
        <f>'CALCULATOR SHEET'!J19</f>
        <v>82</v>
      </c>
      <c r="AL13" s="53">
        <f t="shared" si="1"/>
        <v>8</v>
      </c>
      <c r="AM13" s="53">
        <f t="shared" si="2"/>
        <v>11</v>
      </c>
      <c r="AN13" s="54">
        <f t="shared" si="3"/>
        <v>330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61.625</v>
      </c>
      <c r="AK14" s="53">
        <f>'CALCULATOR SHEET'!J20</f>
        <v>82</v>
      </c>
      <c r="AL14" s="53">
        <f t="shared" si="1"/>
        <v>8</v>
      </c>
      <c r="AM14" s="53">
        <f t="shared" si="2"/>
        <v>11</v>
      </c>
      <c r="AN14" s="54">
        <f t="shared" si="3"/>
        <v>330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60.25</v>
      </c>
      <c r="AK15" s="53">
        <f>'CALCULATOR SHEET'!J21</f>
        <v>82</v>
      </c>
      <c r="AL15" s="53">
        <f t="shared" si="1"/>
        <v>8</v>
      </c>
      <c r="AM15" s="53">
        <f t="shared" si="2"/>
        <v>11</v>
      </c>
      <c r="AN15" s="54">
        <f t="shared" si="3"/>
        <v>330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60.25</v>
      </c>
      <c r="AK16" s="53">
        <f>'CALCULATOR SHEET'!J22</f>
        <v>82</v>
      </c>
      <c r="AL16" s="53">
        <f t="shared" si="1"/>
        <v>8</v>
      </c>
      <c r="AM16" s="53">
        <f t="shared" si="2"/>
        <v>11</v>
      </c>
      <c r="AN16" s="54">
        <f t="shared" si="3"/>
        <v>330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61.25</v>
      </c>
      <c r="AK17" s="53">
        <f>'CALCULATOR SHEET'!J23</f>
        <v>82</v>
      </c>
      <c r="AL17" s="53">
        <f t="shared" si="1"/>
        <v>8</v>
      </c>
      <c r="AM17" s="53">
        <f t="shared" si="2"/>
        <v>11</v>
      </c>
      <c r="AN17" s="54">
        <f t="shared" si="3"/>
        <v>330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61.25</v>
      </c>
      <c r="AK18" s="53">
        <f>'CALCULATOR SHEET'!J24</f>
        <v>82</v>
      </c>
      <c r="AL18" s="53">
        <f t="shared" si="1"/>
        <v>8</v>
      </c>
      <c r="AM18" s="53">
        <f t="shared" si="2"/>
        <v>11</v>
      </c>
      <c r="AN18" s="54">
        <f t="shared" si="3"/>
        <v>330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86</v>
      </c>
      <c r="AK19" s="53">
        <f>'CALCULATOR SHEET'!J25</f>
        <v>87</v>
      </c>
      <c r="AL19" s="53">
        <f t="shared" si="1"/>
        <v>12</v>
      </c>
      <c r="AM19" s="53">
        <f t="shared" si="2"/>
        <v>12</v>
      </c>
      <c r="AN19" s="54">
        <f t="shared" si="3"/>
        <v>471</v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61.125</v>
      </c>
      <c r="AK7" s="53">
        <f>'CALCULATOR SHEET'!J13</f>
        <v>105.5</v>
      </c>
      <c r="AL7" s="53">
        <f>IF(AJ7=0,"",MATCH(CEILING(AJ7,6),$D$4:$Z$4,0))</f>
        <v>8</v>
      </c>
      <c r="AM7" s="53">
        <f>IF(AK7=0,"",MATCH(CEILING(AK7,6),$C$7:$C$28,0))</f>
        <v>15</v>
      </c>
      <c r="AN7" s="54">
        <f>IF(AL7="","",INDEX($D$7:$Z$28,AM7,AL7))</f>
        <v>524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61.125</v>
      </c>
      <c r="AK8" s="53">
        <f>'CALCULATOR SHEET'!J14</f>
        <v>105.5</v>
      </c>
      <c r="AL8" s="53">
        <f t="shared" ref="AL8:AL71" si="17">IF(AJ8=0,"",MATCH(CEILING(AJ8,6),$D$4:$Z$4,0))</f>
        <v>8</v>
      </c>
      <c r="AM8" s="53">
        <f t="shared" ref="AM8:AM71" si="18">IF(AK8=0,"",MATCH(CEILING(AK8,6),$C$7:$C$28,0))</f>
        <v>15</v>
      </c>
      <c r="AN8" s="54">
        <f t="shared" ref="AN8:AN71" si="19">IF(AL8="","",INDEX($D$7:$Z$28,AM8,AL8))</f>
        <v>524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60</v>
      </c>
      <c r="AK9" s="53">
        <f>'CALCULATOR SHEET'!J15</f>
        <v>105.5</v>
      </c>
      <c r="AL9" s="53">
        <f t="shared" si="17"/>
        <v>7</v>
      </c>
      <c r="AM9" s="53">
        <f t="shared" si="18"/>
        <v>15</v>
      </c>
      <c r="AN9" s="54">
        <f t="shared" si="19"/>
        <v>483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60</v>
      </c>
      <c r="AK10" s="53">
        <f>'CALCULATOR SHEET'!J16</f>
        <v>105.5</v>
      </c>
      <c r="AL10" s="53">
        <f t="shared" si="17"/>
        <v>7</v>
      </c>
      <c r="AM10" s="53">
        <f t="shared" si="18"/>
        <v>15</v>
      </c>
      <c r="AN10" s="54">
        <f t="shared" si="19"/>
        <v>483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61</v>
      </c>
      <c r="AK11" s="53">
        <f>'CALCULATOR SHEET'!J17</f>
        <v>105.5</v>
      </c>
      <c r="AL11" s="53">
        <f t="shared" si="17"/>
        <v>8</v>
      </c>
      <c r="AM11" s="53">
        <f t="shared" si="18"/>
        <v>15</v>
      </c>
      <c r="AN11" s="54">
        <f t="shared" si="19"/>
        <v>524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61</v>
      </c>
      <c r="AK12" s="53">
        <f>'CALCULATOR SHEET'!J18</f>
        <v>105.5</v>
      </c>
      <c r="AL12" s="53">
        <f t="shared" si="17"/>
        <v>8</v>
      </c>
      <c r="AM12" s="53">
        <f t="shared" si="18"/>
        <v>15</v>
      </c>
      <c r="AN12" s="54">
        <f t="shared" si="19"/>
        <v>524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61.625</v>
      </c>
      <c r="AK13" s="53">
        <f>'CALCULATOR SHEET'!J19</f>
        <v>82</v>
      </c>
      <c r="AL13" s="53">
        <f t="shared" si="17"/>
        <v>8</v>
      </c>
      <c r="AM13" s="53">
        <f t="shared" si="18"/>
        <v>11</v>
      </c>
      <c r="AN13" s="54">
        <f t="shared" si="19"/>
        <v>416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61.625</v>
      </c>
      <c r="AK14" s="53">
        <f>'CALCULATOR SHEET'!J20</f>
        <v>82</v>
      </c>
      <c r="AL14" s="53">
        <f t="shared" si="17"/>
        <v>8</v>
      </c>
      <c r="AM14" s="53">
        <f t="shared" si="18"/>
        <v>11</v>
      </c>
      <c r="AN14" s="54">
        <f t="shared" si="19"/>
        <v>416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60.25</v>
      </c>
      <c r="AK15" s="53">
        <f>'CALCULATOR SHEET'!J21</f>
        <v>82</v>
      </c>
      <c r="AL15" s="53">
        <f t="shared" si="17"/>
        <v>8</v>
      </c>
      <c r="AM15" s="53">
        <f t="shared" si="18"/>
        <v>11</v>
      </c>
      <c r="AN15" s="54">
        <f t="shared" si="19"/>
        <v>416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60.25</v>
      </c>
      <c r="AK16" s="53">
        <f>'CALCULATOR SHEET'!J22</f>
        <v>82</v>
      </c>
      <c r="AL16" s="53">
        <f t="shared" si="17"/>
        <v>8</v>
      </c>
      <c r="AM16" s="53">
        <f t="shared" si="18"/>
        <v>11</v>
      </c>
      <c r="AN16" s="54">
        <f t="shared" si="19"/>
        <v>416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61.25</v>
      </c>
      <c r="AK17" s="53">
        <f>'CALCULATOR SHEET'!J23</f>
        <v>82</v>
      </c>
      <c r="AL17" s="53">
        <f t="shared" si="17"/>
        <v>8</v>
      </c>
      <c r="AM17" s="53">
        <f t="shared" si="18"/>
        <v>11</v>
      </c>
      <c r="AN17" s="54">
        <f t="shared" si="19"/>
        <v>416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61.25</v>
      </c>
      <c r="AK18" s="53">
        <f>'CALCULATOR SHEET'!J24</f>
        <v>82</v>
      </c>
      <c r="AL18" s="53">
        <f t="shared" si="17"/>
        <v>8</v>
      </c>
      <c r="AM18" s="53">
        <f t="shared" si="18"/>
        <v>11</v>
      </c>
      <c r="AN18" s="54">
        <f t="shared" si="19"/>
        <v>416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86</v>
      </c>
      <c r="AK19" s="53">
        <f>'CALCULATOR SHEET'!J25</f>
        <v>87</v>
      </c>
      <c r="AL19" s="53">
        <f t="shared" si="17"/>
        <v>12</v>
      </c>
      <c r="AM19" s="53">
        <f t="shared" si="18"/>
        <v>12</v>
      </c>
      <c r="AN19" s="54">
        <f t="shared" si="19"/>
        <v>599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6</v>
      </c>
      <c r="X7" s="1">
        <v>1</v>
      </c>
      <c r="Y7" s="7">
        <f>'CALCULATOR SHEET'!I13</f>
        <v>61.125</v>
      </c>
      <c r="Z7" s="7">
        <f>'CALCULATOR SHEET'!J13</f>
        <v>105.5</v>
      </c>
      <c r="AA7" s="7">
        <f>IF(Y7=0,"",MATCH(CEILING(Y7,6),$C$7:$R$7,0))</f>
        <v>7</v>
      </c>
      <c r="AB7" s="7">
        <f>IF(Z7=0,"",MATCH(CEILING(Z7,6),$B$10:$B$26,0))</f>
        <v>13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215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6</v>
      </c>
      <c r="X8" s="1">
        <f>+X7+1</f>
        <v>2</v>
      </c>
      <c r="Y8" s="7">
        <f>'CALCULATOR SHEET'!I14</f>
        <v>61.125</v>
      </c>
      <c r="Z8" s="7">
        <f>'CALCULATOR SHEET'!J14</f>
        <v>105.5</v>
      </c>
      <c r="AA8" s="7">
        <f t="shared" ref="AA8:AA28" si="1">IF(Y8=0,"",MATCH(CEILING(Y8,6),$C$7:$R$7,0))</f>
        <v>7</v>
      </c>
      <c r="AB8" s="7">
        <f t="shared" ref="AB8:AB28" si="2">IF(Z8=0,"",MATCH(CEILING(Z8,6),$B$10:$B$26,0))</f>
        <v>13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215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6</v>
      </c>
      <c r="X9" s="1">
        <f t="shared" ref="X9:X28" si="6">+X8+1</f>
        <v>3</v>
      </c>
      <c r="Y9" s="7">
        <f>'CALCULATOR SHEET'!I15</f>
        <v>60</v>
      </c>
      <c r="Z9" s="7">
        <f>'CALCULATOR SHEET'!J15</f>
        <v>105.5</v>
      </c>
      <c r="AA9" s="7">
        <f t="shared" si="1"/>
        <v>6</v>
      </c>
      <c r="AB9" s="7">
        <f t="shared" si="2"/>
        <v>13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215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6</v>
      </c>
      <c r="X10" s="1">
        <f t="shared" si="6"/>
        <v>4</v>
      </c>
      <c r="Y10" s="7">
        <f>'CALCULATOR SHEET'!I16</f>
        <v>60</v>
      </c>
      <c r="Z10" s="7">
        <f>'CALCULATOR SHEET'!J16</f>
        <v>105.5</v>
      </c>
      <c r="AA10" s="7">
        <f t="shared" si="1"/>
        <v>6</v>
      </c>
      <c r="AB10" s="7">
        <f t="shared" si="2"/>
        <v>13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215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6</v>
      </c>
      <c r="X11" s="1">
        <f t="shared" si="6"/>
        <v>5</v>
      </c>
      <c r="Y11" s="7">
        <f>'CALCULATOR SHEET'!I17</f>
        <v>61</v>
      </c>
      <c r="Z11" s="7">
        <f>'CALCULATOR SHEET'!J17</f>
        <v>105.5</v>
      </c>
      <c r="AA11" s="7">
        <f t="shared" si="1"/>
        <v>7</v>
      </c>
      <c r="AB11" s="7">
        <f t="shared" si="2"/>
        <v>13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215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6</v>
      </c>
      <c r="X12" s="1">
        <f t="shared" si="6"/>
        <v>6</v>
      </c>
      <c r="Y12" s="7">
        <f>'CALCULATOR SHEET'!I18</f>
        <v>61</v>
      </c>
      <c r="Z12" s="7">
        <f>'CALCULATOR SHEET'!J18</f>
        <v>105.5</v>
      </c>
      <c r="AA12" s="7">
        <f t="shared" si="1"/>
        <v>7</v>
      </c>
      <c r="AB12" s="7">
        <f t="shared" si="2"/>
        <v>13</v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>
        <f t="shared" si="4"/>
        <v>215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6</v>
      </c>
      <c r="X13" s="1">
        <f t="shared" si="6"/>
        <v>7</v>
      </c>
      <c r="Y13" s="7">
        <f>'CALCULATOR SHEET'!I19</f>
        <v>61.625</v>
      </c>
      <c r="Z13" s="7">
        <f>'CALCULATOR SHEET'!J19</f>
        <v>82</v>
      </c>
      <c r="AA13" s="7">
        <f t="shared" si="1"/>
        <v>7</v>
      </c>
      <c r="AB13" s="7">
        <f t="shared" si="2"/>
        <v>9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210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6</v>
      </c>
      <c r="X14" s="1">
        <f t="shared" si="6"/>
        <v>8</v>
      </c>
      <c r="Y14" s="7">
        <f>'CALCULATOR SHEET'!I20</f>
        <v>61.625</v>
      </c>
      <c r="Z14" s="7">
        <f>'CALCULATOR SHEET'!J20</f>
        <v>82</v>
      </c>
      <c r="AA14" s="7">
        <f t="shared" si="1"/>
        <v>7</v>
      </c>
      <c r="AB14" s="7">
        <f t="shared" si="2"/>
        <v>9</v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>
        <f t="shared" si="4"/>
        <v>210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6</v>
      </c>
      <c r="X15" s="1">
        <f t="shared" si="6"/>
        <v>9</v>
      </c>
      <c r="Y15" s="7">
        <f>'CALCULATOR SHEET'!I21</f>
        <v>60.25</v>
      </c>
      <c r="Z15" s="7">
        <f>'CALCULATOR SHEET'!J21</f>
        <v>82</v>
      </c>
      <c r="AA15" s="7">
        <f t="shared" si="1"/>
        <v>7</v>
      </c>
      <c r="AB15" s="7">
        <f t="shared" si="2"/>
        <v>9</v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>
        <f t="shared" si="4"/>
        <v>210</v>
      </c>
      <c r="AF15" s="13">
        <f t="shared" si="5"/>
        <v>0</v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6</v>
      </c>
      <c r="X16" s="1">
        <f t="shared" si="6"/>
        <v>10</v>
      </c>
      <c r="Y16" s="7">
        <f>'CALCULATOR SHEET'!I22</f>
        <v>60.25</v>
      </c>
      <c r="Z16" s="7">
        <f>'CALCULATOR SHEET'!J22</f>
        <v>82</v>
      </c>
      <c r="AA16" s="7">
        <f t="shared" si="1"/>
        <v>7</v>
      </c>
      <c r="AB16" s="7">
        <f t="shared" si="2"/>
        <v>9</v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>
        <f t="shared" si="4"/>
        <v>210</v>
      </c>
      <c r="AF16" s="13">
        <f t="shared" si="5"/>
        <v>0</v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6</v>
      </c>
      <c r="X17" s="1">
        <f t="shared" si="6"/>
        <v>11</v>
      </c>
      <c r="Y17" s="7">
        <f>'CALCULATOR SHEET'!I23</f>
        <v>61.25</v>
      </c>
      <c r="Z17" s="7">
        <f>'CALCULATOR SHEET'!J23</f>
        <v>82</v>
      </c>
      <c r="AA17" s="7">
        <f t="shared" si="1"/>
        <v>7</v>
      </c>
      <c r="AB17" s="7">
        <f t="shared" si="2"/>
        <v>9</v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>
        <f t="shared" si="4"/>
        <v>210</v>
      </c>
      <c r="AF17" s="13">
        <f t="shared" si="5"/>
        <v>0</v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6</v>
      </c>
      <c r="X18" s="1">
        <f t="shared" si="6"/>
        <v>12</v>
      </c>
      <c r="Y18" s="7">
        <f>'CALCULATOR SHEET'!I24</f>
        <v>61.25</v>
      </c>
      <c r="Z18" s="7">
        <f>'CALCULATOR SHEET'!J24</f>
        <v>82</v>
      </c>
      <c r="AA18" s="7">
        <f t="shared" si="1"/>
        <v>7</v>
      </c>
      <c r="AB18" s="7">
        <f t="shared" si="2"/>
        <v>9</v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>
        <f t="shared" si="4"/>
        <v>210</v>
      </c>
      <c r="AF18" s="13">
        <f t="shared" si="5"/>
        <v>0</v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 t="str">
        <f>'CALCULATOR SHEET'!E25</f>
        <v>GROUP 7</v>
      </c>
      <c r="X19" s="1">
        <f t="shared" si="6"/>
        <v>13</v>
      </c>
      <c r="Y19" s="7">
        <f>'CALCULATOR SHEET'!I25</f>
        <v>86</v>
      </c>
      <c r="Z19" s="7">
        <f>'CALCULATOR SHEET'!J25</f>
        <v>87</v>
      </c>
      <c r="AA19" s="7">
        <f t="shared" si="1"/>
        <v>11</v>
      </c>
      <c r="AB19" s="7">
        <f t="shared" si="2"/>
        <v>10</v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>
        <f t="shared" si="4"/>
        <v>211</v>
      </c>
      <c r="AF19" s="13">
        <f t="shared" si="5"/>
        <v>0</v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 t="str">
        <f>'CALCULATOR SHEET'!E54</f>
        <v xml:space="preserve">MOTORS CONNECTED TO A/C 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61.125</v>
      </c>
      <c r="W7" s="7">
        <f>'CALCULATOR SHEET'!J13</f>
        <v>105.5</v>
      </c>
      <c r="X7" s="7">
        <f>IF(V7=0,"",MATCH(CEILING(V7,6),$C$8:$Q$8,0))</f>
        <v>8</v>
      </c>
      <c r="Y7" s="7">
        <f>IF(W7=0,"",MATCH(CEILING(W7,6),$B$10:$B$26,0))</f>
        <v>15</v>
      </c>
      <c r="Z7" s="146">
        <f>IF(X7="","",INDEX($C$12:$Q$26,Y7,X7))</f>
        <v>377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61.125</v>
      </c>
      <c r="W8" s="7">
        <f>'CALCULATOR SHEET'!J14</f>
        <v>105.5</v>
      </c>
      <c r="X8" s="7">
        <f t="shared" ref="X8:X73" si="0">IF(V8=0,"",MATCH(CEILING(V8,6),$C$8:$Q$8,0))</f>
        <v>8</v>
      </c>
      <c r="Y8" s="7">
        <f t="shared" ref="Y8:Y71" si="1">IF(W8=0,"",MATCH(CEILING(W8,6),$B$10:$B$26,0))</f>
        <v>15</v>
      </c>
      <c r="Z8" s="146">
        <f>IF(X8="","",INDEX($C$12:$Q$26,Y8,X8))</f>
        <v>377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60</v>
      </c>
      <c r="W9" s="7">
        <f>'CALCULATOR SHEET'!J15</f>
        <v>105.5</v>
      </c>
      <c r="X9" s="7">
        <f t="shared" si="0"/>
        <v>7</v>
      </c>
      <c r="Y9" s="7">
        <f t="shared" si="1"/>
        <v>15</v>
      </c>
      <c r="Z9" s="146">
        <f>IF(X9="","",INDEX($C$12:$Q$26,Y9,X9))</f>
        <v>350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60</v>
      </c>
      <c r="W12" s="7">
        <f>'CALCULATOR SHEET'!J16</f>
        <v>105.5</v>
      </c>
      <c r="X12" s="7">
        <f t="shared" si="0"/>
        <v>7</v>
      </c>
      <c r="Y12" s="7">
        <f t="shared" si="1"/>
        <v>15</v>
      </c>
      <c r="Z12" s="146">
        <f t="shared" ref="Z12:Z43" si="3">IF(X12="","",INDEX($C$12:$Q$26,Y12,X12))</f>
        <v>350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61</v>
      </c>
      <c r="W13" s="7">
        <f>'CALCULATOR SHEET'!J17</f>
        <v>105.5</v>
      </c>
      <c r="X13" s="7">
        <f t="shared" si="0"/>
        <v>8</v>
      </c>
      <c r="Y13" s="7">
        <f t="shared" si="1"/>
        <v>15</v>
      </c>
      <c r="Z13" s="146">
        <f t="shared" si="3"/>
        <v>377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61</v>
      </c>
      <c r="W14" s="7">
        <f>'CALCULATOR SHEET'!J18</f>
        <v>105.5</v>
      </c>
      <c r="X14" s="7">
        <f t="shared" si="0"/>
        <v>8</v>
      </c>
      <c r="Y14" s="7">
        <f t="shared" si="1"/>
        <v>15</v>
      </c>
      <c r="Z14" s="146">
        <f t="shared" si="3"/>
        <v>377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61.625</v>
      </c>
      <c r="W15" s="7">
        <f>'CALCULATOR SHEET'!J19</f>
        <v>82</v>
      </c>
      <c r="X15" s="7">
        <f t="shared" si="0"/>
        <v>8</v>
      </c>
      <c r="Y15" s="7">
        <f t="shared" si="1"/>
        <v>11</v>
      </c>
      <c r="Z15" s="146">
        <f t="shared" si="3"/>
        <v>338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61.625</v>
      </c>
      <c r="W16" s="7">
        <f>'CALCULATOR SHEET'!J20</f>
        <v>82</v>
      </c>
      <c r="X16" s="7">
        <f t="shared" si="0"/>
        <v>8</v>
      </c>
      <c r="Y16" s="7">
        <f t="shared" si="1"/>
        <v>11</v>
      </c>
      <c r="Z16" s="146">
        <f t="shared" si="3"/>
        <v>338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60.25</v>
      </c>
      <c r="W17" s="7">
        <f>'CALCULATOR SHEET'!J21</f>
        <v>82</v>
      </c>
      <c r="X17" s="7">
        <f t="shared" si="0"/>
        <v>8</v>
      </c>
      <c r="Y17" s="7">
        <f t="shared" si="1"/>
        <v>11</v>
      </c>
      <c r="Z17" s="146">
        <f t="shared" si="3"/>
        <v>338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60.25</v>
      </c>
      <c r="W18" s="7">
        <f>'CALCULATOR SHEET'!J22</f>
        <v>82</v>
      </c>
      <c r="X18" s="7">
        <f t="shared" si="0"/>
        <v>8</v>
      </c>
      <c r="Y18" s="7">
        <f t="shared" si="1"/>
        <v>11</v>
      </c>
      <c r="Z18" s="146">
        <f t="shared" si="3"/>
        <v>338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61.25</v>
      </c>
      <c r="W19" s="7">
        <f>'CALCULATOR SHEET'!J23</f>
        <v>82</v>
      </c>
      <c r="X19" s="7">
        <f t="shared" si="0"/>
        <v>8</v>
      </c>
      <c r="Y19" s="7">
        <f t="shared" si="1"/>
        <v>11</v>
      </c>
      <c r="Z19" s="146">
        <f t="shared" si="3"/>
        <v>338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61.25</v>
      </c>
      <c r="W20" s="7">
        <f>'CALCULATOR SHEET'!J24</f>
        <v>82</v>
      </c>
      <c r="X20" s="7">
        <f t="shared" si="0"/>
        <v>8</v>
      </c>
      <c r="Y20" s="7">
        <f t="shared" si="1"/>
        <v>11</v>
      </c>
      <c r="Z20" s="146">
        <f t="shared" si="3"/>
        <v>338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86</v>
      </c>
      <c r="W21" s="7">
        <f>'CALCULATOR SHEET'!J25</f>
        <v>87</v>
      </c>
      <c r="X21" s="7">
        <f t="shared" si="0"/>
        <v>12</v>
      </c>
      <c r="Y21" s="7">
        <f t="shared" si="1"/>
        <v>12</v>
      </c>
      <c r="Z21" s="146">
        <f t="shared" si="3"/>
        <v>469</v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61.125</v>
      </c>
      <c r="X7" s="7">
        <f>'CALCULATOR SHEET'!J13</f>
        <v>105.5</v>
      </c>
      <c r="Y7" s="7">
        <f>IF(W7=0,"",MATCH(CEILING(W7,6),$C$7:$Q$7,0))</f>
        <v>8</v>
      </c>
      <c r="Z7" s="7">
        <f>IF(X7=0,"",MATCH(CEILING(X7,6),$B$10:$B$26,0))</f>
        <v>15</v>
      </c>
      <c r="AA7" s="146">
        <f>IF(Y7="","",INDEX($C$10:$Q$26,Z7,Y7))</f>
        <v>234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61.125</v>
      </c>
      <c r="X8" s="7">
        <f>'CALCULATOR SHEET'!J14</f>
        <v>105.5</v>
      </c>
      <c r="Y8" s="7">
        <f t="shared" ref="Y8:Y71" si="1">IF(W8=0,"",MATCH(CEILING(W8,6),$C$7:$Q$7,0))</f>
        <v>8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234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60</v>
      </c>
      <c r="X9" s="7">
        <f>'CALCULATOR SHEET'!J15</f>
        <v>105.5</v>
      </c>
      <c r="Y9" s="7">
        <f t="shared" si="1"/>
        <v>7</v>
      </c>
      <c r="Z9" s="7">
        <f t="shared" si="2"/>
        <v>15</v>
      </c>
      <c r="AA9" s="146">
        <f t="shared" si="3"/>
        <v>225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60</v>
      </c>
      <c r="X10" s="7">
        <f>'CALCULATOR SHEET'!J16</f>
        <v>105.5</v>
      </c>
      <c r="Y10" s="7">
        <f t="shared" si="1"/>
        <v>7</v>
      </c>
      <c r="Z10" s="7">
        <f t="shared" si="2"/>
        <v>15</v>
      </c>
      <c r="AA10" s="146">
        <f t="shared" si="3"/>
        <v>225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61</v>
      </c>
      <c r="X11" s="7">
        <f>'CALCULATOR SHEET'!J17</f>
        <v>105.5</v>
      </c>
      <c r="Y11" s="7">
        <f t="shared" si="1"/>
        <v>8</v>
      </c>
      <c r="Z11" s="7">
        <f t="shared" si="2"/>
        <v>15</v>
      </c>
      <c r="AA11" s="146">
        <f t="shared" si="3"/>
        <v>234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61</v>
      </c>
      <c r="X12" s="7">
        <f>'CALCULATOR SHEET'!J18</f>
        <v>105.5</v>
      </c>
      <c r="Y12" s="7">
        <f t="shared" si="1"/>
        <v>8</v>
      </c>
      <c r="Z12" s="7">
        <f t="shared" si="2"/>
        <v>15</v>
      </c>
      <c r="AA12" s="146">
        <f t="shared" si="3"/>
        <v>234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61.625</v>
      </c>
      <c r="X13" s="7">
        <f>'CALCULATOR SHEET'!J19</f>
        <v>82</v>
      </c>
      <c r="Y13" s="7">
        <f t="shared" si="1"/>
        <v>8</v>
      </c>
      <c r="Z13" s="7">
        <f t="shared" si="2"/>
        <v>11</v>
      </c>
      <c r="AA13" s="146">
        <f t="shared" si="3"/>
        <v>200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61.625</v>
      </c>
      <c r="X14" s="7">
        <f>'CALCULATOR SHEET'!J20</f>
        <v>82</v>
      </c>
      <c r="Y14" s="7">
        <f t="shared" si="1"/>
        <v>8</v>
      </c>
      <c r="Z14" s="7">
        <f t="shared" si="2"/>
        <v>11</v>
      </c>
      <c r="AA14" s="146">
        <f t="shared" si="3"/>
        <v>200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60.25</v>
      </c>
      <c r="X15" s="7">
        <f>'CALCULATOR SHEET'!J21</f>
        <v>82</v>
      </c>
      <c r="Y15" s="7">
        <f t="shared" si="1"/>
        <v>8</v>
      </c>
      <c r="Z15" s="7">
        <f t="shared" si="2"/>
        <v>11</v>
      </c>
      <c r="AA15" s="146">
        <f t="shared" si="3"/>
        <v>200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60.25</v>
      </c>
      <c r="X16" s="7">
        <f>'CALCULATOR SHEET'!J22</f>
        <v>82</v>
      </c>
      <c r="Y16" s="7">
        <f t="shared" si="1"/>
        <v>8</v>
      </c>
      <c r="Z16" s="7">
        <f t="shared" si="2"/>
        <v>11</v>
      </c>
      <c r="AA16" s="146">
        <f t="shared" si="3"/>
        <v>200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61.25</v>
      </c>
      <c r="X17" s="7">
        <f>'CALCULATOR SHEET'!J23</f>
        <v>82</v>
      </c>
      <c r="Y17" s="7">
        <f t="shared" si="1"/>
        <v>8</v>
      </c>
      <c r="Z17" s="7">
        <f t="shared" si="2"/>
        <v>11</v>
      </c>
      <c r="AA17" s="146">
        <f t="shared" si="3"/>
        <v>200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61.25</v>
      </c>
      <c r="X18" s="7">
        <f>'CALCULATOR SHEET'!J24</f>
        <v>82</v>
      </c>
      <c r="Y18" s="7">
        <f t="shared" si="1"/>
        <v>8</v>
      </c>
      <c r="Z18" s="7">
        <f t="shared" si="2"/>
        <v>11</v>
      </c>
      <c r="AA18" s="146">
        <f t="shared" si="3"/>
        <v>200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86</v>
      </c>
      <c r="X19" s="7">
        <f>'CALCULATOR SHEET'!J25</f>
        <v>87</v>
      </c>
      <c r="Y19" s="7">
        <f t="shared" si="1"/>
        <v>12</v>
      </c>
      <c r="Z19" s="7">
        <f t="shared" si="2"/>
        <v>12</v>
      </c>
      <c r="AA19" s="146">
        <f t="shared" si="3"/>
        <v>234</v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61.125</v>
      </c>
      <c r="X7" s="7">
        <f>'CALCULATOR SHEET'!J13</f>
        <v>105.5</v>
      </c>
      <c r="Y7" s="7">
        <f>IF(W7=0,"",MATCH(CEILING(W7,6),$C$7:$Q$7,0))</f>
        <v>8</v>
      </c>
      <c r="Z7" s="7">
        <f>IF(X7=0,"",MATCH(CEILING(X7,6),$B$10:$B$26,0))</f>
        <v>15</v>
      </c>
      <c r="AA7" s="146">
        <f>IF(Y7="","",INDEX($C$10:$Q$26,Z7,Y7))</f>
        <v>371</v>
      </c>
    </row>
    <row r="8" spans="2:27">
      <c r="T8" s="385"/>
      <c r="V8" s="1">
        <f>+V7+1</f>
        <v>2</v>
      </c>
      <c r="W8" s="7">
        <f>'CALCULATOR SHEET'!I14</f>
        <v>61.125</v>
      </c>
      <c r="X8" s="7">
        <f>'CALCULATOR SHEET'!J14</f>
        <v>105.5</v>
      </c>
      <c r="Y8" s="7">
        <f t="shared" ref="Y8:Y71" si="1">IF(W8=0,"",MATCH(CEILING(W8,6),$C$7:$Q$7,0))</f>
        <v>8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371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60</v>
      </c>
      <c r="X9" s="7">
        <f>'CALCULATOR SHEET'!J15</f>
        <v>105.5</v>
      </c>
      <c r="Y9" s="7">
        <f t="shared" si="1"/>
        <v>7</v>
      </c>
      <c r="Z9" s="7">
        <f t="shared" si="2"/>
        <v>15</v>
      </c>
      <c r="AA9" s="146">
        <f t="shared" si="3"/>
        <v>360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60</v>
      </c>
      <c r="X10" s="7">
        <f>'CALCULATOR SHEET'!J16</f>
        <v>105.5</v>
      </c>
      <c r="Y10" s="7">
        <f t="shared" si="1"/>
        <v>7</v>
      </c>
      <c r="Z10" s="7">
        <f t="shared" si="2"/>
        <v>15</v>
      </c>
      <c r="AA10" s="146">
        <f t="shared" si="3"/>
        <v>360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61</v>
      </c>
      <c r="X11" s="7">
        <f>'CALCULATOR SHEET'!J17</f>
        <v>105.5</v>
      </c>
      <c r="Y11" s="7">
        <f t="shared" si="1"/>
        <v>8</v>
      </c>
      <c r="Z11" s="7">
        <f t="shared" si="2"/>
        <v>15</v>
      </c>
      <c r="AA11" s="146">
        <f t="shared" si="3"/>
        <v>371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61</v>
      </c>
      <c r="X12" s="7">
        <f>'CALCULATOR SHEET'!J18</f>
        <v>105.5</v>
      </c>
      <c r="Y12" s="7">
        <f t="shared" si="1"/>
        <v>8</v>
      </c>
      <c r="Z12" s="7">
        <f t="shared" si="2"/>
        <v>15</v>
      </c>
      <c r="AA12" s="146">
        <f t="shared" si="3"/>
        <v>371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61.625</v>
      </c>
      <c r="X13" s="7">
        <f>'CALCULATOR SHEET'!J19</f>
        <v>82</v>
      </c>
      <c r="Y13" s="7">
        <f t="shared" si="1"/>
        <v>8</v>
      </c>
      <c r="Z13" s="7">
        <f t="shared" si="2"/>
        <v>11</v>
      </c>
      <c r="AA13" s="146">
        <f t="shared" si="3"/>
        <v>310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61.625</v>
      </c>
      <c r="X14" s="7">
        <f>'CALCULATOR SHEET'!J20</f>
        <v>82</v>
      </c>
      <c r="Y14" s="7">
        <f t="shared" si="1"/>
        <v>8</v>
      </c>
      <c r="Z14" s="7">
        <f t="shared" si="2"/>
        <v>11</v>
      </c>
      <c r="AA14" s="146">
        <f t="shared" si="3"/>
        <v>310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60.25</v>
      </c>
      <c r="X15" s="7">
        <f>'CALCULATOR SHEET'!J21</f>
        <v>82</v>
      </c>
      <c r="Y15" s="7">
        <f t="shared" si="1"/>
        <v>8</v>
      </c>
      <c r="Z15" s="7">
        <f t="shared" si="2"/>
        <v>11</v>
      </c>
      <c r="AA15" s="146">
        <f t="shared" si="3"/>
        <v>310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60.25</v>
      </c>
      <c r="X16" s="7">
        <f>'CALCULATOR SHEET'!J22</f>
        <v>82</v>
      </c>
      <c r="Y16" s="7">
        <f t="shared" si="1"/>
        <v>8</v>
      </c>
      <c r="Z16" s="7">
        <f t="shared" si="2"/>
        <v>11</v>
      </c>
      <c r="AA16" s="146">
        <f t="shared" si="3"/>
        <v>310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61.25</v>
      </c>
      <c r="X17" s="7">
        <f>'CALCULATOR SHEET'!J23</f>
        <v>82</v>
      </c>
      <c r="Y17" s="7">
        <f t="shared" si="1"/>
        <v>8</v>
      </c>
      <c r="Z17" s="7">
        <f t="shared" si="2"/>
        <v>11</v>
      </c>
      <c r="AA17" s="146">
        <f t="shared" si="3"/>
        <v>310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61.25</v>
      </c>
      <c r="X18" s="7">
        <f>'CALCULATOR SHEET'!J24</f>
        <v>82</v>
      </c>
      <c r="Y18" s="7">
        <f t="shared" si="1"/>
        <v>8</v>
      </c>
      <c r="Z18" s="7">
        <f t="shared" si="2"/>
        <v>11</v>
      </c>
      <c r="AA18" s="146">
        <f t="shared" si="3"/>
        <v>310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86</v>
      </c>
      <c r="X19" s="7">
        <f>'CALCULATOR SHEET'!J25</f>
        <v>87</v>
      </c>
      <c r="Y19" s="7">
        <f t="shared" si="1"/>
        <v>12</v>
      </c>
      <c r="Z19" s="7">
        <f t="shared" si="2"/>
        <v>12</v>
      </c>
      <c r="AA19" s="146">
        <f t="shared" si="3"/>
        <v>355</v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T10" sqref="T10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6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483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478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476</v>
      </c>
      <c r="E9" s="39"/>
      <c r="F9" s="1"/>
      <c r="G9" s="38" t="s">
        <v>443</v>
      </c>
      <c r="H9" s="343" t="s">
        <v>479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45964</v>
      </c>
      <c r="Z9" s="38" t="s">
        <v>304</v>
      </c>
      <c r="AA9" s="34">
        <f>SUMIF(C13:C52,"&gt;0")</f>
        <v>13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477</v>
      </c>
      <c r="E10" s="149"/>
      <c r="F10" s="1"/>
      <c r="G10" s="341" t="s">
        <v>444</v>
      </c>
      <c r="H10" s="343" t="s">
        <v>480</v>
      </c>
      <c r="I10" s="1"/>
      <c r="J10" s="3" t="s">
        <v>449</v>
      </c>
      <c r="K10" s="344" t="s">
        <v>481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11</v>
      </c>
      <c r="I11" s="46"/>
      <c r="J11" s="38" t="s">
        <v>448</v>
      </c>
      <c r="K11" s="301" t="s">
        <v>482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24</v>
      </c>
      <c r="F13" s="69"/>
      <c r="G13" s="68" t="s">
        <v>465</v>
      </c>
      <c r="H13" s="68" t="s">
        <v>467</v>
      </c>
      <c r="I13" s="81">
        <v>61.125</v>
      </c>
      <c r="J13" s="81">
        <v>105.5</v>
      </c>
      <c r="K13" s="254" t="s">
        <v>274</v>
      </c>
      <c r="L13" s="70"/>
      <c r="M13" s="284" t="s">
        <v>129</v>
      </c>
      <c r="N13" s="254" t="s">
        <v>212</v>
      </c>
      <c r="O13" s="254" t="s">
        <v>322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300</v>
      </c>
      <c r="T13" s="316">
        <f t="shared" ref="T13:T52" si="0">IF(S13="","",S13*C13)</f>
        <v>300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300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300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24</v>
      </c>
      <c r="F14" s="69"/>
      <c r="G14" s="68" t="s">
        <v>466</v>
      </c>
      <c r="H14" s="68" t="s">
        <v>467</v>
      </c>
      <c r="I14" s="81">
        <v>61.125</v>
      </c>
      <c r="J14" s="81">
        <v>105.5</v>
      </c>
      <c r="K14" s="254" t="s">
        <v>274</v>
      </c>
      <c r="L14" s="70"/>
      <c r="M14" s="284" t="s">
        <v>129</v>
      </c>
      <c r="N14" s="254" t="s">
        <v>212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300</v>
      </c>
      <c r="T14" s="316">
        <f t="shared" si="0"/>
        <v>300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300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300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24</v>
      </c>
      <c r="F15" s="69"/>
      <c r="G15" s="68" t="s">
        <v>465</v>
      </c>
      <c r="H15" s="68" t="s">
        <v>468</v>
      </c>
      <c r="I15" s="81">
        <v>60</v>
      </c>
      <c r="J15" s="81">
        <v>105.5</v>
      </c>
      <c r="K15" s="254" t="s">
        <v>274</v>
      </c>
      <c r="L15" s="70"/>
      <c r="M15" s="284" t="s">
        <v>130</v>
      </c>
      <c r="N15" s="254" t="s">
        <v>213</v>
      </c>
      <c r="O15" s="254" t="s">
        <v>322</v>
      </c>
      <c r="P15" s="70" t="s">
        <v>45</v>
      </c>
      <c r="Q15" s="70" t="s">
        <v>45</v>
      </c>
      <c r="R15" s="70" t="s">
        <v>45</v>
      </c>
      <c r="S15" s="71">
        <f t="shared" si="1"/>
        <v>278</v>
      </c>
      <c r="T15" s="316">
        <f t="shared" si="0"/>
        <v>278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278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278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24</v>
      </c>
      <c r="F16" s="69"/>
      <c r="G16" s="68" t="s">
        <v>466</v>
      </c>
      <c r="H16" s="68" t="s">
        <v>468</v>
      </c>
      <c r="I16" s="81">
        <v>60</v>
      </c>
      <c r="J16" s="81">
        <v>105.5</v>
      </c>
      <c r="K16" s="254" t="s">
        <v>274</v>
      </c>
      <c r="L16" s="70"/>
      <c r="M16" s="284" t="s">
        <v>130</v>
      </c>
      <c r="N16" s="254" t="s">
        <v>213</v>
      </c>
      <c r="O16" s="254" t="s">
        <v>322</v>
      </c>
      <c r="P16" s="70" t="s">
        <v>45</v>
      </c>
      <c r="Q16" s="70" t="s">
        <v>45</v>
      </c>
      <c r="R16" s="70" t="s">
        <v>45</v>
      </c>
      <c r="S16" s="71">
        <f t="shared" si="1"/>
        <v>278</v>
      </c>
      <c r="T16" s="316">
        <f t="shared" si="0"/>
        <v>278</v>
      </c>
      <c r="U16" s="179" t="str">
        <f t="shared" si="2"/>
        <v/>
      </c>
      <c r="V16" s="120"/>
      <c r="W16" s="124">
        <f t="shared" si="8"/>
        <v>278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278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24</v>
      </c>
      <c r="F17" s="69"/>
      <c r="G17" s="68" t="s">
        <v>465</v>
      </c>
      <c r="H17" s="68" t="s">
        <v>469</v>
      </c>
      <c r="I17" s="81">
        <v>61</v>
      </c>
      <c r="J17" s="81">
        <v>105.5</v>
      </c>
      <c r="K17" s="254" t="s">
        <v>274</v>
      </c>
      <c r="L17" s="70"/>
      <c r="M17" s="284" t="s">
        <v>130</v>
      </c>
      <c r="N17" s="254" t="s">
        <v>212</v>
      </c>
      <c r="O17" s="254" t="s">
        <v>322</v>
      </c>
      <c r="P17" s="70" t="s">
        <v>45</v>
      </c>
      <c r="Q17" s="70" t="s">
        <v>45</v>
      </c>
      <c r="R17" s="70" t="s">
        <v>45</v>
      </c>
      <c r="S17" s="71">
        <f t="shared" si="1"/>
        <v>300</v>
      </c>
      <c r="T17" s="316">
        <f t="shared" si="0"/>
        <v>300</v>
      </c>
      <c r="U17" s="179" t="str">
        <f t="shared" si="2"/>
        <v/>
      </c>
      <c r="V17" s="120"/>
      <c r="W17" s="124">
        <f t="shared" si="8"/>
        <v>300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300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24</v>
      </c>
      <c r="F18" s="69"/>
      <c r="G18" s="68" t="s">
        <v>466</v>
      </c>
      <c r="H18" s="68" t="s">
        <v>469</v>
      </c>
      <c r="I18" s="81">
        <v>61</v>
      </c>
      <c r="J18" s="81">
        <v>105.5</v>
      </c>
      <c r="K18" s="254" t="s">
        <v>274</v>
      </c>
      <c r="L18" s="70"/>
      <c r="M18" s="284" t="s">
        <v>130</v>
      </c>
      <c r="N18" s="254" t="s">
        <v>212</v>
      </c>
      <c r="O18" s="254" t="s">
        <v>322</v>
      </c>
      <c r="P18" s="70" t="s">
        <v>45</v>
      </c>
      <c r="Q18" s="70" t="s">
        <v>45</v>
      </c>
      <c r="R18" s="70" t="s">
        <v>45</v>
      </c>
      <c r="S18" s="71">
        <f t="shared" si="1"/>
        <v>300</v>
      </c>
      <c r="T18" s="316">
        <f t="shared" si="0"/>
        <v>300</v>
      </c>
      <c r="U18" s="179" t="str">
        <f t="shared" si="2"/>
        <v/>
      </c>
      <c r="V18" s="120"/>
      <c r="W18" s="124">
        <f t="shared" si="8"/>
        <v>300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300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24</v>
      </c>
      <c r="F19" s="69"/>
      <c r="G19" s="68" t="s">
        <v>465</v>
      </c>
      <c r="H19" s="68" t="s">
        <v>470</v>
      </c>
      <c r="I19" s="81">
        <v>61.625</v>
      </c>
      <c r="J19" s="81">
        <v>82</v>
      </c>
      <c r="K19" s="254" t="s">
        <v>274</v>
      </c>
      <c r="L19" s="70"/>
      <c r="M19" s="284" t="s">
        <v>129</v>
      </c>
      <c r="N19" s="254" t="s">
        <v>212</v>
      </c>
      <c r="O19" s="254" t="s">
        <v>205</v>
      </c>
      <c r="P19" s="70" t="s">
        <v>45</v>
      </c>
      <c r="Q19" s="70" t="s">
        <v>45</v>
      </c>
      <c r="R19" s="70" t="s">
        <v>45</v>
      </c>
      <c r="S19" s="71">
        <f t="shared" si="1"/>
        <v>241</v>
      </c>
      <c r="T19" s="316">
        <f t="shared" si="0"/>
        <v>241</v>
      </c>
      <c r="U19" s="179" t="str">
        <f t="shared" si="2"/>
        <v/>
      </c>
      <c r="V19" s="120"/>
      <c r="W19" s="124">
        <f t="shared" si="8"/>
        <v>241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241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24</v>
      </c>
      <c r="F20" s="69"/>
      <c r="G20" s="68" t="s">
        <v>466</v>
      </c>
      <c r="H20" s="68" t="s">
        <v>470</v>
      </c>
      <c r="I20" s="81">
        <v>61.625</v>
      </c>
      <c r="J20" s="81">
        <v>82</v>
      </c>
      <c r="K20" s="254" t="s">
        <v>274</v>
      </c>
      <c r="L20" s="70"/>
      <c r="M20" s="284" t="s">
        <v>129</v>
      </c>
      <c r="N20" s="254" t="s">
        <v>212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f t="shared" si="1"/>
        <v>241</v>
      </c>
      <c r="T20" s="316">
        <f t="shared" si="0"/>
        <v>241</v>
      </c>
      <c r="U20" s="179" t="str">
        <f t="shared" si="2"/>
        <v/>
      </c>
      <c r="V20" s="120"/>
      <c r="W20" s="124">
        <f t="shared" si="8"/>
        <v>241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 t="str">
        <f t="shared" si="5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241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24</v>
      </c>
      <c r="F21" s="69"/>
      <c r="G21" s="68" t="s">
        <v>465</v>
      </c>
      <c r="H21" s="68" t="s">
        <v>471</v>
      </c>
      <c r="I21" s="81">
        <v>60.25</v>
      </c>
      <c r="J21" s="81">
        <v>82</v>
      </c>
      <c r="K21" s="254" t="s">
        <v>274</v>
      </c>
      <c r="L21" s="70"/>
      <c r="M21" s="284" t="s">
        <v>130</v>
      </c>
      <c r="N21" s="254" t="s">
        <v>213</v>
      </c>
      <c r="O21" s="254" t="s">
        <v>205</v>
      </c>
      <c r="P21" s="70" t="s">
        <v>45</v>
      </c>
      <c r="Q21" s="70" t="s">
        <v>45</v>
      </c>
      <c r="R21" s="70" t="s">
        <v>45</v>
      </c>
      <c r="S21" s="71">
        <f t="shared" si="1"/>
        <v>241</v>
      </c>
      <c r="T21" s="316">
        <f t="shared" si="0"/>
        <v>241</v>
      </c>
      <c r="U21" s="179" t="str">
        <f t="shared" si="2"/>
        <v/>
      </c>
      <c r="V21" s="120"/>
      <c r="W21" s="124">
        <f t="shared" si="8"/>
        <v>241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 t="str">
        <f t="shared" si="5"/>
        <v>ROLLER</v>
      </c>
      <c r="AC21" s="271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241</v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24</v>
      </c>
      <c r="F22" s="69"/>
      <c r="G22" s="68" t="s">
        <v>466</v>
      </c>
      <c r="H22" s="68" t="s">
        <v>471</v>
      </c>
      <c r="I22" s="81">
        <v>60.25</v>
      </c>
      <c r="J22" s="81">
        <v>82</v>
      </c>
      <c r="K22" s="254" t="s">
        <v>274</v>
      </c>
      <c r="L22" s="70"/>
      <c r="M22" s="284" t="s">
        <v>130</v>
      </c>
      <c r="N22" s="254" t="s">
        <v>213</v>
      </c>
      <c r="O22" s="254" t="s">
        <v>322</v>
      </c>
      <c r="P22" s="70" t="s">
        <v>45</v>
      </c>
      <c r="Q22" s="70" t="s">
        <v>45</v>
      </c>
      <c r="R22" s="70" t="s">
        <v>45</v>
      </c>
      <c r="S22" s="71">
        <f t="shared" si="1"/>
        <v>241</v>
      </c>
      <c r="T22" s="72">
        <f t="shared" si="0"/>
        <v>241</v>
      </c>
      <c r="U22" s="179" t="str">
        <f t="shared" si="2"/>
        <v/>
      </c>
      <c r="V22" s="67"/>
      <c r="W22" s="124">
        <f t="shared" si="8"/>
        <v>241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 t="str">
        <f t="shared" si="5"/>
        <v>ROLLER</v>
      </c>
      <c r="AC22" s="271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241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24</v>
      </c>
      <c r="F23" s="69"/>
      <c r="G23" s="68" t="s">
        <v>465</v>
      </c>
      <c r="H23" s="68" t="s">
        <v>472</v>
      </c>
      <c r="I23" s="81">
        <v>61.25</v>
      </c>
      <c r="J23" s="81">
        <v>82</v>
      </c>
      <c r="K23" s="254" t="s">
        <v>274</v>
      </c>
      <c r="L23" s="70"/>
      <c r="M23" s="284" t="s">
        <v>130</v>
      </c>
      <c r="N23" s="254" t="s">
        <v>212</v>
      </c>
      <c r="O23" s="254" t="s">
        <v>205</v>
      </c>
      <c r="P23" s="70" t="s">
        <v>45</v>
      </c>
      <c r="Q23" s="70" t="s">
        <v>45</v>
      </c>
      <c r="R23" s="70" t="s">
        <v>45</v>
      </c>
      <c r="S23" s="71">
        <f t="shared" si="1"/>
        <v>241</v>
      </c>
      <c r="T23" s="72">
        <f t="shared" si="0"/>
        <v>241</v>
      </c>
      <c r="U23" s="179" t="str">
        <f t="shared" si="2"/>
        <v/>
      </c>
      <c r="V23" s="67"/>
      <c r="W23" s="124">
        <f t="shared" si="8"/>
        <v>241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 t="str">
        <f t="shared" si="5"/>
        <v>ROLLER</v>
      </c>
      <c r="AC23" s="271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241</v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>
        <v>1</v>
      </c>
      <c r="D24" s="152" t="s">
        <v>88</v>
      </c>
      <c r="E24" s="69" t="s">
        <v>24</v>
      </c>
      <c r="F24" s="69"/>
      <c r="G24" s="68" t="s">
        <v>466</v>
      </c>
      <c r="H24" s="68" t="s">
        <v>472</v>
      </c>
      <c r="I24" s="81">
        <v>61.25</v>
      </c>
      <c r="J24" s="81">
        <v>82</v>
      </c>
      <c r="K24" s="254" t="s">
        <v>274</v>
      </c>
      <c r="L24" s="70"/>
      <c r="M24" s="284" t="s">
        <v>130</v>
      </c>
      <c r="N24" s="254" t="s">
        <v>212</v>
      </c>
      <c r="O24" s="254" t="s">
        <v>322</v>
      </c>
      <c r="P24" s="70" t="s">
        <v>45</v>
      </c>
      <c r="Q24" s="70" t="s">
        <v>45</v>
      </c>
      <c r="R24" s="70" t="s">
        <v>45</v>
      </c>
      <c r="S24" s="71">
        <f t="shared" si="1"/>
        <v>241</v>
      </c>
      <c r="T24" s="72">
        <f t="shared" si="0"/>
        <v>241</v>
      </c>
      <c r="U24" s="179" t="str">
        <f t="shared" si="2"/>
        <v/>
      </c>
      <c r="V24" s="67"/>
      <c r="W24" s="124">
        <f t="shared" si="8"/>
        <v>241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 t="str">
        <f t="shared" si="5"/>
        <v>ROLLER</v>
      </c>
      <c r="AC24" s="271"/>
      <c r="AD24" s="120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241</v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>
        <v>1</v>
      </c>
      <c r="D25" s="152" t="s">
        <v>88</v>
      </c>
      <c r="E25" s="69" t="s">
        <v>25</v>
      </c>
      <c r="F25" s="69"/>
      <c r="G25" s="68" t="s">
        <v>473</v>
      </c>
      <c r="H25" s="68" t="s">
        <v>474</v>
      </c>
      <c r="I25" s="81">
        <v>86</v>
      </c>
      <c r="J25" s="81">
        <v>87</v>
      </c>
      <c r="K25" s="254" t="s">
        <v>96</v>
      </c>
      <c r="L25" s="70"/>
      <c r="M25" s="284" t="s">
        <v>129</v>
      </c>
      <c r="N25" s="254" t="s">
        <v>213</v>
      </c>
      <c r="O25" s="254" t="s">
        <v>322</v>
      </c>
      <c r="P25" s="70" t="s">
        <v>45</v>
      </c>
      <c r="Q25" s="70" t="s">
        <v>45</v>
      </c>
      <c r="R25" s="70" t="s">
        <v>45</v>
      </c>
      <c r="S25" s="71">
        <f t="shared" si="1"/>
        <v>420</v>
      </c>
      <c r="T25" s="72">
        <f t="shared" si="0"/>
        <v>420</v>
      </c>
      <c r="U25" s="179" t="str">
        <f t="shared" si="2"/>
        <v/>
      </c>
      <c r="V25" s="67"/>
      <c r="W25" s="124">
        <f t="shared" si="8"/>
        <v>420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 t="str">
        <f t="shared" si="5"/>
        <v>ROLLER</v>
      </c>
      <c r="AC25" s="271"/>
      <c r="AD25" s="120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410</v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>
        <f>IF(K25="METAL CHAIN",'ROLLER G1'!AU19,"")</f>
        <v>10</v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>
        <f t="shared" si="6"/>
        <v>10</v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>
        <v>12</v>
      </c>
      <c r="D54" s="199"/>
      <c r="E54" s="206" t="s">
        <v>475</v>
      </c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180</v>
      </c>
      <c r="T54" s="114">
        <f>IF(S54="","",S54*C54)</f>
        <v>2160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3622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1086.5999999999999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2160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4695.3999999999996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4695.3999999999996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61.125</v>
      </c>
      <c r="Y7" s="7">
        <f>'CALCULATOR SHEET'!J13</f>
        <v>105.5</v>
      </c>
      <c r="Z7" s="7">
        <f>IF(X7=0,"",MATCH(CEILING(X7,6),$C$7:$R$7,0))</f>
        <v>8</v>
      </c>
      <c r="AA7" s="7">
        <f>IF(Y7=0,"",MATCH(CEILING(Y7,6),$B$10:$B$26,0))</f>
        <v>15</v>
      </c>
      <c r="AB7" s="146">
        <f>IF(Z7="","",INDEX($C$10:$R$26,AA7,Z7))</f>
        <v>432</v>
      </c>
    </row>
    <row r="8" spans="2:28" ht="15.75">
      <c r="U8" s="385"/>
      <c r="V8" s="147"/>
      <c r="W8" s="1">
        <f>+W7+1</f>
        <v>2</v>
      </c>
      <c r="X8" s="7">
        <f>'CALCULATOR SHEET'!I14</f>
        <v>61.125</v>
      </c>
      <c r="Y8" s="7">
        <f>'CALCULATOR SHEET'!J14</f>
        <v>105.5</v>
      </c>
      <c r="Z8" s="7">
        <f t="shared" ref="Z8:Z71" si="0">IF(X8=0,"",MATCH(CEILING(X8,6),$C$7:$R$7,0))</f>
        <v>8</v>
      </c>
      <c r="AA8" s="7">
        <f t="shared" ref="AA8:AA71" si="1">IF(Y8=0,"",MATCH(CEILING(Y8,6),$B$10:$B$26,0))</f>
        <v>15</v>
      </c>
      <c r="AB8" s="146">
        <f t="shared" ref="AB8:AB71" si="2">IF(Z8="","",INDEX($C$10:$R$26,AA8,Z8))</f>
        <v>432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60</v>
      </c>
      <c r="Y9" s="7">
        <f>'CALCULATOR SHEET'!J15</f>
        <v>105.5</v>
      </c>
      <c r="Z9" s="7">
        <f t="shared" si="0"/>
        <v>7</v>
      </c>
      <c r="AA9" s="7">
        <f t="shared" si="1"/>
        <v>15</v>
      </c>
      <c r="AB9" s="146">
        <f t="shared" si="2"/>
        <v>422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60</v>
      </c>
      <c r="Y10" s="7">
        <f>'CALCULATOR SHEET'!J16</f>
        <v>105.5</v>
      </c>
      <c r="Z10" s="7">
        <f t="shared" si="0"/>
        <v>7</v>
      </c>
      <c r="AA10" s="7">
        <f t="shared" si="1"/>
        <v>15</v>
      </c>
      <c r="AB10" s="146">
        <f t="shared" si="2"/>
        <v>422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61</v>
      </c>
      <c r="Y11" s="7">
        <f>'CALCULATOR SHEET'!J17</f>
        <v>105.5</v>
      </c>
      <c r="Z11" s="7">
        <f t="shared" si="0"/>
        <v>8</v>
      </c>
      <c r="AA11" s="7">
        <f t="shared" si="1"/>
        <v>15</v>
      </c>
      <c r="AB11" s="146">
        <f t="shared" si="2"/>
        <v>432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61</v>
      </c>
      <c r="Y12" s="7">
        <f>'CALCULATOR SHEET'!J18</f>
        <v>105.5</v>
      </c>
      <c r="Z12" s="7">
        <f t="shared" si="0"/>
        <v>8</v>
      </c>
      <c r="AA12" s="7">
        <f t="shared" si="1"/>
        <v>15</v>
      </c>
      <c r="AB12" s="146">
        <f t="shared" si="2"/>
        <v>432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61.625</v>
      </c>
      <c r="Y13" s="7">
        <f>'CALCULATOR SHEET'!J19</f>
        <v>82</v>
      </c>
      <c r="Z13" s="7">
        <f t="shared" si="0"/>
        <v>8</v>
      </c>
      <c r="AA13" s="7">
        <f t="shared" si="1"/>
        <v>11</v>
      </c>
      <c r="AB13" s="146">
        <f t="shared" si="2"/>
        <v>358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61.625</v>
      </c>
      <c r="Y14" s="7">
        <f>'CALCULATOR SHEET'!J20</f>
        <v>82</v>
      </c>
      <c r="Z14" s="7">
        <f t="shared" si="0"/>
        <v>8</v>
      </c>
      <c r="AA14" s="7">
        <f t="shared" si="1"/>
        <v>11</v>
      </c>
      <c r="AB14" s="146">
        <f t="shared" si="2"/>
        <v>358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60.25</v>
      </c>
      <c r="Y15" s="7">
        <f>'CALCULATOR SHEET'!J21</f>
        <v>82</v>
      </c>
      <c r="Z15" s="7">
        <f t="shared" si="0"/>
        <v>8</v>
      </c>
      <c r="AA15" s="7">
        <f t="shared" si="1"/>
        <v>11</v>
      </c>
      <c r="AB15" s="146">
        <f t="shared" si="2"/>
        <v>358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60.25</v>
      </c>
      <c r="Y16" s="7">
        <f>'CALCULATOR SHEET'!J22</f>
        <v>82</v>
      </c>
      <c r="Z16" s="7">
        <f t="shared" si="0"/>
        <v>8</v>
      </c>
      <c r="AA16" s="7">
        <f t="shared" si="1"/>
        <v>11</v>
      </c>
      <c r="AB16" s="146">
        <f t="shared" si="2"/>
        <v>358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61.25</v>
      </c>
      <c r="Y17" s="7">
        <f>'CALCULATOR SHEET'!J23</f>
        <v>82</v>
      </c>
      <c r="Z17" s="7">
        <f t="shared" si="0"/>
        <v>8</v>
      </c>
      <c r="AA17" s="7">
        <f t="shared" si="1"/>
        <v>11</v>
      </c>
      <c r="AB17" s="146">
        <f t="shared" si="2"/>
        <v>358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61.25</v>
      </c>
      <c r="Y18" s="7">
        <f>'CALCULATOR SHEET'!J24</f>
        <v>82</v>
      </c>
      <c r="Z18" s="7">
        <f t="shared" si="0"/>
        <v>8</v>
      </c>
      <c r="AA18" s="7">
        <f t="shared" si="1"/>
        <v>11</v>
      </c>
      <c r="AB18" s="146">
        <f t="shared" si="2"/>
        <v>358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86</v>
      </c>
      <c r="Y19" s="7">
        <f>'CALCULATOR SHEET'!J25</f>
        <v>87</v>
      </c>
      <c r="Z19" s="7">
        <f t="shared" si="0"/>
        <v>12</v>
      </c>
      <c r="AA19" s="7">
        <f t="shared" si="1"/>
        <v>12</v>
      </c>
      <c r="AB19" s="146">
        <f t="shared" si="2"/>
        <v>405</v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61.125</v>
      </c>
      <c r="X7" s="7">
        <f>'CALCULATOR SHEET'!J13</f>
        <v>105.5</v>
      </c>
      <c r="Y7" s="7">
        <f>IF(W7=0,"",MATCH(CEILING(W7,6),$C$7:$Q$7,0))</f>
        <v>8</v>
      </c>
      <c r="Z7" s="7">
        <f>IF(X7=0,"",MATCH(CEILING(X7,6),$B$10:$B$26,0))</f>
        <v>15</v>
      </c>
      <c r="AA7" s="146">
        <f>IF(Y7="","",INDEX($C$10:$Q$26,Z7,Y7))</f>
        <v>511</v>
      </c>
    </row>
    <row r="8" spans="2:27">
      <c r="T8" s="385"/>
      <c r="V8" s="1">
        <f>+V7+1</f>
        <v>2</v>
      </c>
      <c r="W8" s="7">
        <f>'CALCULATOR SHEET'!I14</f>
        <v>61.125</v>
      </c>
      <c r="X8" s="7">
        <f>'CALCULATOR SHEET'!J14</f>
        <v>105.5</v>
      </c>
      <c r="Y8" s="7">
        <f t="shared" ref="Y8:Y71" si="1">IF(W8=0,"",MATCH(CEILING(W8,6),$C$7:$Q$7,0))</f>
        <v>8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511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60</v>
      </c>
      <c r="X9" s="7">
        <f>'CALCULATOR SHEET'!J15</f>
        <v>105.5</v>
      </c>
      <c r="Y9" s="7">
        <f t="shared" si="1"/>
        <v>7</v>
      </c>
      <c r="Z9" s="7">
        <f t="shared" si="2"/>
        <v>15</v>
      </c>
      <c r="AA9" s="146">
        <f t="shared" si="3"/>
        <v>500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60</v>
      </c>
      <c r="X10" s="7">
        <f>'CALCULATOR SHEET'!J16</f>
        <v>105.5</v>
      </c>
      <c r="Y10" s="7">
        <f t="shared" si="1"/>
        <v>7</v>
      </c>
      <c r="Z10" s="7">
        <f t="shared" si="2"/>
        <v>15</v>
      </c>
      <c r="AA10" s="146">
        <f t="shared" si="3"/>
        <v>500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61</v>
      </c>
      <c r="X11" s="7">
        <f>'CALCULATOR SHEET'!J17</f>
        <v>105.5</v>
      </c>
      <c r="Y11" s="7">
        <f t="shared" si="1"/>
        <v>8</v>
      </c>
      <c r="Z11" s="7">
        <f t="shared" si="2"/>
        <v>15</v>
      </c>
      <c r="AA11" s="146">
        <f t="shared" si="3"/>
        <v>511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61</v>
      </c>
      <c r="X12" s="7">
        <f>'CALCULATOR SHEET'!J18</f>
        <v>105.5</v>
      </c>
      <c r="Y12" s="7">
        <f t="shared" si="1"/>
        <v>8</v>
      </c>
      <c r="Z12" s="7">
        <f t="shared" si="2"/>
        <v>15</v>
      </c>
      <c r="AA12" s="146">
        <f t="shared" si="3"/>
        <v>511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61.625</v>
      </c>
      <c r="X13" s="7">
        <f>'CALCULATOR SHEET'!J19</f>
        <v>82</v>
      </c>
      <c r="Y13" s="7">
        <f t="shared" si="1"/>
        <v>8</v>
      </c>
      <c r="Z13" s="7">
        <f t="shared" si="2"/>
        <v>11</v>
      </c>
      <c r="AA13" s="146">
        <f t="shared" si="3"/>
        <v>419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61.625</v>
      </c>
      <c r="X14" s="7">
        <f>'CALCULATOR SHEET'!J20</f>
        <v>82</v>
      </c>
      <c r="Y14" s="7">
        <f t="shared" si="1"/>
        <v>8</v>
      </c>
      <c r="Z14" s="7">
        <f t="shared" si="2"/>
        <v>11</v>
      </c>
      <c r="AA14" s="146">
        <f t="shared" si="3"/>
        <v>419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60.25</v>
      </c>
      <c r="X15" s="7">
        <f>'CALCULATOR SHEET'!J21</f>
        <v>82</v>
      </c>
      <c r="Y15" s="7">
        <f t="shared" si="1"/>
        <v>8</v>
      </c>
      <c r="Z15" s="7">
        <f t="shared" si="2"/>
        <v>11</v>
      </c>
      <c r="AA15" s="146">
        <f t="shared" si="3"/>
        <v>419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60.25</v>
      </c>
      <c r="X16" s="7">
        <f>'CALCULATOR SHEET'!J22</f>
        <v>82</v>
      </c>
      <c r="Y16" s="7">
        <f t="shared" si="1"/>
        <v>8</v>
      </c>
      <c r="Z16" s="7">
        <f t="shared" si="2"/>
        <v>11</v>
      </c>
      <c r="AA16" s="146">
        <f t="shared" si="3"/>
        <v>419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61.25</v>
      </c>
      <c r="X17" s="7">
        <f>'CALCULATOR SHEET'!J23</f>
        <v>82</v>
      </c>
      <c r="Y17" s="7">
        <f t="shared" si="1"/>
        <v>8</v>
      </c>
      <c r="Z17" s="7">
        <f t="shared" si="2"/>
        <v>11</v>
      </c>
      <c r="AA17" s="146">
        <f t="shared" si="3"/>
        <v>419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61.25</v>
      </c>
      <c r="X18" s="7">
        <f>'CALCULATOR SHEET'!J24</f>
        <v>82</v>
      </c>
      <c r="Y18" s="7">
        <f t="shared" si="1"/>
        <v>8</v>
      </c>
      <c r="Z18" s="7">
        <f t="shared" si="2"/>
        <v>11</v>
      </c>
      <c r="AA18" s="146">
        <f t="shared" si="3"/>
        <v>419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86</v>
      </c>
      <c r="X19" s="7">
        <f>'CALCULATOR SHEET'!J25</f>
        <v>87</v>
      </c>
      <c r="Y19" s="7">
        <f t="shared" si="1"/>
        <v>12</v>
      </c>
      <c r="Z19" s="7">
        <f t="shared" si="2"/>
        <v>12</v>
      </c>
      <c r="AA19" s="146">
        <f t="shared" si="3"/>
        <v>472</v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61.125</v>
      </c>
      <c r="X7" s="7">
        <f>'CALCULATOR SHEET'!J13</f>
        <v>105.5</v>
      </c>
      <c r="Y7" s="7">
        <f>IF(W7=0,"",MATCH(CEILING(W7,6),$C$7:$Q$7,0))</f>
        <v>8</v>
      </c>
      <c r="Z7" s="7">
        <f>IF(X7=0,"",MATCH(CEILING(X7,6),$B$10:$B$26,0))</f>
        <v>15</v>
      </c>
      <c r="AA7" s="146">
        <f>IF(Y7="","",INDEX($C$10:$Q$26,Z7,Y7))</f>
        <v>496</v>
      </c>
    </row>
    <row r="8" spans="2:27" ht="15" customHeight="1">
      <c r="T8" s="385"/>
      <c r="V8" s="1">
        <f>+V7+1</f>
        <v>2</v>
      </c>
      <c r="W8" s="7">
        <f>'CALCULATOR SHEET'!I14</f>
        <v>61.125</v>
      </c>
      <c r="X8" s="7">
        <f>'CALCULATOR SHEET'!J14</f>
        <v>105.5</v>
      </c>
      <c r="Y8" s="7">
        <f t="shared" ref="Y8:Y71" si="1">IF(W8=0,"",MATCH(CEILING(W8,6),$C$7:$Q$7,0))</f>
        <v>8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496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60</v>
      </c>
      <c r="X9" s="7">
        <f>'CALCULATOR SHEET'!J15</f>
        <v>105.5</v>
      </c>
      <c r="Y9" s="7">
        <f t="shared" si="1"/>
        <v>7</v>
      </c>
      <c r="Z9" s="7">
        <f t="shared" si="2"/>
        <v>15</v>
      </c>
      <c r="AA9" s="146">
        <f t="shared" si="3"/>
        <v>486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60</v>
      </c>
      <c r="X10" s="7">
        <f>'CALCULATOR SHEET'!J16</f>
        <v>105.5</v>
      </c>
      <c r="Y10" s="7">
        <f t="shared" si="1"/>
        <v>7</v>
      </c>
      <c r="Z10" s="7">
        <f t="shared" si="2"/>
        <v>15</v>
      </c>
      <c r="AA10" s="146">
        <f t="shared" si="3"/>
        <v>486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61</v>
      </c>
      <c r="X11" s="7">
        <f>'CALCULATOR SHEET'!J17</f>
        <v>105.5</v>
      </c>
      <c r="Y11" s="7">
        <f t="shared" si="1"/>
        <v>8</v>
      </c>
      <c r="Z11" s="7">
        <f t="shared" si="2"/>
        <v>15</v>
      </c>
      <c r="AA11" s="146">
        <f t="shared" si="3"/>
        <v>496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61</v>
      </c>
      <c r="X12" s="7">
        <f>'CALCULATOR SHEET'!J18</f>
        <v>105.5</v>
      </c>
      <c r="Y12" s="7">
        <f t="shared" si="1"/>
        <v>8</v>
      </c>
      <c r="Z12" s="7">
        <f t="shared" si="2"/>
        <v>15</v>
      </c>
      <c r="AA12" s="146">
        <f t="shared" si="3"/>
        <v>496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61.625</v>
      </c>
      <c r="X13" s="7">
        <f>'CALCULATOR SHEET'!J19</f>
        <v>82</v>
      </c>
      <c r="Y13" s="7">
        <f t="shared" si="1"/>
        <v>8</v>
      </c>
      <c r="Z13" s="7">
        <f t="shared" si="2"/>
        <v>11</v>
      </c>
      <c r="AA13" s="146">
        <f t="shared" si="3"/>
        <v>407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61.625</v>
      </c>
      <c r="X14" s="7">
        <f>'CALCULATOR SHEET'!J20</f>
        <v>82</v>
      </c>
      <c r="Y14" s="7">
        <f t="shared" si="1"/>
        <v>8</v>
      </c>
      <c r="Z14" s="7">
        <f t="shared" si="2"/>
        <v>11</v>
      </c>
      <c r="AA14" s="146">
        <f t="shared" si="3"/>
        <v>407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60.25</v>
      </c>
      <c r="X15" s="7">
        <f>'CALCULATOR SHEET'!J21</f>
        <v>82</v>
      </c>
      <c r="Y15" s="7">
        <f t="shared" si="1"/>
        <v>8</v>
      </c>
      <c r="Z15" s="7">
        <f t="shared" si="2"/>
        <v>11</v>
      </c>
      <c r="AA15" s="146">
        <f t="shared" si="3"/>
        <v>407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60.25</v>
      </c>
      <c r="X16" s="7">
        <f>'CALCULATOR SHEET'!J22</f>
        <v>82</v>
      </c>
      <c r="Y16" s="7">
        <f t="shared" si="1"/>
        <v>8</v>
      </c>
      <c r="Z16" s="7">
        <f t="shared" si="2"/>
        <v>11</v>
      </c>
      <c r="AA16" s="146">
        <f t="shared" si="3"/>
        <v>407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61.25</v>
      </c>
      <c r="X17" s="7">
        <f>'CALCULATOR SHEET'!J23</f>
        <v>82</v>
      </c>
      <c r="Y17" s="7">
        <f t="shared" si="1"/>
        <v>8</v>
      </c>
      <c r="Z17" s="7">
        <f t="shared" si="2"/>
        <v>11</v>
      </c>
      <c r="AA17" s="146">
        <f t="shared" si="3"/>
        <v>407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61.25</v>
      </c>
      <c r="X18" s="7">
        <f>'CALCULATOR SHEET'!J24</f>
        <v>82</v>
      </c>
      <c r="Y18" s="7">
        <f t="shared" si="1"/>
        <v>8</v>
      </c>
      <c r="Z18" s="7">
        <f t="shared" si="2"/>
        <v>11</v>
      </c>
      <c r="AA18" s="146">
        <f t="shared" si="3"/>
        <v>407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86</v>
      </c>
      <c r="X19" s="7">
        <f>'CALCULATOR SHEET'!J25</f>
        <v>87</v>
      </c>
      <c r="Y19" s="7">
        <f t="shared" si="1"/>
        <v>12</v>
      </c>
      <c r="Z19" s="7">
        <f t="shared" si="2"/>
        <v>12</v>
      </c>
      <c r="AA19" s="146">
        <f t="shared" si="3"/>
        <v>457</v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61.125</v>
      </c>
      <c r="X7" s="7">
        <f>'CALCULATOR SHEET'!J13</f>
        <v>105.5</v>
      </c>
      <c r="Y7" s="7">
        <f>IF(W7=0,"",MATCH(CEILING(W7,6),$C$7:$Q$7,0))</f>
        <v>8</v>
      </c>
      <c r="Z7" s="7">
        <f>IF(X7=0,"",MATCH(CEILING(X7,6),$B$10:$B$26,0))</f>
        <v>15</v>
      </c>
      <c r="AA7" s="146">
        <f>IF(Y7="","",INDEX($C$10:$Q$26,Z7,Y7))</f>
        <v>680</v>
      </c>
    </row>
    <row r="8" spans="2:27" ht="15" customHeight="1">
      <c r="T8" s="385"/>
      <c r="V8" s="1">
        <f>+V7+1</f>
        <v>2</v>
      </c>
      <c r="W8" s="7">
        <f>'CALCULATOR SHEET'!I14</f>
        <v>61.125</v>
      </c>
      <c r="X8" s="7">
        <f>'CALCULATOR SHEET'!J14</f>
        <v>105.5</v>
      </c>
      <c r="Y8" s="7">
        <f t="shared" ref="Y8:Y71" si="1">IF(W8=0,"",MATCH(CEILING(W8,6),$C$7:$Q$7,0))</f>
        <v>8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680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60</v>
      </c>
      <c r="X9" s="7">
        <f>'CALCULATOR SHEET'!J15</f>
        <v>105.5</v>
      </c>
      <c r="Y9" s="7">
        <f t="shared" si="1"/>
        <v>7</v>
      </c>
      <c r="Z9" s="7">
        <f t="shared" si="2"/>
        <v>15</v>
      </c>
      <c r="AA9" s="146">
        <f t="shared" si="3"/>
        <v>670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60</v>
      </c>
      <c r="X10" s="7">
        <f>'CALCULATOR SHEET'!J16</f>
        <v>105.5</v>
      </c>
      <c r="Y10" s="7">
        <f t="shared" si="1"/>
        <v>7</v>
      </c>
      <c r="Z10" s="7">
        <f t="shared" si="2"/>
        <v>15</v>
      </c>
      <c r="AA10" s="146">
        <f t="shared" si="3"/>
        <v>670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61</v>
      </c>
      <c r="X11" s="7">
        <f>'CALCULATOR SHEET'!J17</f>
        <v>105.5</v>
      </c>
      <c r="Y11" s="7">
        <f t="shared" si="1"/>
        <v>8</v>
      </c>
      <c r="Z11" s="7">
        <f t="shared" si="2"/>
        <v>15</v>
      </c>
      <c r="AA11" s="146">
        <f t="shared" si="3"/>
        <v>680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61</v>
      </c>
      <c r="X12" s="7">
        <f>'CALCULATOR SHEET'!J18</f>
        <v>105.5</v>
      </c>
      <c r="Y12" s="7">
        <f t="shared" si="1"/>
        <v>8</v>
      </c>
      <c r="Z12" s="7">
        <f t="shared" si="2"/>
        <v>15</v>
      </c>
      <c r="AA12" s="146">
        <f t="shared" si="3"/>
        <v>680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61.625</v>
      </c>
      <c r="X13" s="7">
        <f>'CALCULATOR SHEET'!J19</f>
        <v>82</v>
      </c>
      <c r="Y13" s="7">
        <f t="shared" si="1"/>
        <v>8</v>
      </c>
      <c r="Z13" s="7">
        <f t="shared" si="2"/>
        <v>11</v>
      </c>
      <c r="AA13" s="146">
        <f t="shared" si="3"/>
        <v>553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61.625</v>
      </c>
      <c r="X14" s="7">
        <f>'CALCULATOR SHEET'!J20</f>
        <v>82</v>
      </c>
      <c r="Y14" s="7">
        <f t="shared" si="1"/>
        <v>8</v>
      </c>
      <c r="Z14" s="7">
        <f t="shared" si="2"/>
        <v>11</v>
      </c>
      <c r="AA14" s="146">
        <f t="shared" si="3"/>
        <v>553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60.25</v>
      </c>
      <c r="X15" s="7">
        <f>'CALCULATOR SHEET'!J21</f>
        <v>82</v>
      </c>
      <c r="Y15" s="7">
        <f t="shared" si="1"/>
        <v>8</v>
      </c>
      <c r="Z15" s="7">
        <f t="shared" si="2"/>
        <v>11</v>
      </c>
      <c r="AA15" s="146">
        <f t="shared" si="3"/>
        <v>553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60.25</v>
      </c>
      <c r="X16" s="7">
        <f>'CALCULATOR SHEET'!J22</f>
        <v>82</v>
      </c>
      <c r="Y16" s="7">
        <f t="shared" si="1"/>
        <v>8</v>
      </c>
      <c r="Z16" s="7">
        <f t="shared" si="2"/>
        <v>11</v>
      </c>
      <c r="AA16" s="146">
        <f t="shared" si="3"/>
        <v>553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61.25</v>
      </c>
      <c r="X17" s="7">
        <f>'CALCULATOR SHEET'!J23</f>
        <v>82</v>
      </c>
      <c r="Y17" s="7">
        <f t="shared" si="1"/>
        <v>8</v>
      </c>
      <c r="Z17" s="7">
        <f t="shared" si="2"/>
        <v>11</v>
      </c>
      <c r="AA17" s="146">
        <f t="shared" si="3"/>
        <v>553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61.25</v>
      </c>
      <c r="X18" s="7">
        <f>'CALCULATOR SHEET'!J24</f>
        <v>82</v>
      </c>
      <c r="Y18" s="7">
        <f t="shared" si="1"/>
        <v>8</v>
      </c>
      <c r="Z18" s="7">
        <f t="shared" si="2"/>
        <v>11</v>
      </c>
      <c r="AA18" s="146">
        <f t="shared" si="3"/>
        <v>553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86</v>
      </c>
      <c r="X19" s="7">
        <f>'CALCULATOR SHEET'!J25</f>
        <v>87</v>
      </c>
      <c r="Y19" s="7">
        <f t="shared" si="1"/>
        <v>12</v>
      </c>
      <c r="Z19" s="7">
        <f t="shared" si="2"/>
        <v>12</v>
      </c>
      <c r="AA19" s="146">
        <f t="shared" si="3"/>
        <v>615</v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61.125</v>
      </c>
      <c r="X7" s="7">
        <f>'CALCULATOR SHEET'!J13</f>
        <v>105.5</v>
      </c>
      <c r="Y7" s="7">
        <f>IF(W7=0,"",MATCH(CEILING(W7,6),$C$7:$Q$7,0))</f>
        <v>8</v>
      </c>
      <c r="Z7" s="7">
        <f>IF(X7=0,"",MATCH(CEILING(X7,6),$B$10:$B$26,0))</f>
        <v>15</v>
      </c>
      <c r="AA7" s="146">
        <f>IF(Y7="","",INDEX($C$10:$Q$26,Z7,Y7))</f>
        <v>720</v>
      </c>
    </row>
    <row r="8" spans="2:27" ht="15" customHeight="1">
      <c r="T8" s="385"/>
      <c r="V8" s="1">
        <f>+V7+1</f>
        <v>2</v>
      </c>
      <c r="W8" s="7">
        <f>'CALCULATOR SHEET'!I14</f>
        <v>61.125</v>
      </c>
      <c r="X8" s="7">
        <f>'CALCULATOR SHEET'!J14</f>
        <v>105.5</v>
      </c>
      <c r="Y8" s="7">
        <f t="shared" ref="Y8:Y71" si="1">IF(W8=0,"",MATCH(CEILING(W8,6),$C$7:$Q$7,0))</f>
        <v>8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720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60</v>
      </c>
      <c r="X9" s="7">
        <f>'CALCULATOR SHEET'!J15</f>
        <v>105.5</v>
      </c>
      <c r="Y9" s="7">
        <f t="shared" si="1"/>
        <v>7</v>
      </c>
      <c r="Z9" s="7">
        <f t="shared" si="2"/>
        <v>15</v>
      </c>
      <c r="AA9" s="146">
        <f t="shared" si="3"/>
        <v>710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60</v>
      </c>
      <c r="X10" s="7">
        <f>'CALCULATOR SHEET'!J16</f>
        <v>105.5</v>
      </c>
      <c r="Y10" s="7">
        <f t="shared" si="1"/>
        <v>7</v>
      </c>
      <c r="Z10" s="7">
        <f t="shared" si="2"/>
        <v>15</v>
      </c>
      <c r="AA10" s="146">
        <f t="shared" si="3"/>
        <v>710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61</v>
      </c>
      <c r="X11" s="7">
        <f>'CALCULATOR SHEET'!J17</f>
        <v>105.5</v>
      </c>
      <c r="Y11" s="7">
        <f t="shared" si="1"/>
        <v>8</v>
      </c>
      <c r="Z11" s="7">
        <f t="shared" si="2"/>
        <v>15</v>
      </c>
      <c r="AA11" s="146">
        <f t="shared" si="3"/>
        <v>720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61</v>
      </c>
      <c r="X12" s="7">
        <f>'CALCULATOR SHEET'!J18</f>
        <v>105.5</v>
      </c>
      <c r="Y12" s="7">
        <f t="shared" si="1"/>
        <v>8</v>
      </c>
      <c r="Z12" s="7">
        <f t="shared" si="2"/>
        <v>15</v>
      </c>
      <c r="AA12" s="146">
        <f t="shared" si="3"/>
        <v>720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61.625</v>
      </c>
      <c r="X13" s="7">
        <f>'CALCULATOR SHEET'!J19</f>
        <v>82</v>
      </c>
      <c r="Y13" s="7">
        <f t="shared" si="1"/>
        <v>8</v>
      </c>
      <c r="Z13" s="7">
        <f t="shared" si="2"/>
        <v>11</v>
      </c>
      <c r="AA13" s="146">
        <f t="shared" si="3"/>
        <v>584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61.625</v>
      </c>
      <c r="X14" s="7">
        <f>'CALCULATOR SHEET'!J20</f>
        <v>82</v>
      </c>
      <c r="Y14" s="7">
        <f t="shared" si="1"/>
        <v>8</v>
      </c>
      <c r="Z14" s="7">
        <f t="shared" si="2"/>
        <v>11</v>
      </c>
      <c r="AA14" s="146">
        <f t="shared" si="3"/>
        <v>584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60.25</v>
      </c>
      <c r="X15" s="7">
        <f>'CALCULATOR SHEET'!J21</f>
        <v>82</v>
      </c>
      <c r="Y15" s="7">
        <f t="shared" si="1"/>
        <v>8</v>
      </c>
      <c r="Z15" s="7">
        <f t="shared" si="2"/>
        <v>11</v>
      </c>
      <c r="AA15" s="146">
        <f t="shared" si="3"/>
        <v>584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60.25</v>
      </c>
      <c r="X16" s="7">
        <f>'CALCULATOR SHEET'!J22</f>
        <v>82</v>
      </c>
      <c r="Y16" s="7">
        <f t="shared" si="1"/>
        <v>8</v>
      </c>
      <c r="Z16" s="7">
        <f t="shared" si="2"/>
        <v>11</v>
      </c>
      <c r="AA16" s="146">
        <f t="shared" si="3"/>
        <v>584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61.25</v>
      </c>
      <c r="X17" s="7">
        <f>'CALCULATOR SHEET'!J23</f>
        <v>82</v>
      </c>
      <c r="Y17" s="7">
        <f t="shared" si="1"/>
        <v>8</v>
      </c>
      <c r="Z17" s="7">
        <f t="shared" si="2"/>
        <v>11</v>
      </c>
      <c r="AA17" s="146">
        <f t="shared" si="3"/>
        <v>584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61.25</v>
      </c>
      <c r="X18" s="7">
        <f>'CALCULATOR SHEET'!J24</f>
        <v>82</v>
      </c>
      <c r="Y18" s="7">
        <f t="shared" si="1"/>
        <v>8</v>
      </c>
      <c r="Z18" s="7">
        <f t="shared" si="2"/>
        <v>11</v>
      </c>
      <c r="AA18" s="146">
        <f t="shared" si="3"/>
        <v>584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86</v>
      </c>
      <c r="X19" s="7">
        <f>'CALCULATOR SHEET'!J25</f>
        <v>87</v>
      </c>
      <c r="Y19" s="7">
        <f t="shared" si="1"/>
        <v>12</v>
      </c>
      <c r="Z19" s="7">
        <f t="shared" si="2"/>
        <v>12</v>
      </c>
      <c r="AA19" s="146">
        <f t="shared" si="3"/>
        <v>649</v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61.125</v>
      </c>
      <c r="X7" s="7">
        <f>'CALCULATOR SHEET'!J13</f>
        <v>105.5</v>
      </c>
      <c r="Y7" s="7">
        <f>IF(W7=0,"",MATCH(CEILING(W7,6),$C$7:$Q$7,0))</f>
        <v>8</v>
      </c>
      <c r="Z7" s="7">
        <f>IF(X7=0,"",MATCH(CEILING(X7,6),$B$10:$B$26,0))</f>
        <v>15</v>
      </c>
      <c r="AA7" s="146">
        <f>IF(Y7="","",INDEX($C$10:$Q$26,Z7,Y7))</f>
        <v>723</v>
      </c>
    </row>
    <row r="8" spans="2:27" ht="15" customHeight="1">
      <c r="T8" s="385"/>
      <c r="V8" s="1">
        <f>+V7+1</f>
        <v>2</v>
      </c>
      <c r="W8" s="7">
        <f>'CALCULATOR SHEET'!I14</f>
        <v>61.125</v>
      </c>
      <c r="X8" s="7">
        <f>'CALCULATOR SHEET'!J14</f>
        <v>105.5</v>
      </c>
      <c r="Y8" s="7">
        <f t="shared" ref="Y8:Y71" si="1">IF(W8=0,"",MATCH(CEILING(W8,6),$C$7:$Q$7,0))</f>
        <v>8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723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60</v>
      </c>
      <c r="X9" s="7">
        <f>'CALCULATOR SHEET'!J15</f>
        <v>105.5</v>
      </c>
      <c r="Y9" s="7">
        <f t="shared" si="1"/>
        <v>7</v>
      </c>
      <c r="Z9" s="7">
        <f t="shared" si="2"/>
        <v>15</v>
      </c>
      <c r="AA9" s="146">
        <f t="shared" si="3"/>
        <v>714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60</v>
      </c>
      <c r="X10" s="7">
        <f>'CALCULATOR SHEET'!J16</f>
        <v>105.5</v>
      </c>
      <c r="Y10" s="7">
        <f t="shared" si="1"/>
        <v>7</v>
      </c>
      <c r="Z10" s="7">
        <f t="shared" si="2"/>
        <v>15</v>
      </c>
      <c r="AA10" s="146">
        <f t="shared" si="3"/>
        <v>714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61</v>
      </c>
      <c r="X11" s="7">
        <f>'CALCULATOR SHEET'!J17</f>
        <v>105.5</v>
      </c>
      <c r="Y11" s="7">
        <f t="shared" si="1"/>
        <v>8</v>
      </c>
      <c r="Z11" s="7">
        <f t="shared" si="2"/>
        <v>15</v>
      </c>
      <c r="AA11" s="146">
        <f t="shared" si="3"/>
        <v>723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61</v>
      </c>
      <c r="X12" s="7">
        <f>'CALCULATOR SHEET'!J18</f>
        <v>105.5</v>
      </c>
      <c r="Y12" s="7">
        <f t="shared" si="1"/>
        <v>8</v>
      </c>
      <c r="Z12" s="7">
        <f t="shared" si="2"/>
        <v>15</v>
      </c>
      <c r="AA12" s="146">
        <f t="shared" si="3"/>
        <v>723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61.625</v>
      </c>
      <c r="X13" s="7">
        <f>'CALCULATOR SHEET'!J19</f>
        <v>82</v>
      </c>
      <c r="Y13" s="7">
        <f t="shared" si="1"/>
        <v>8</v>
      </c>
      <c r="Z13" s="7">
        <f t="shared" si="2"/>
        <v>11</v>
      </c>
      <c r="AA13" s="146">
        <f t="shared" si="3"/>
        <v>583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61.625</v>
      </c>
      <c r="X14" s="7">
        <f>'CALCULATOR SHEET'!J20</f>
        <v>82</v>
      </c>
      <c r="Y14" s="7">
        <f t="shared" si="1"/>
        <v>8</v>
      </c>
      <c r="Z14" s="7">
        <f t="shared" si="2"/>
        <v>11</v>
      </c>
      <c r="AA14" s="146">
        <f t="shared" si="3"/>
        <v>583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60.25</v>
      </c>
      <c r="X15" s="7">
        <f>'CALCULATOR SHEET'!J21</f>
        <v>82</v>
      </c>
      <c r="Y15" s="7">
        <f t="shared" si="1"/>
        <v>8</v>
      </c>
      <c r="Z15" s="7">
        <f t="shared" si="2"/>
        <v>11</v>
      </c>
      <c r="AA15" s="146">
        <f t="shared" si="3"/>
        <v>583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60.25</v>
      </c>
      <c r="X16" s="7">
        <f>'CALCULATOR SHEET'!J22</f>
        <v>82</v>
      </c>
      <c r="Y16" s="7">
        <f t="shared" si="1"/>
        <v>8</v>
      </c>
      <c r="Z16" s="7">
        <f t="shared" si="2"/>
        <v>11</v>
      </c>
      <c r="AA16" s="146">
        <f t="shared" si="3"/>
        <v>583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61.25</v>
      </c>
      <c r="X17" s="7">
        <f>'CALCULATOR SHEET'!J23</f>
        <v>82</v>
      </c>
      <c r="Y17" s="7">
        <f t="shared" si="1"/>
        <v>8</v>
      </c>
      <c r="Z17" s="7">
        <f t="shared" si="2"/>
        <v>11</v>
      </c>
      <c r="AA17" s="146">
        <f t="shared" si="3"/>
        <v>583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61.25</v>
      </c>
      <c r="X18" s="7">
        <f>'CALCULATOR SHEET'!J24</f>
        <v>82</v>
      </c>
      <c r="Y18" s="7">
        <f t="shared" si="1"/>
        <v>8</v>
      </c>
      <c r="Z18" s="7">
        <f t="shared" si="2"/>
        <v>11</v>
      </c>
      <c r="AA18" s="146">
        <f t="shared" si="3"/>
        <v>583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86</v>
      </c>
      <c r="X19" s="7">
        <f>'CALCULATOR SHEET'!J25</f>
        <v>87</v>
      </c>
      <c r="Y19" s="7">
        <f t="shared" si="1"/>
        <v>12</v>
      </c>
      <c r="Z19" s="7">
        <f t="shared" si="2"/>
        <v>12</v>
      </c>
      <c r="AA19" s="146">
        <f t="shared" si="3"/>
        <v>644</v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61.125</v>
      </c>
      <c r="Y5" s="7">
        <f>'PM-ORDER'!P5</f>
        <v>105.5</v>
      </c>
      <c r="Z5" s="7">
        <f>IF(X5&lt;&gt;"",MATCH(CEILING(X5,6),$C$4:$S$4,0),"")</f>
        <v>8</v>
      </c>
      <c r="AA5" s="7">
        <f>IF(X5&lt;&gt;"",MATCH(CEILING(Y5,6),$B$7:$B$26,0),"")</f>
        <v>15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61.125</v>
      </c>
      <c r="Y6" s="7">
        <f>'PM-ORDER'!P6</f>
        <v>105.5</v>
      </c>
      <c r="Z6" s="7">
        <f t="shared" ref="Z6:Z44" si="0">IF(X6&lt;&gt;"",MATCH(CEILING(X6,6),$C$4:$S$4,0),"")</f>
        <v>8</v>
      </c>
      <c r="AA6" s="7">
        <f t="shared" ref="AA6:AA44" si="1">IF(X6&lt;&gt;"",MATCH(CEILING(Y6,6),$B$7:$B$26,0),"")</f>
        <v>15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60</v>
      </c>
      <c r="Y7" s="7">
        <f>'PM-ORDER'!P7</f>
        <v>105.5</v>
      </c>
      <c r="Z7" s="7">
        <f t="shared" si="0"/>
        <v>7</v>
      </c>
      <c r="AA7" s="7">
        <f t="shared" si="1"/>
        <v>15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60</v>
      </c>
      <c r="Y8" s="7">
        <f>'PM-ORDER'!P8</f>
        <v>105.5</v>
      </c>
      <c r="Z8" s="7">
        <f t="shared" si="0"/>
        <v>7</v>
      </c>
      <c r="AA8" s="7">
        <f t="shared" si="1"/>
        <v>15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61</v>
      </c>
      <c r="Y9" s="7">
        <f>'PM-ORDER'!P9</f>
        <v>105.5</v>
      </c>
      <c r="Z9" s="7">
        <f t="shared" si="0"/>
        <v>8</v>
      </c>
      <c r="AA9" s="7">
        <f t="shared" si="1"/>
        <v>15</v>
      </c>
      <c r="AC9" s="7" t="str">
        <f>IF('PM-ORDER'!G9="ROLLER",INDEX($C$7:$S$26,AA9,Z9),"")</f>
        <v>RL-MAN-BSMD</v>
      </c>
      <c r="AF9" s="7" t="str">
        <f>IF('PM-ORDER'!G9="ZEBRA",INDEX($C$35:$S$54,AA9,Z9),"")</f>
        <v/>
      </c>
      <c r="AG9" s="1" t="str">
        <f t="shared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61</v>
      </c>
      <c r="Y10" s="7">
        <f>'PM-ORDER'!P10</f>
        <v>105.5</v>
      </c>
      <c r="Z10" s="7">
        <f t="shared" si="0"/>
        <v>8</v>
      </c>
      <c r="AA10" s="7">
        <f t="shared" si="1"/>
        <v>15</v>
      </c>
      <c r="AC10" s="7" t="str">
        <f>IF('PM-ORDER'!G10="ROLLER",INDEX($C$7:$S$26,AA10,Z10),"")</f>
        <v>RL-MAN-BSMD</v>
      </c>
      <c r="AF10" s="7" t="str">
        <f>IF('PM-ORDER'!G10="ZEBRA",INDEX($C$35:$S$54,AA10,Z10),"")</f>
        <v/>
      </c>
      <c r="AG10" s="1" t="str">
        <f t="shared" si="2"/>
        <v>RL-MAN-BSMD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61.625</v>
      </c>
      <c r="Y11" s="7">
        <f>'PM-ORDER'!P11</f>
        <v>82</v>
      </c>
      <c r="Z11" s="7">
        <f t="shared" si="0"/>
        <v>8</v>
      </c>
      <c r="AA11" s="7">
        <f t="shared" si="1"/>
        <v>11</v>
      </c>
      <c r="AC11" s="7" t="str">
        <f>IF('PM-ORDER'!G11="ROLLER",INDEX($C$7:$S$26,AA11,Z11),"")</f>
        <v>RL-MAN -BSCH</v>
      </c>
      <c r="AF11" s="7" t="str">
        <f>IF('PM-ORDER'!G11="ZEBRA",INDEX($C$35:$S$54,AA11,Z11),"")</f>
        <v/>
      </c>
      <c r="AG11" s="1" t="str">
        <f t="shared" si="2"/>
        <v>RL-MAN -BSCH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61.625</v>
      </c>
      <c r="Y12" s="7">
        <f>'PM-ORDER'!P12</f>
        <v>82</v>
      </c>
      <c r="Z12" s="7">
        <f t="shared" si="0"/>
        <v>8</v>
      </c>
      <c r="AA12" s="7">
        <f t="shared" si="1"/>
        <v>11</v>
      </c>
      <c r="AC12" s="7" t="str">
        <f>IF('PM-ORDER'!G12="ROLLER",INDEX($C$7:$S$26,AA12,Z12),"")</f>
        <v>RL-MAN -BSCH</v>
      </c>
      <c r="AF12" s="7" t="str">
        <f>IF('PM-ORDER'!G12="ZEBRA",INDEX($C$35:$S$54,AA12,Z12),"")</f>
        <v/>
      </c>
      <c r="AG12" s="1" t="str">
        <f t="shared" si="2"/>
        <v>RL-MAN -BSCH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>'PM-ORDER'!O13</f>
        <v>60.25</v>
      </c>
      <c r="Y13" s="7">
        <f>'PM-ORDER'!P13</f>
        <v>82</v>
      </c>
      <c r="Z13" s="7">
        <f t="shared" si="0"/>
        <v>8</v>
      </c>
      <c r="AA13" s="7">
        <f t="shared" si="1"/>
        <v>11</v>
      </c>
      <c r="AC13" s="7" t="str">
        <f>IF('PM-ORDER'!G13="ROLLER",INDEX($C$7:$S$26,AA13,Z13),"")</f>
        <v>RL-MAN -BSCH</v>
      </c>
      <c r="AF13" s="7" t="str">
        <f>IF('PM-ORDER'!G13="ZEBRA",INDEX($C$35:$S$54,AA13,Z13),"")</f>
        <v/>
      </c>
      <c r="AG13" s="1" t="str">
        <f t="shared" si="2"/>
        <v>RL-MAN -BSCH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>'PM-ORDER'!O14</f>
        <v>60.25</v>
      </c>
      <c r="Y14" s="7">
        <f>'PM-ORDER'!P14</f>
        <v>82</v>
      </c>
      <c r="Z14" s="7">
        <f t="shared" si="0"/>
        <v>8</v>
      </c>
      <c r="AA14" s="7">
        <f t="shared" si="1"/>
        <v>11</v>
      </c>
      <c r="AC14" s="7" t="str">
        <f>IF('PM-ORDER'!G14="ROLLER",INDEX($C$7:$S$26,AA14,Z14),"")</f>
        <v>RL-MAN -BSCH</v>
      </c>
      <c r="AF14" s="7" t="str">
        <f>IF('PM-ORDER'!G14="ZEBRA",INDEX($C$35:$S$54,AA14,Z14),"")</f>
        <v/>
      </c>
      <c r="AG14" s="1" t="str">
        <f t="shared" si="2"/>
        <v>RL-MAN -BSCH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>'PM-ORDER'!O15</f>
        <v>61.25</v>
      </c>
      <c r="Y15" s="7">
        <f>'PM-ORDER'!P15</f>
        <v>82</v>
      </c>
      <c r="Z15" s="7">
        <f t="shared" si="0"/>
        <v>8</v>
      </c>
      <c r="AA15" s="7">
        <f t="shared" si="1"/>
        <v>11</v>
      </c>
      <c r="AC15" s="7" t="str">
        <f>IF('PM-ORDER'!G15="ROLLER",INDEX($C$7:$S$26,AA15,Z15),"")</f>
        <v>RL-MAN -BSCH</v>
      </c>
      <c r="AF15" s="7" t="str">
        <f>IF('PM-ORDER'!G15="ZEBRA",INDEX($C$35:$S$54,AA15,Z15),"")</f>
        <v/>
      </c>
      <c r="AG15" s="1" t="str">
        <f t="shared" si="2"/>
        <v>RL-MAN -BSCH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>
        <f>'PM-ORDER'!O16</f>
        <v>61.25</v>
      </c>
      <c r="Y16" s="7">
        <f>'PM-ORDER'!P16</f>
        <v>82</v>
      </c>
      <c r="Z16" s="7">
        <f t="shared" si="0"/>
        <v>8</v>
      </c>
      <c r="AA16" s="7">
        <f t="shared" si="1"/>
        <v>11</v>
      </c>
      <c r="AC16" s="7" t="str">
        <f>IF('PM-ORDER'!G16="ROLLER",INDEX($C$7:$S$26,AA16,Z16),"")</f>
        <v>RL-MAN -BSCH</v>
      </c>
      <c r="AF16" s="7" t="str">
        <f>IF('PM-ORDER'!G16="ZEBRA",INDEX($C$35:$S$54,AA16,Z16),"")</f>
        <v/>
      </c>
      <c r="AG16" s="1" t="str">
        <f t="shared" si="2"/>
        <v>RL-MAN -BSCH</v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>
        <f>'PM-ORDER'!O17</f>
        <v>86</v>
      </c>
      <c r="Y17" s="7">
        <f>'PM-ORDER'!P17</f>
        <v>87</v>
      </c>
      <c r="Z17" s="7">
        <f t="shared" si="0"/>
        <v>12</v>
      </c>
      <c r="AA17" s="7">
        <f t="shared" si="1"/>
        <v>12</v>
      </c>
      <c r="AC17" s="7" t="str">
        <f>IF('PM-ORDER'!G17="ROLLER",INDEX($C$7:$S$26,AA17,Z17),"")</f>
        <v>RL-MAN-BSMD</v>
      </c>
      <c r="AF17" s="7" t="str">
        <f>IF('PM-ORDER'!G17="ZEBRA",INDEX($C$35:$S$54,AA17,Z17),"")</f>
        <v/>
      </c>
      <c r="AG17" s="1" t="str">
        <f t="shared" si="2"/>
        <v>RL-MAN-BSMD</v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45964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251103 A </v>
      </c>
      <c r="D5" s="229">
        <f>IF('CALCULATOR SHEET'!D13&lt;&gt;"",'CALCULATOR SHEET'!$T$9,"")</f>
        <v>45964</v>
      </c>
      <c r="E5" s="230" t="str">
        <f>IF(D5&lt;&gt;"","BAJA SHADES","")</f>
        <v>BAJA SHADES</v>
      </c>
      <c r="F5" s="231" t="str">
        <f>IF(C5&lt;&gt;"",'CALCULATOR SHEET'!$D$9,"")</f>
        <v xml:space="preserve">CLUB MARENA VILLA 11 CHRIS CRAW </v>
      </c>
      <c r="G5" s="231" t="str">
        <f>IF('CALCULATOR SHEET'!D13&lt;&gt;"",'CALCULATOR SHEET'!D13,"")</f>
        <v>ROLLER</v>
      </c>
      <c r="H5" s="231" t="str">
        <f>IF(Q5="CCL",BOMS!AG5,"")</f>
        <v/>
      </c>
      <c r="I5" s="230">
        <v>1</v>
      </c>
      <c r="J5" s="231" t="str">
        <f>IF(C5&lt;&gt;"",'CALCULATOR SHEET'!K13,"")</f>
        <v>REMOTE CONTROL</v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 xml:space="preserve">BO OHIO STONE </v>
      </c>
      <c r="M5" s="231" t="str">
        <f>IF(C5&lt;&gt;"",'CALCULATOR SHEET'!O13,"")</f>
        <v>STANDARD ROLL</v>
      </c>
      <c r="N5" s="231" t="str">
        <f>IF(C5&lt;&gt;"",'CALCULATOR SHEET'!H13,"")</f>
        <v xml:space="preserve">LIVING ROOM SLD SIDE A </v>
      </c>
      <c r="O5" s="233">
        <f>IF(D5&lt;&gt;"",'CALCULATOR SHEET'!I13,"")</f>
        <v>61.125</v>
      </c>
      <c r="P5" s="233">
        <f>IF(E5&lt;&gt;"",'CALCULATOR SHEET'!J13,"")</f>
        <v>105.5</v>
      </c>
      <c r="Q5" s="230" t="str">
        <f>IF('CALCULATOR SHEET'!K13=GENERAL!$H$9,GENERAL!$H$9,IF(OR('CALCULATOR SHEET'!K13=GENERAL!$H$6,'CALCULATOR SHEET'!K13=GENERAL!$H$7,'CALCULATOR SHEET'!K13=GENERAL!$H$8),"CCL",""))</f>
        <v>REMOTE CONTROL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CLUB MARENA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251103 A </v>
      </c>
      <c r="D6" s="229">
        <f>IF('CALCULATOR SHEET'!D14&lt;&gt;"",'CALCULATOR SHEET'!$T$9,"")</f>
        <v>45964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CLUB MARENA VILLA 11 CHRIS CRAW </v>
      </c>
      <c r="G6" s="231" t="str">
        <f>IF('CALCULATOR SHEET'!D14&lt;&gt;"",'CALCULATOR SHEET'!D14,"")</f>
        <v>ROLLER</v>
      </c>
      <c r="H6" s="231" t="str">
        <f>IF(Q6="CCL",BOMS!AG6,"")</f>
        <v/>
      </c>
      <c r="I6" s="230">
        <v>1</v>
      </c>
      <c r="J6" s="231" t="str">
        <f>IF(C6&lt;&gt;"",'CALCULATOR SHEET'!K14,"")</f>
        <v>REMOTE CONTROL</v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 xml:space="preserve">SCREEN MILAN COFFE </v>
      </c>
      <c r="M6" s="231" t="str">
        <f>IF(C6&lt;&gt;"",'CALCULATOR SHEET'!O14,"")</f>
        <v>STANDARD ROLL</v>
      </c>
      <c r="N6" s="231" t="str">
        <f>IF(C6&lt;&gt;"",'CALCULATOR SHEET'!H14,"")</f>
        <v xml:space="preserve">LIVING ROOM SLD SIDE A </v>
      </c>
      <c r="O6" s="233">
        <f>IF(D6&lt;&gt;"",'CALCULATOR SHEET'!I14,"")</f>
        <v>61.125</v>
      </c>
      <c r="P6" s="233">
        <f>IF(E6&lt;&gt;"",'CALCULATOR SHEET'!J14,"")</f>
        <v>105.5</v>
      </c>
      <c r="Q6" s="230" t="str">
        <f>IF('CALCULATOR SHEET'!K14=GENERAL!$H$9,GENERAL!$H$9,IF(OR('CALCULATOR SHEET'!K14=GENERAL!$H$6,'CALCULATOR SHEET'!K14=GENERAL!$H$7,'CALCULATOR SHEET'!K14=GENERAL!$H$8),"CCL",""))</f>
        <v>REMOTE CONTROL</v>
      </c>
      <c r="R6" s="230" t="str">
        <f>IF(C6&lt;&gt;"",'CALCULATOR SHEET'!M14,"")</f>
        <v>L</v>
      </c>
      <c r="S6" s="230" t="str">
        <f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CLUB MARENA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251103 A </v>
      </c>
      <c r="D7" s="229">
        <f>IF('CALCULATOR SHEET'!D15&lt;&gt;"",'CALCULATOR SHEET'!$T$9,"")</f>
        <v>45964</v>
      </c>
      <c r="E7" s="230" t="str">
        <f t="shared" si="0"/>
        <v>BAJA SHADES</v>
      </c>
      <c r="F7" s="231" t="str">
        <f>IF(C7&lt;&gt;"",'CALCULATOR SHEET'!$D$9,"")</f>
        <v xml:space="preserve">CLUB MARENA VILLA 11 CHRIS CRAW </v>
      </c>
      <c r="G7" s="231" t="str">
        <f>IF('CALCULATOR SHEET'!D15&lt;&gt;"",'CALCULATOR SHEET'!D15,"")</f>
        <v>ROLLER</v>
      </c>
      <c r="H7" s="231" t="str">
        <f>IF(Q7="CCL",BOMS!AG7,"")</f>
        <v/>
      </c>
      <c r="I7" s="230">
        <v>1</v>
      </c>
      <c r="J7" s="231" t="str">
        <f>IF(C7&lt;&gt;"",'CALCULATOR SHEET'!K15,"")</f>
        <v>REMOTE CONTROL</v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 xml:space="preserve">BO OHIO STONE </v>
      </c>
      <c r="M7" s="231" t="str">
        <f>IF(C7&lt;&gt;"",'CALCULATOR SHEET'!O15,"")</f>
        <v>STANDARD ROLL</v>
      </c>
      <c r="N7" s="231" t="str">
        <f>IF(C7&lt;&gt;"",'CALCULATOR SHEET'!H15,"")</f>
        <v xml:space="preserve">LIVING ROOM SLD SIDE B  </v>
      </c>
      <c r="O7" s="233">
        <f>IF(D7&lt;&gt;"",'CALCULATOR SHEET'!I15,"")</f>
        <v>60</v>
      </c>
      <c r="P7" s="233">
        <f>IF(E7&lt;&gt;"",'CALCULATOR SHEET'!J15,"")</f>
        <v>105.5</v>
      </c>
      <c r="Q7" s="230" t="str">
        <f>IF('CALCULATOR SHEET'!K15=GENERAL!$H$9,GENERAL!$H$9,IF(OR('CALCULATOR SHEET'!K15=GENERAL!$H$6,'CALCULATOR SHEET'!K15=GENERAL!$H$7,'CALCULATOR SHEET'!K15=GENERAL!$H$8),"CCL",""))</f>
        <v>REMOTE CONTROL</v>
      </c>
      <c r="R7" s="230" t="str">
        <f>IF(C7&lt;&gt;"",'CALCULATOR SHEET'!M15,"")</f>
        <v>R</v>
      </c>
      <c r="S7" s="230" t="str">
        <f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CLUB MARENA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 xml:space="preserve">BS 251103 A </v>
      </c>
      <c r="D8" s="229">
        <f>IF('CALCULATOR SHEET'!D16&lt;&gt;"",'CALCULATOR SHEET'!$T$9,"")</f>
        <v>45964</v>
      </c>
      <c r="E8" s="230" t="str">
        <f t="shared" si="0"/>
        <v>BAJA SHADES</v>
      </c>
      <c r="F8" s="231" t="str">
        <f>IF(C8&lt;&gt;"",'CALCULATOR SHEET'!$D$9,"")</f>
        <v xml:space="preserve">CLUB MARENA VILLA 11 CHRIS CRAW </v>
      </c>
      <c r="G8" s="231" t="str">
        <f>IF('CALCULATOR SHEET'!D16&lt;&gt;"",'CALCULATOR SHEET'!D16,"")</f>
        <v>ROLLER</v>
      </c>
      <c r="H8" s="231" t="str">
        <f>IF(Q8="CCL",BOMS!AG8,"")</f>
        <v/>
      </c>
      <c r="I8" s="230">
        <v>1</v>
      </c>
      <c r="J8" s="231" t="str">
        <f>IF(C8&lt;&gt;"",'CALCULATOR SHEET'!K16,"")</f>
        <v>REMOTE CONTROL</v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 xml:space="preserve">SCREEN MILAN COFFE </v>
      </c>
      <c r="M8" s="231" t="str">
        <f>IF(C8&lt;&gt;"",'CALCULATOR SHEET'!O16,"")</f>
        <v>STANDARD ROLL</v>
      </c>
      <c r="N8" s="231" t="str">
        <f>IF(C8&lt;&gt;"",'CALCULATOR SHEET'!H16,"")</f>
        <v xml:space="preserve">LIVING ROOM SLD SIDE B  </v>
      </c>
      <c r="O8" s="233">
        <f>IF(D8&lt;&gt;"",'CALCULATOR SHEET'!I16,"")</f>
        <v>60</v>
      </c>
      <c r="P8" s="233">
        <f>IF(E8&lt;&gt;"",'CALCULATOR SHEET'!J16,"")</f>
        <v>105.5</v>
      </c>
      <c r="Q8" s="230" t="str">
        <f>IF('CALCULATOR SHEET'!K16=GENERAL!$H$9,GENERAL!$H$9,IF(OR('CALCULATOR SHEET'!K16=GENERAL!$H$6,'CALCULATOR SHEET'!K16=GENERAL!$H$7,'CALCULATOR SHEET'!K16=GENERAL!$H$8),"CCL",""))</f>
        <v>REMOTE CONTROL</v>
      </c>
      <c r="R8" s="230" t="str">
        <f>IF(C8&lt;&gt;"",'CALCULATOR SHEET'!M16,"")</f>
        <v>R</v>
      </c>
      <c r="S8" s="230" t="str">
        <f>IF(D8&lt;&gt;"",'CALCULATOR SHEET'!N16,"")</f>
        <v>OUTSIDE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CLUB MARENA 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 xml:space="preserve">BS 251103 A </v>
      </c>
      <c r="D9" s="229">
        <f>IF('CALCULATOR SHEET'!D17&lt;&gt;"",'CALCULATOR SHEET'!$T$9,"")</f>
        <v>45964</v>
      </c>
      <c r="E9" s="230" t="str">
        <f t="shared" si="0"/>
        <v>BAJA SHADES</v>
      </c>
      <c r="F9" s="231" t="str">
        <f>IF(C9&lt;&gt;"",'CALCULATOR SHEET'!$D$9,"")</f>
        <v xml:space="preserve">CLUB MARENA VILLA 11 CHRIS CRAW </v>
      </c>
      <c r="G9" s="231" t="str">
        <f>IF('CALCULATOR SHEET'!D17&lt;&gt;"",'CALCULATOR SHEET'!D17,"")</f>
        <v>ROLLER</v>
      </c>
      <c r="H9" s="231" t="str">
        <f>IF(Q9="CCL",BOMS!AG9,"")</f>
        <v/>
      </c>
      <c r="I9" s="230">
        <v>1</v>
      </c>
      <c r="J9" s="231" t="str">
        <f>IF(C9&lt;&gt;"",'CALCULATOR SHEET'!K17,"")</f>
        <v>REMOTE CONTROL</v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 xml:space="preserve">BO OHIO STONE </v>
      </c>
      <c r="M9" s="231" t="str">
        <f>IF(C9&lt;&gt;"",'CALCULATOR SHEET'!O17,"")</f>
        <v>STANDARD ROLL</v>
      </c>
      <c r="N9" s="231" t="str">
        <f>IF(C9&lt;&gt;"",'CALCULATOR SHEET'!H17,"")</f>
        <v xml:space="preserve">LIVING ROOM SLD SIDE C </v>
      </c>
      <c r="O9" s="233">
        <f>IF(D9&lt;&gt;"",'CALCULATOR SHEET'!I17,"")</f>
        <v>61</v>
      </c>
      <c r="P9" s="233">
        <f>IF(E9&lt;&gt;"",'CALCULATOR SHEET'!J17,"")</f>
        <v>105.5</v>
      </c>
      <c r="Q9" s="230" t="str">
        <f>IF('CALCULATOR SHEET'!K17=GENERAL!$H$9,GENERAL!$H$9,IF(OR('CALCULATOR SHEET'!K17=GENERAL!$H$6,'CALCULATOR SHEET'!K17=GENERAL!$H$7,'CALCULATOR SHEET'!K17=GENERAL!$H$8),"CCL",""))</f>
        <v>REMOTE CONTROL</v>
      </c>
      <c r="R9" s="230" t="str">
        <f>IF(C9&lt;&gt;"",'CALCULATOR SHEET'!M17,"")</f>
        <v>R</v>
      </c>
      <c r="S9" s="230" t="str">
        <f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 xml:space="preserve">CLUB MARENA 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 xml:space="preserve">BS 251103 A </v>
      </c>
      <c r="D10" s="229">
        <f>IF('CALCULATOR SHEET'!D18&lt;&gt;"",'CALCULATOR SHEET'!$T$9,"")</f>
        <v>45964</v>
      </c>
      <c r="E10" s="230" t="str">
        <f t="shared" si="0"/>
        <v>BAJA SHADES</v>
      </c>
      <c r="F10" s="231" t="str">
        <f>IF(C10&lt;&gt;"",'CALCULATOR SHEET'!$D$9,"")</f>
        <v xml:space="preserve">CLUB MARENA VILLA 11 CHRIS CRAW </v>
      </c>
      <c r="G10" s="231" t="str">
        <f>IF('CALCULATOR SHEET'!D18&lt;&gt;"",'CALCULATOR SHEET'!D18,"")</f>
        <v>ROLLER</v>
      </c>
      <c r="H10" s="231" t="str">
        <f>IF(Q10="CCL",BOMS!AG10,"")</f>
        <v/>
      </c>
      <c r="I10" s="230">
        <v>1</v>
      </c>
      <c r="J10" s="231" t="str">
        <f>IF(C10&lt;&gt;"",'CALCULATOR SHEET'!K18,"")</f>
        <v>REMOTE CONTROL</v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 xml:space="preserve">SCREEN MILAN COFFE </v>
      </c>
      <c r="M10" s="231" t="str">
        <f>IF(C10&lt;&gt;"",'CALCULATOR SHEET'!O18,"")</f>
        <v>STANDARD ROLL</v>
      </c>
      <c r="N10" s="231" t="str">
        <f>IF(C10&lt;&gt;"",'CALCULATOR SHEET'!H18,"")</f>
        <v xml:space="preserve">LIVING ROOM SLD SIDE C </v>
      </c>
      <c r="O10" s="233">
        <f>IF(D10&lt;&gt;"",'CALCULATOR SHEET'!I18,"")</f>
        <v>61</v>
      </c>
      <c r="P10" s="233">
        <f>IF(E10&lt;&gt;"",'CALCULATOR SHEET'!J18,"")</f>
        <v>105.5</v>
      </c>
      <c r="Q10" s="230" t="str">
        <f>IF('CALCULATOR SHEET'!K18=GENERAL!$H$9,GENERAL!$H$9,IF(OR('CALCULATOR SHEET'!K18=GENERAL!$H$6,'CALCULATOR SHEET'!K18=GENERAL!$H$7,'CALCULATOR SHEET'!K18=GENERAL!$H$8),"CCL",""))</f>
        <v>REMOTE CONTROL</v>
      </c>
      <c r="R10" s="230" t="str">
        <f>IF(C10&lt;&gt;"",'CALCULATOR SHEET'!M18,"")</f>
        <v>R</v>
      </c>
      <c r="S10" s="230" t="str">
        <f>IF(D10&lt;&gt;"",'CALCULATOR SHEET'!N18,"")</f>
        <v>INSIDE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 xml:space="preserve">CLUB MARENA 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 xml:space="preserve">BS 251103 A </v>
      </c>
      <c r="D11" s="229">
        <f>IF('CALCULATOR SHEET'!D19&lt;&gt;"",'CALCULATOR SHEET'!$T$9,"")</f>
        <v>45964</v>
      </c>
      <c r="E11" s="230" t="str">
        <f t="shared" si="0"/>
        <v>BAJA SHADES</v>
      </c>
      <c r="F11" s="231" t="str">
        <f>IF(C11&lt;&gt;"",'CALCULATOR SHEET'!$D$9,"")</f>
        <v xml:space="preserve">CLUB MARENA VILLA 11 CHRIS CRAW </v>
      </c>
      <c r="G11" s="231" t="str">
        <f>IF('CALCULATOR SHEET'!D19&lt;&gt;"",'CALCULATOR SHEET'!D19,"")</f>
        <v>ROLLER</v>
      </c>
      <c r="H11" s="231" t="str">
        <f>IF(Q11="CCL",BOMS!AG11,"")</f>
        <v/>
      </c>
      <c r="I11" s="230">
        <v>1</v>
      </c>
      <c r="J11" s="231" t="str">
        <f>IF(C11&lt;&gt;"",'CALCULATOR SHEET'!K19,"")</f>
        <v>REMOTE CONTROL</v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 xml:space="preserve">BO OHIO STONE </v>
      </c>
      <c r="M11" s="231" t="str">
        <f>IF(C11&lt;&gt;"",'CALCULATOR SHEET'!O19,"")</f>
        <v>REVERSE ROLL</v>
      </c>
      <c r="N11" s="231" t="str">
        <f>IF(C11&lt;&gt;"",'CALCULATOR SHEET'!H19,"")</f>
        <v xml:space="preserve">MAIN BR SLD SIDE A </v>
      </c>
      <c r="O11" s="233">
        <f>IF(D11&lt;&gt;"",'CALCULATOR SHEET'!I19,"")</f>
        <v>61.625</v>
      </c>
      <c r="P11" s="233">
        <f>IF(E11&lt;&gt;"",'CALCULATOR SHEET'!J19,"")</f>
        <v>82</v>
      </c>
      <c r="Q11" s="230" t="str">
        <f>IF('CALCULATOR SHEET'!K19=GENERAL!$H$9,GENERAL!$H$9,IF(OR('CALCULATOR SHEET'!K19=GENERAL!$H$6,'CALCULATOR SHEET'!K19=GENERAL!$H$7,'CALCULATOR SHEET'!K19=GENERAL!$H$8),"CCL",""))</f>
        <v>REMOTE CONTROL</v>
      </c>
      <c r="R11" s="230" t="str">
        <f>IF(C11&lt;&gt;"",'CALCULATOR SHEET'!M19,"")</f>
        <v>L</v>
      </c>
      <c r="S11" s="230" t="str">
        <f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 xml:space="preserve">CLUB MARENA 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 xml:space="preserve">BS 251103 A </v>
      </c>
      <c r="D12" s="229">
        <f>IF('CALCULATOR SHEET'!D20&lt;&gt;"",'CALCULATOR SHEET'!$T$9,"")</f>
        <v>45964</v>
      </c>
      <c r="E12" s="230" t="str">
        <f t="shared" si="0"/>
        <v>BAJA SHADES</v>
      </c>
      <c r="F12" s="231" t="str">
        <f>IF(C12&lt;&gt;"",'CALCULATOR SHEET'!$D$9,"")</f>
        <v xml:space="preserve">CLUB MARENA VILLA 11 CHRIS CRAW </v>
      </c>
      <c r="G12" s="231" t="str">
        <f>IF('CALCULATOR SHEET'!D20&lt;&gt;"",'CALCULATOR SHEET'!D20,"")</f>
        <v>ROLLER</v>
      </c>
      <c r="H12" s="231" t="str">
        <f>IF(Q12="CCL",BOMS!AG12,"")</f>
        <v/>
      </c>
      <c r="I12" s="230">
        <v>1</v>
      </c>
      <c r="J12" s="231" t="str">
        <f>IF(C12&lt;&gt;"",'CALCULATOR SHEET'!K20,"")</f>
        <v>REMOTE CONTROL</v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 xml:space="preserve">SCREEN MILAN COFFE </v>
      </c>
      <c r="M12" s="231" t="str">
        <f>IF(C12&lt;&gt;"",'CALCULATOR SHEET'!O20,"")</f>
        <v>STANDARD ROLL</v>
      </c>
      <c r="N12" s="231" t="str">
        <f>IF(C12&lt;&gt;"",'CALCULATOR SHEET'!H20,"")</f>
        <v xml:space="preserve">MAIN BR SLD SIDE A </v>
      </c>
      <c r="O12" s="233">
        <f>IF(D12&lt;&gt;"",'CALCULATOR SHEET'!I20,"")</f>
        <v>61.625</v>
      </c>
      <c r="P12" s="233">
        <f>IF(E12&lt;&gt;"",'CALCULATOR SHEET'!J20,"")</f>
        <v>82</v>
      </c>
      <c r="Q12" s="230" t="str">
        <f>IF('CALCULATOR SHEET'!K20=GENERAL!$H$9,GENERAL!$H$9,IF(OR('CALCULATOR SHEET'!K20=GENERAL!$H$6,'CALCULATOR SHEET'!K20=GENERAL!$H$7,'CALCULATOR SHEET'!K20=GENERAL!$H$8),"CCL",""))</f>
        <v>REMOTE CONTROL</v>
      </c>
      <c r="R12" s="230" t="str">
        <f>IF(C12&lt;&gt;"",'CALCULATOR SHEET'!M20,"")</f>
        <v>L</v>
      </c>
      <c r="S12" s="230" t="str">
        <f>IF(D12&lt;&gt;"",'CALCULATOR SHEET'!N20,"")</f>
        <v>INSIDE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 xml:space="preserve">CLUB MARENA 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 xml:space="preserve">BS 251103 A </v>
      </c>
      <c r="D13" s="229">
        <f>IF('CALCULATOR SHEET'!D21&lt;&gt;"",'CALCULATOR SHEET'!$T$9,"")</f>
        <v>45964</v>
      </c>
      <c r="E13" s="230" t="str">
        <f t="shared" si="0"/>
        <v>BAJA SHADES</v>
      </c>
      <c r="F13" s="231" t="str">
        <f>IF(C13&lt;&gt;"",'CALCULATOR SHEET'!$D$9,"")</f>
        <v xml:space="preserve">CLUB MARENA VILLA 11 CHRIS CRAW </v>
      </c>
      <c r="G13" s="231" t="str">
        <f>IF('CALCULATOR SHEET'!D21&lt;&gt;"",'CALCULATOR SHEET'!D21,"")</f>
        <v>ROLLER</v>
      </c>
      <c r="H13" s="231" t="str">
        <f>IF(Q13="CCL",BOMS!AG13,"")</f>
        <v/>
      </c>
      <c r="I13" s="230">
        <v>1</v>
      </c>
      <c r="J13" s="231" t="str">
        <f>IF(C13&lt;&gt;"",'CALCULATOR SHEET'!K21,"")</f>
        <v>REMOTE CONTROL</v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 xml:space="preserve">BO OHIO STONE </v>
      </c>
      <c r="M13" s="231" t="str">
        <f>IF(C13&lt;&gt;"",'CALCULATOR SHEET'!O21,"")</f>
        <v>REVERSE ROLL</v>
      </c>
      <c r="N13" s="231" t="str">
        <f>IF(C13&lt;&gt;"",'CALCULATOR SHEET'!H21,"")</f>
        <v xml:space="preserve">MAIN BR SLD SIDE B </v>
      </c>
      <c r="O13" s="233">
        <f>IF(D13&lt;&gt;"",'CALCULATOR SHEET'!I21,"")</f>
        <v>60.25</v>
      </c>
      <c r="P13" s="233">
        <f>IF(E13&lt;&gt;"",'CALCULATOR SHEET'!J21,"")</f>
        <v>82</v>
      </c>
      <c r="Q13" s="230" t="str">
        <f>IF('CALCULATOR SHEET'!K21=GENERAL!$H$9,GENERAL!$H$9,IF(OR('CALCULATOR SHEET'!K21=GENERAL!$H$6,'CALCULATOR SHEET'!K21=GENERAL!$H$7,'CALCULATOR SHEET'!K21=GENERAL!$H$8),"CCL",""))</f>
        <v>REMOTE CONTROL</v>
      </c>
      <c r="R13" s="230" t="str">
        <f>IF(C13&lt;&gt;"",'CALCULATOR SHEET'!M21,"")</f>
        <v>R</v>
      </c>
      <c r="S13" s="230" t="str">
        <f>IF(D13&lt;&gt;"",'CALCULATOR SHEET'!N21,"")</f>
        <v>OUTSIDE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 xml:space="preserve">CLUB MARENA </v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 xml:space="preserve">BS 251103 A </v>
      </c>
      <c r="D14" s="229">
        <f>IF('CALCULATOR SHEET'!D22&lt;&gt;"",'CALCULATOR SHEET'!$T$9,"")</f>
        <v>45964</v>
      </c>
      <c r="E14" s="230" t="str">
        <f t="shared" si="0"/>
        <v>BAJA SHADES</v>
      </c>
      <c r="F14" s="231" t="str">
        <f>IF(C14&lt;&gt;"",'CALCULATOR SHEET'!$D$9,"")</f>
        <v xml:space="preserve">CLUB MARENA VILLA 11 CHRIS CRAW </v>
      </c>
      <c r="G14" s="231" t="str">
        <f>IF('CALCULATOR SHEET'!D22&lt;&gt;"",'CALCULATOR SHEET'!D22,"")</f>
        <v>ROLLER</v>
      </c>
      <c r="H14" s="231" t="str">
        <f>IF(Q14="CCL",BOMS!AG14,"")</f>
        <v/>
      </c>
      <c r="I14" s="230">
        <v>1</v>
      </c>
      <c r="J14" s="231" t="str">
        <f>IF(C14&lt;&gt;"",'CALCULATOR SHEET'!K22,"")</f>
        <v>REMOTE CONTROL</v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 xml:space="preserve">SCREEN MILAN COFFE </v>
      </c>
      <c r="M14" s="231" t="str">
        <f>IF(C14&lt;&gt;"",'CALCULATOR SHEET'!O22,"")</f>
        <v>STANDARD ROLL</v>
      </c>
      <c r="N14" s="231" t="str">
        <f>IF(C14&lt;&gt;"",'CALCULATOR SHEET'!H22,"")</f>
        <v xml:space="preserve">MAIN BR SLD SIDE B </v>
      </c>
      <c r="O14" s="233">
        <f>IF(D14&lt;&gt;"",'CALCULATOR SHEET'!I22,"")</f>
        <v>60.25</v>
      </c>
      <c r="P14" s="233">
        <f>IF(E14&lt;&gt;"",'CALCULATOR SHEET'!J22,"")</f>
        <v>82</v>
      </c>
      <c r="Q14" s="230" t="str">
        <f>IF('CALCULATOR SHEET'!K22=GENERAL!$H$9,GENERAL!$H$9,IF(OR('CALCULATOR SHEET'!K22=GENERAL!$H$6,'CALCULATOR SHEET'!K22=GENERAL!$H$7,'CALCULATOR SHEET'!K22=GENERAL!$H$8),"CCL",""))</f>
        <v>REMOTE CONTROL</v>
      </c>
      <c r="R14" s="230" t="str">
        <f>IF(C14&lt;&gt;"",'CALCULATOR SHEET'!M22,"")</f>
        <v>R</v>
      </c>
      <c r="S14" s="230" t="str">
        <f>IF(D14&lt;&gt;"",'CALCULATOR SHEET'!N22,"")</f>
        <v>OUTSIDE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 xml:space="preserve">CLUB MARENA 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 xml:space="preserve">BS 251103 A </v>
      </c>
      <c r="D15" s="229">
        <f>IF('CALCULATOR SHEET'!D23&lt;&gt;"",'CALCULATOR SHEET'!$T$9,"")</f>
        <v>45964</v>
      </c>
      <c r="E15" s="230" t="str">
        <f t="shared" si="0"/>
        <v>BAJA SHADES</v>
      </c>
      <c r="F15" s="231" t="str">
        <f>IF(C15&lt;&gt;"",'CALCULATOR SHEET'!$D$9,"")</f>
        <v xml:space="preserve">CLUB MARENA VILLA 11 CHRIS CRAW </v>
      </c>
      <c r="G15" s="231" t="str">
        <f>IF('CALCULATOR SHEET'!D23&lt;&gt;"",'CALCULATOR SHEET'!D23,"")</f>
        <v>ROLLER</v>
      </c>
      <c r="H15" s="231" t="str">
        <f>IF(Q15="CCL",BOMS!AG15,"")</f>
        <v/>
      </c>
      <c r="I15" s="230">
        <v>1</v>
      </c>
      <c r="J15" s="231" t="str">
        <f>IF(C15&lt;&gt;"",'CALCULATOR SHEET'!K23,"")</f>
        <v>REMOTE CONTROL</v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 xml:space="preserve">BO OHIO STONE </v>
      </c>
      <c r="M15" s="231" t="str">
        <f>IF(C15&lt;&gt;"",'CALCULATOR SHEET'!O23,"")</f>
        <v>REVERSE ROLL</v>
      </c>
      <c r="N15" s="231" t="str">
        <f>IF(C15&lt;&gt;"",'CALCULATOR SHEET'!H23,"")</f>
        <v xml:space="preserve">MAIN BR SLD SIDE C </v>
      </c>
      <c r="O15" s="233">
        <f>IF(D15&lt;&gt;"",'CALCULATOR SHEET'!I23,"")</f>
        <v>61.25</v>
      </c>
      <c r="P15" s="233">
        <f>IF(E15&lt;&gt;"",'CALCULATOR SHEET'!J23,"")</f>
        <v>82</v>
      </c>
      <c r="Q15" s="230" t="str">
        <f>IF('CALCULATOR SHEET'!K23=GENERAL!$H$9,GENERAL!$H$9,IF(OR('CALCULATOR SHEET'!K23=GENERAL!$H$6,'CALCULATOR SHEET'!K23=GENERAL!$H$7,'CALCULATOR SHEET'!K23=GENERAL!$H$8),"CCL",""))</f>
        <v>REMOTE CONTROL</v>
      </c>
      <c r="R15" s="230" t="str">
        <f>IF(C15&lt;&gt;"",'CALCULATOR SHEET'!M23,"")</f>
        <v>R</v>
      </c>
      <c r="S15" s="230" t="str">
        <f>IF(D15&lt;&gt;"",'CALCULATOR SHEET'!N23,"")</f>
        <v>INSIDE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 xml:space="preserve">CLUB MARENA </v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 xml:space="preserve">BS 251103 A </v>
      </c>
      <c r="D16" s="229">
        <f>IF('CALCULATOR SHEET'!D24&lt;&gt;"",'CALCULATOR SHEET'!$T$9,"")</f>
        <v>45964</v>
      </c>
      <c r="E16" s="230" t="str">
        <f t="shared" si="0"/>
        <v>BAJA SHADES</v>
      </c>
      <c r="F16" s="231" t="str">
        <f>IF(C16&lt;&gt;"",'CALCULATOR SHEET'!$D$9,"")</f>
        <v xml:space="preserve">CLUB MARENA VILLA 11 CHRIS CRAW </v>
      </c>
      <c r="G16" s="231" t="str">
        <f>IF('CALCULATOR SHEET'!D24&lt;&gt;"",'CALCULATOR SHEET'!D24,"")</f>
        <v>ROLLER</v>
      </c>
      <c r="H16" s="231" t="str">
        <f>IF(Q16="CCL",BOMS!AG16,"")</f>
        <v/>
      </c>
      <c r="I16" s="230">
        <v>1</v>
      </c>
      <c r="J16" s="231" t="str">
        <f>IF(C16&lt;&gt;"",'CALCULATOR SHEET'!K24,"")</f>
        <v>REMOTE CONTROL</v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 xml:space="preserve">SCREEN MILAN COFFE </v>
      </c>
      <c r="M16" s="231" t="str">
        <f>IF(C16&lt;&gt;"",'CALCULATOR SHEET'!O24,"")</f>
        <v>STANDARD ROLL</v>
      </c>
      <c r="N16" s="231" t="str">
        <f>IF(C16&lt;&gt;"",'CALCULATOR SHEET'!H24,"")</f>
        <v xml:space="preserve">MAIN BR SLD SIDE C </v>
      </c>
      <c r="O16" s="233">
        <f>IF(D16&lt;&gt;"",'CALCULATOR SHEET'!I24,"")</f>
        <v>61.25</v>
      </c>
      <c r="P16" s="233">
        <f>IF(E16&lt;&gt;"",'CALCULATOR SHEET'!J24,"")</f>
        <v>82</v>
      </c>
      <c r="Q16" s="230" t="str">
        <f>IF('CALCULATOR SHEET'!K24=GENERAL!$H$9,GENERAL!$H$9,IF(OR('CALCULATOR SHEET'!K24=GENERAL!$H$6,'CALCULATOR SHEET'!K24=GENERAL!$H$7,'CALCULATOR SHEET'!K24=GENERAL!$H$8),"CCL",""))</f>
        <v>REMOTE CONTROL</v>
      </c>
      <c r="R16" s="230" t="str">
        <f>IF(C16&lt;&gt;"",'CALCULATOR SHEET'!M24,"")</f>
        <v>R</v>
      </c>
      <c r="S16" s="230" t="str">
        <f>IF(D16&lt;&gt;"",'CALCULATOR SHEET'!N24,"")</f>
        <v>INSIDE</v>
      </c>
      <c r="T16" s="232"/>
      <c r="U16" s="246"/>
      <c r="V16" s="246"/>
      <c r="W16" s="230" t="str">
        <f>IF(C16&lt;&gt;"",'CALCULATOR SHEET'!R24,"")</f>
        <v>NO</v>
      </c>
      <c r="X16" s="230"/>
      <c r="Y16" s="230">
        <v>1</v>
      </c>
      <c r="Z16" s="232"/>
      <c r="AA16" s="232" t="str">
        <f>IF(C16&lt;&gt;"",'CALCULATOR SHEET'!$H$9,"")</f>
        <v xml:space="preserve">CLUB MARENA </v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 xml:space="preserve">BS 251103 A </v>
      </c>
      <c r="D17" s="229">
        <f>IF('CALCULATOR SHEET'!D25&lt;&gt;"",'CALCULATOR SHEET'!$T$9,"")</f>
        <v>45964</v>
      </c>
      <c r="E17" s="230" t="str">
        <f t="shared" si="0"/>
        <v>BAJA SHADES</v>
      </c>
      <c r="F17" s="231" t="str">
        <f>IF(C17&lt;&gt;"",'CALCULATOR SHEET'!$D$9,"")</f>
        <v xml:space="preserve">CLUB MARENA VILLA 11 CHRIS CRAW </v>
      </c>
      <c r="G17" s="231" t="str">
        <f>IF('CALCULATOR SHEET'!D25&lt;&gt;"",'CALCULATOR SHEET'!D25,"")</f>
        <v>ROLLER</v>
      </c>
      <c r="H17" s="231" t="str">
        <f>IF(Q17="CCL",BOMS!AG17,"")</f>
        <v>RL-MAN-BSMD</v>
      </c>
      <c r="I17" s="230">
        <v>1</v>
      </c>
      <c r="J17" s="231" t="str">
        <f>IF(C17&lt;&gt;"",'CALCULATOR SHEET'!K25,"")</f>
        <v>METAL CHAIN</v>
      </c>
      <c r="K17" s="231" t="str">
        <f>IF(J17=GENERAL!$H$6,GENERAL!$H$6,IF(J17=GENERAL!$H$7,GENERAL!$H$7,IF('PM-ORDER'!J17=GENERAL!$H$8,GENERAL!$H$8,"")))</f>
        <v>METAL CHAIN</v>
      </c>
      <c r="L17" s="231" t="str">
        <f>IF(C17&lt;&gt;"",'CALCULATOR SHEET'!G25,"")</f>
        <v xml:space="preserve">BO SIDNEY IVORY </v>
      </c>
      <c r="M17" s="231" t="str">
        <f>IF(C17&lt;&gt;"",'CALCULATOR SHEET'!O25,"")</f>
        <v>STANDARD ROLL</v>
      </c>
      <c r="N17" s="231" t="str">
        <f>IF(C17&lt;&gt;"",'CALCULATOR SHEET'!H25,"")</f>
        <v xml:space="preserve">GUEST BEROOM SLD </v>
      </c>
      <c r="O17" s="233">
        <f>IF(D17&lt;&gt;"",'CALCULATOR SHEET'!I25,"")</f>
        <v>86</v>
      </c>
      <c r="P17" s="233">
        <f>IF(E17&lt;&gt;"",'CALCULATOR SHEET'!J25,"")</f>
        <v>87</v>
      </c>
      <c r="Q17" s="230" t="str">
        <f>IF('CALCULATOR SHEET'!K25=GENERAL!$H$9,GENERAL!$H$9,IF(OR('CALCULATOR SHEET'!K25=GENERAL!$H$6,'CALCULATOR SHEET'!K25=GENERAL!$H$7,'CALCULATOR SHEET'!K25=GENERAL!$H$8),"CCL",""))</f>
        <v>CCL</v>
      </c>
      <c r="R17" s="230" t="str">
        <f>IF(C17&lt;&gt;"",'CALCULATOR SHEET'!M25,"")</f>
        <v>L</v>
      </c>
      <c r="S17" s="230" t="str">
        <f>IF(D17&lt;&gt;"",'CALCULATOR SHEET'!N25,"")</f>
        <v>OUTSIDE</v>
      </c>
      <c r="T17" s="232"/>
      <c r="U17" s="246"/>
      <c r="V17" s="246"/>
      <c r="W17" s="230" t="str">
        <f>IF(C17&lt;&gt;"",'CALCULATOR SHEET'!R25,"")</f>
        <v>NO</v>
      </c>
      <c r="X17" s="230"/>
      <c r="Y17" s="230">
        <v>1</v>
      </c>
      <c r="Z17" s="232"/>
      <c r="AA17" s="232" t="str">
        <f>IF(C17&lt;&gt;"",'CALCULATOR SHEET'!$H$9,"")</f>
        <v xml:space="preserve">CLUB MARENA </v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61.125</v>
      </c>
      <c r="AK7" s="36">
        <f>'CALCULATOR SHEET'!J13</f>
        <v>105.5</v>
      </c>
      <c r="AL7" s="36">
        <f>IF(AJ7=0,"",MATCH(CEILING(AJ7,6),$D$4:$Z$4,0))</f>
        <v>8</v>
      </c>
      <c r="AM7" s="36">
        <f>IF(AK7=0,"",MATCH(CEILING(AK7,6),$C$7:$C$28,0))</f>
        <v>15</v>
      </c>
      <c r="AN7" s="57">
        <f>IF(AL7="","",INDEX($D$7:$Z$28,AM7,AL7))</f>
        <v>183</v>
      </c>
      <c r="AO7" s="58"/>
      <c r="AP7" s="57">
        <f>IF(AJ7&gt;0,HLOOKUP(CEILING(AJ7,6),$D$30:$Z$31,2,0),"")</f>
        <v>71</v>
      </c>
      <c r="AQ7" s="57">
        <f>IF(AJ7&gt;0,HLOOKUP(CEILING(AJ7,6),$D$33:$Z$34,2,0),"")</f>
        <v>76</v>
      </c>
      <c r="AR7" s="59">
        <f>IF(AJ7&gt;0,HLOOKUP(CEILING(AJ7,6),$D$36:$Z$37,2,0))</f>
        <v>41</v>
      </c>
      <c r="AS7" s="57">
        <f>IF(AL7="","",INDEX($AX$6:$BT$27,AM7,AL7))</f>
        <v>550</v>
      </c>
      <c r="AT7" s="37">
        <f>IF(AK7&gt;0,VLOOKUP(CEILING(AK7,6),$AA$7:$AB$28,2,0),"")</f>
        <v>90</v>
      </c>
      <c r="AU7" s="109">
        <f>IF(AK7&gt;0,VLOOKUP(CEILING(AK7,6),$AA$7:$AC$28,3,0),"")</f>
        <v>12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61.125</v>
      </c>
      <c r="AK8" s="36">
        <f>'CALCULATOR SHEET'!J14</f>
        <v>105.5</v>
      </c>
      <c r="AL8" s="36">
        <f t="shared" ref="AL8:AL71" si="0">IF(AJ8=0,"",MATCH(CEILING(AJ8,6),$D$4:$Z$4,0))</f>
        <v>8</v>
      </c>
      <c r="AM8" s="36">
        <f t="shared" ref="AM8:AM71" si="1">IF(AK8=0,"",MATCH(CEILING(AK8,6),$C$7:$C$28,0))</f>
        <v>15</v>
      </c>
      <c r="AN8" s="57">
        <f t="shared" ref="AN8:AN71" si="2">IF(AL8="","",INDEX($D$7:$Z$28,AM8,AL8))</f>
        <v>183</v>
      </c>
      <c r="AO8" s="58"/>
      <c r="AP8" s="57">
        <f t="shared" ref="AP8:AP71" si="3">IF(AJ8&gt;0,HLOOKUP(CEILING(AJ8,6),$D$30:$Z$31,2,0),"")</f>
        <v>71</v>
      </c>
      <c r="AQ8" s="57">
        <f t="shared" ref="AQ8:AQ71" si="4">IF(AJ8&gt;0,HLOOKUP(CEILING(AJ8,6),$D$33:$Z$34,2,0),"")</f>
        <v>76</v>
      </c>
      <c r="AR8" s="59">
        <f t="shared" ref="AR8:AR71" si="5">IF(AJ8&gt;0,HLOOKUP(CEILING(AJ8,6),$D$36:$Z$37,2,0))</f>
        <v>41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90</v>
      </c>
      <c r="AU8" s="109">
        <f t="shared" ref="AU8:AU71" si="8">IF(AK8&gt;0,VLOOKUP(CEILING(AK8,6),$AA$7:$AC$28,3,0),"")</f>
        <v>12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60</v>
      </c>
      <c r="AK9" s="36">
        <f>'CALCULATOR SHEET'!J15</f>
        <v>105.5</v>
      </c>
      <c r="AL9" s="36">
        <f t="shared" si="0"/>
        <v>7</v>
      </c>
      <c r="AM9" s="36">
        <f t="shared" si="1"/>
        <v>15</v>
      </c>
      <c r="AN9" s="57">
        <f t="shared" si="2"/>
        <v>172</v>
      </c>
      <c r="AO9" s="58"/>
      <c r="AP9" s="57">
        <f t="shared" si="3"/>
        <v>68</v>
      </c>
      <c r="AQ9" s="57">
        <f t="shared" si="4"/>
        <v>70</v>
      </c>
      <c r="AR9" s="59">
        <f t="shared" si="5"/>
        <v>37</v>
      </c>
      <c r="AS9" s="57">
        <f t="shared" si="6"/>
        <v>550</v>
      </c>
      <c r="AT9" s="37">
        <f t="shared" si="7"/>
        <v>90</v>
      </c>
      <c r="AU9" s="109">
        <f t="shared" si="8"/>
        <v>12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60</v>
      </c>
      <c r="AK10" s="36">
        <f>'CALCULATOR SHEET'!J16</f>
        <v>105.5</v>
      </c>
      <c r="AL10" s="36">
        <f t="shared" si="0"/>
        <v>7</v>
      </c>
      <c r="AM10" s="36">
        <f t="shared" si="1"/>
        <v>15</v>
      </c>
      <c r="AN10" s="57">
        <f t="shared" si="2"/>
        <v>172</v>
      </c>
      <c r="AO10" s="58"/>
      <c r="AP10" s="57">
        <f t="shared" si="3"/>
        <v>68</v>
      </c>
      <c r="AQ10" s="57">
        <f t="shared" si="4"/>
        <v>70</v>
      </c>
      <c r="AR10" s="59">
        <f t="shared" si="5"/>
        <v>37</v>
      </c>
      <c r="AS10" s="57">
        <f t="shared" si="6"/>
        <v>550</v>
      </c>
      <c r="AT10" s="37">
        <f t="shared" si="7"/>
        <v>90</v>
      </c>
      <c r="AU10" s="109">
        <f t="shared" si="8"/>
        <v>12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61</v>
      </c>
      <c r="AK11" s="36">
        <f>'CALCULATOR SHEET'!J17</f>
        <v>105.5</v>
      </c>
      <c r="AL11" s="36">
        <f t="shared" si="0"/>
        <v>8</v>
      </c>
      <c r="AM11" s="36">
        <f t="shared" si="1"/>
        <v>15</v>
      </c>
      <c r="AN11" s="57">
        <f t="shared" si="2"/>
        <v>183</v>
      </c>
      <c r="AO11" s="58"/>
      <c r="AP11" s="57">
        <f t="shared" si="3"/>
        <v>71</v>
      </c>
      <c r="AQ11" s="57">
        <f t="shared" si="4"/>
        <v>76</v>
      </c>
      <c r="AR11" s="59">
        <f t="shared" si="5"/>
        <v>41</v>
      </c>
      <c r="AS11" s="57">
        <f t="shared" si="6"/>
        <v>550</v>
      </c>
      <c r="AT11" s="37">
        <f t="shared" si="7"/>
        <v>90</v>
      </c>
      <c r="AU11" s="109">
        <f t="shared" si="8"/>
        <v>12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61</v>
      </c>
      <c r="AK12" s="36">
        <f>'CALCULATOR SHEET'!J18</f>
        <v>105.5</v>
      </c>
      <c r="AL12" s="36">
        <f t="shared" si="0"/>
        <v>8</v>
      </c>
      <c r="AM12" s="36">
        <f t="shared" si="1"/>
        <v>15</v>
      </c>
      <c r="AN12" s="57">
        <f t="shared" si="2"/>
        <v>183</v>
      </c>
      <c r="AO12" s="58"/>
      <c r="AP12" s="57">
        <f t="shared" si="3"/>
        <v>71</v>
      </c>
      <c r="AQ12" s="57">
        <f t="shared" si="4"/>
        <v>76</v>
      </c>
      <c r="AR12" s="59">
        <f t="shared" si="5"/>
        <v>41</v>
      </c>
      <c r="AS12" s="57">
        <f t="shared" si="6"/>
        <v>550</v>
      </c>
      <c r="AT12" s="37">
        <f t="shared" si="7"/>
        <v>90</v>
      </c>
      <c r="AU12" s="109">
        <f t="shared" si="8"/>
        <v>12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61.625</v>
      </c>
      <c r="AK13" s="36">
        <f>'CALCULATOR SHEET'!J19</f>
        <v>82</v>
      </c>
      <c r="AL13" s="36">
        <f t="shared" si="0"/>
        <v>8</v>
      </c>
      <c r="AM13" s="36">
        <f t="shared" si="1"/>
        <v>11</v>
      </c>
      <c r="AN13" s="57">
        <f t="shared" si="2"/>
        <v>148</v>
      </c>
      <c r="AO13" s="58"/>
      <c r="AP13" s="57">
        <f t="shared" si="3"/>
        <v>71</v>
      </c>
      <c r="AQ13" s="57">
        <f t="shared" si="4"/>
        <v>76</v>
      </c>
      <c r="AR13" s="59">
        <f t="shared" si="5"/>
        <v>41</v>
      </c>
      <c r="AS13" s="57">
        <f t="shared" si="6"/>
        <v>471</v>
      </c>
      <c r="AT13" s="37">
        <f t="shared" si="7"/>
        <v>70</v>
      </c>
      <c r="AU13" s="109">
        <f t="shared" si="8"/>
        <v>10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61.625</v>
      </c>
      <c r="AK14" s="36">
        <f>'CALCULATOR SHEET'!J20</f>
        <v>82</v>
      </c>
      <c r="AL14" s="36">
        <f t="shared" si="0"/>
        <v>8</v>
      </c>
      <c r="AM14" s="36">
        <f t="shared" si="1"/>
        <v>11</v>
      </c>
      <c r="AN14" s="57">
        <f t="shared" si="2"/>
        <v>148</v>
      </c>
      <c r="AO14" s="58"/>
      <c r="AP14" s="57">
        <f t="shared" si="3"/>
        <v>71</v>
      </c>
      <c r="AQ14" s="57">
        <f t="shared" si="4"/>
        <v>76</v>
      </c>
      <c r="AR14" s="59">
        <f t="shared" si="5"/>
        <v>41</v>
      </c>
      <c r="AS14" s="57">
        <f t="shared" si="6"/>
        <v>471</v>
      </c>
      <c r="AT14" s="37">
        <f t="shared" si="7"/>
        <v>70</v>
      </c>
      <c r="AU14" s="109">
        <f t="shared" si="8"/>
        <v>10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60.25</v>
      </c>
      <c r="AK15" s="36">
        <f>'CALCULATOR SHEET'!J21</f>
        <v>82</v>
      </c>
      <c r="AL15" s="36">
        <f t="shared" si="0"/>
        <v>8</v>
      </c>
      <c r="AM15" s="36">
        <f t="shared" si="1"/>
        <v>11</v>
      </c>
      <c r="AN15" s="57">
        <f t="shared" si="2"/>
        <v>148</v>
      </c>
      <c r="AO15" s="58"/>
      <c r="AP15" s="57">
        <f t="shared" si="3"/>
        <v>71</v>
      </c>
      <c r="AQ15" s="57">
        <f t="shared" si="4"/>
        <v>76</v>
      </c>
      <c r="AR15" s="59">
        <f t="shared" si="5"/>
        <v>41</v>
      </c>
      <c r="AS15" s="57">
        <f t="shared" si="6"/>
        <v>471</v>
      </c>
      <c r="AT15" s="37">
        <f t="shared" si="7"/>
        <v>70</v>
      </c>
      <c r="AU15" s="109">
        <f t="shared" si="8"/>
        <v>10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60.25</v>
      </c>
      <c r="AK16" s="36">
        <f>'CALCULATOR SHEET'!J22</f>
        <v>82</v>
      </c>
      <c r="AL16" s="36">
        <f t="shared" si="0"/>
        <v>8</v>
      </c>
      <c r="AM16" s="36">
        <f t="shared" si="1"/>
        <v>11</v>
      </c>
      <c r="AN16" s="57">
        <f t="shared" si="2"/>
        <v>148</v>
      </c>
      <c r="AO16" s="58"/>
      <c r="AP16" s="57">
        <f t="shared" si="3"/>
        <v>71</v>
      </c>
      <c r="AQ16" s="57">
        <f t="shared" si="4"/>
        <v>76</v>
      </c>
      <c r="AR16" s="59">
        <f t="shared" si="5"/>
        <v>41</v>
      </c>
      <c r="AS16" s="57">
        <f t="shared" si="6"/>
        <v>471</v>
      </c>
      <c r="AT16" s="37">
        <f t="shared" si="7"/>
        <v>70</v>
      </c>
      <c r="AU16" s="109">
        <f t="shared" si="8"/>
        <v>10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61.25</v>
      </c>
      <c r="AK17" s="36">
        <f>'CALCULATOR SHEET'!J23</f>
        <v>82</v>
      </c>
      <c r="AL17" s="36">
        <f t="shared" si="0"/>
        <v>8</v>
      </c>
      <c r="AM17" s="36">
        <f t="shared" si="1"/>
        <v>11</v>
      </c>
      <c r="AN17" s="57">
        <f t="shared" si="2"/>
        <v>148</v>
      </c>
      <c r="AO17" s="58"/>
      <c r="AP17" s="57">
        <f t="shared" si="3"/>
        <v>71</v>
      </c>
      <c r="AQ17" s="57">
        <f t="shared" si="4"/>
        <v>76</v>
      </c>
      <c r="AR17" s="59">
        <f t="shared" si="5"/>
        <v>41</v>
      </c>
      <c r="AS17" s="57">
        <f t="shared" si="6"/>
        <v>471</v>
      </c>
      <c r="AT17" s="37">
        <f t="shared" si="7"/>
        <v>70</v>
      </c>
      <c r="AU17" s="109">
        <f t="shared" si="8"/>
        <v>10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61.25</v>
      </c>
      <c r="AK18" s="36">
        <f>'CALCULATOR SHEET'!J24</f>
        <v>82</v>
      </c>
      <c r="AL18" s="36">
        <f t="shared" si="0"/>
        <v>8</v>
      </c>
      <c r="AM18" s="36">
        <f t="shared" si="1"/>
        <v>11</v>
      </c>
      <c r="AN18" s="57">
        <f t="shared" si="2"/>
        <v>148</v>
      </c>
      <c r="AO18" s="58"/>
      <c r="AP18" s="57">
        <f t="shared" si="3"/>
        <v>71</v>
      </c>
      <c r="AQ18" s="57">
        <f t="shared" si="4"/>
        <v>76</v>
      </c>
      <c r="AR18" s="59">
        <f t="shared" si="5"/>
        <v>41</v>
      </c>
      <c r="AS18" s="57">
        <f t="shared" si="6"/>
        <v>471</v>
      </c>
      <c r="AT18" s="37">
        <f t="shared" si="7"/>
        <v>70</v>
      </c>
      <c r="AU18" s="109">
        <f t="shared" si="8"/>
        <v>10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86</v>
      </c>
      <c r="AK19" s="36">
        <f>'CALCULATOR SHEET'!J25</f>
        <v>87</v>
      </c>
      <c r="AL19" s="36">
        <f t="shared" si="0"/>
        <v>12</v>
      </c>
      <c r="AM19" s="36">
        <f t="shared" si="1"/>
        <v>12</v>
      </c>
      <c r="AN19" s="57">
        <f t="shared" si="2"/>
        <v>207</v>
      </c>
      <c r="AO19" s="58"/>
      <c r="AP19" s="57">
        <f t="shared" si="3"/>
        <v>83</v>
      </c>
      <c r="AQ19" s="57">
        <f t="shared" si="4"/>
        <v>101</v>
      </c>
      <c r="AR19" s="59">
        <f t="shared" si="5"/>
        <v>55</v>
      </c>
      <c r="AS19" s="57">
        <f t="shared" si="6"/>
        <v>550</v>
      </c>
      <c r="AT19" s="37">
        <f t="shared" si="7"/>
        <v>75</v>
      </c>
      <c r="AU19" s="109">
        <f t="shared" si="8"/>
        <v>10</v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61.125</v>
      </c>
      <c r="AK7" s="53">
        <f>'CALCULATOR SHEET'!J13</f>
        <v>105.5</v>
      </c>
      <c r="AL7" s="53">
        <f>IF(AJ7=0,"",MATCH(CEILING(AJ7,6),$D$4:$Z$4,0))</f>
        <v>8</v>
      </c>
      <c r="AM7" s="53">
        <f>IF(AK7=0,"",MATCH(CEILING(AK7,6),$C$7:$C$28,0))</f>
        <v>15</v>
      </c>
      <c r="AN7" s="54">
        <f>IF(AL7="","",INDEX($D$7:$Z$28,AM7,AL7))</f>
        <v>197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61.125</v>
      </c>
      <c r="AK8" s="53">
        <f>'CALCULATOR SHEET'!J14</f>
        <v>105.5</v>
      </c>
      <c r="AL8" s="53">
        <f t="shared" ref="AL8:AL71" si="0">IF(AJ8=0,"",MATCH(CEILING(AJ8,6),$D$4:$Z$4,0))</f>
        <v>8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197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60</v>
      </c>
      <c r="AK9" s="53">
        <f>'CALCULATOR SHEET'!J15</f>
        <v>105.5</v>
      </c>
      <c r="AL9" s="53">
        <f t="shared" si="0"/>
        <v>7</v>
      </c>
      <c r="AM9" s="53">
        <f t="shared" si="1"/>
        <v>15</v>
      </c>
      <c r="AN9" s="54">
        <f t="shared" si="2"/>
        <v>185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60</v>
      </c>
      <c r="AK10" s="53">
        <f>'CALCULATOR SHEET'!J16</f>
        <v>105.5</v>
      </c>
      <c r="AL10" s="53">
        <f t="shared" si="0"/>
        <v>7</v>
      </c>
      <c r="AM10" s="53">
        <f t="shared" si="1"/>
        <v>15</v>
      </c>
      <c r="AN10" s="54">
        <f t="shared" si="2"/>
        <v>185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61</v>
      </c>
      <c r="AK11" s="53">
        <f>'CALCULATOR SHEET'!J17</f>
        <v>105.5</v>
      </c>
      <c r="AL11" s="53">
        <f t="shared" si="0"/>
        <v>8</v>
      </c>
      <c r="AM11" s="53">
        <f t="shared" si="1"/>
        <v>15</v>
      </c>
      <c r="AN11" s="54">
        <f t="shared" si="2"/>
        <v>197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105.5</v>
      </c>
      <c r="AL12" s="53">
        <f t="shared" si="0"/>
        <v>8</v>
      </c>
      <c r="AM12" s="53">
        <f t="shared" si="1"/>
        <v>15</v>
      </c>
      <c r="AN12" s="54">
        <f t="shared" si="2"/>
        <v>197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61.625</v>
      </c>
      <c r="AK13" s="53">
        <f>'CALCULATOR SHEET'!J19</f>
        <v>82</v>
      </c>
      <c r="AL13" s="53">
        <f t="shared" si="0"/>
        <v>8</v>
      </c>
      <c r="AM13" s="53">
        <f t="shared" si="1"/>
        <v>11</v>
      </c>
      <c r="AN13" s="54">
        <f t="shared" si="2"/>
        <v>159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61.625</v>
      </c>
      <c r="AK14" s="53">
        <f>'CALCULATOR SHEET'!J20</f>
        <v>82</v>
      </c>
      <c r="AL14" s="53">
        <f t="shared" si="0"/>
        <v>8</v>
      </c>
      <c r="AM14" s="53">
        <f t="shared" si="1"/>
        <v>11</v>
      </c>
      <c r="AN14" s="54">
        <f t="shared" si="2"/>
        <v>159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60.25</v>
      </c>
      <c r="AK15" s="53">
        <f>'CALCULATOR SHEET'!J21</f>
        <v>82</v>
      </c>
      <c r="AL15" s="53">
        <f t="shared" si="0"/>
        <v>8</v>
      </c>
      <c r="AM15" s="53">
        <f t="shared" si="1"/>
        <v>11</v>
      </c>
      <c r="AN15" s="54">
        <f t="shared" si="2"/>
        <v>159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60.25</v>
      </c>
      <c r="AK16" s="53">
        <f>'CALCULATOR SHEET'!J22</f>
        <v>82</v>
      </c>
      <c r="AL16" s="53">
        <f t="shared" si="0"/>
        <v>8</v>
      </c>
      <c r="AM16" s="53">
        <f t="shared" si="1"/>
        <v>11</v>
      </c>
      <c r="AN16" s="54">
        <f t="shared" si="2"/>
        <v>159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61.25</v>
      </c>
      <c r="AK17" s="53">
        <f>'CALCULATOR SHEET'!J23</f>
        <v>82</v>
      </c>
      <c r="AL17" s="53">
        <f t="shared" si="0"/>
        <v>8</v>
      </c>
      <c r="AM17" s="53">
        <f t="shared" si="1"/>
        <v>11</v>
      </c>
      <c r="AN17" s="54">
        <f t="shared" si="2"/>
        <v>159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61.25</v>
      </c>
      <c r="AK18" s="53">
        <f>'CALCULATOR SHEET'!J24</f>
        <v>82</v>
      </c>
      <c r="AL18" s="53">
        <f t="shared" si="0"/>
        <v>8</v>
      </c>
      <c r="AM18" s="53">
        <f t="shared" si="1"/>
        <v>11</v>
      </c>
      <c r="AN18" s="54">
        <f t="shared" si="2"/>
        <v>159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86</v>
      </c>
      <c r="AK19" s="53">
        <f>'CALCULATOR SHEET'!J25</f>
        <v>87</v>
      </c>
      <c r="AL19" s="53">
        <f t="shared" si="0"/>
        <v>12</v>
      </c>
      <c r="AM19" s="53">
        <f t="shared" si="1"/>
        <v>12</v>
      </c>
      <c r="AN19" s="54">
        <f t="shared" si="2"/>
        <v>224</v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61.125</v>
      </c>
      <c r="AK7" s="53">
        <f>'CALCULATOR SHEET'!J13</f>
        <v>105.5</v>
      </c>
      <c r="AL7" s="53">
        <f t="shared" ref="AL7:AL70" si="0">IF(AJ7=0,"",MATCH(CEILING(AJ7,6),$D$4:$Z$4,0))</f>
        <v>8</v>
      </c>
      <c r="AM7" s="53">
        <f>IF(AK7=0,"",MATCH(CEILING(AK7,6),$C$7:$C$28,0))</f>
        <v>15</v>
      </c>
      <c r="AN7" s="54">
        <f t="shared" ref="AN7:AN70" si="1">IF(AL7="","",INDEX($D$7:$Z$28,AM7,AL7))</f>
        <v>229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61.125</v>
      </c>
      <c r="AK8" s="53">
        <f>'CALCULATOR SHEET'!J14</f>
        <v>105.5</v>
      </c>
      <c r="AL8" s="53">
        <f t="shared" si="0"/>
        <v>8</v>
      </c>
      <c r="AM8" s="53">
        <f t="shared" ref="AM8:AM71" si="2">IF(AK8=0,"",MATCH(CEILING(AK8,6),$C$7:$C$28,0))</f>
        <v>15</v>
      </c>
      <c r="AN8" s="54">
        <f t="shared" si="1"/>
        <v>229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60</v>
      </c>
      <c r="AK9" s="53">
        <f>'CALCULATOR SHEET'!J15</f>
        <v>105.5</v>
      </c>
      <c r="AL9" s="53">
        <f t="shared" si="0"/>
        <v>7</v>
      </c>
      <c r="AM9" s="53">
        <f t="shared" si="2"/>
        <v>15</v>
      </c>
      <c r="AN9" s="54">
        <f t="shared" si="1"/>
        <v>214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60</v>
      </c>
      <c r="AK10" s="53">
        <f>'CALCULATOR SHEET'!J16</f>
        <v>105.5</v>
      </c>
      <c r="AL10" s="53">
        <f t="shared" si="0"/>
        <v>7</v>
      </c>
      <c r="AM10" s="53">
        <f t="shared" si="2"/>
        <v>15</v>
      </c>
      <c r="AN10" s="54">
        <f t="shared" si="1"/>
        <v>214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61</v>
      </c>
      <c r="AK11" s="53">
        <f>'CALCULATOR SHEET'!J17</f>
        <v>105.5</v>
      </c>
      <c r="AL11" s="53">
        <f t="shared" si="0"/>
        <v>8</v>
      </c>
      <c r="AM11" s="53">
        <f t="shared" si="2"/>
        <v>15</v>
      </c>
      <c r="AN11" s="54">
        <f t="shared" si="1"/>
        <v>229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61</v>
      </c>
      <c r="AK12" s="53">
        <f>'CALCULATOR SHEET'!J18</f>
        <v>105.5</v>
      </c>
      <c r="AL12" s="53">
        <f t="shared" si="0"/>
        <v>8</v>
      </c>
      <c r="AM12" s="53">
        <f t="shared" si="2"/>
        <v>15</v>
      </c>
      <c r="AN12" s="54">
        <f t="shared" si="1"/>
        <v>229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61.625</v>
      </c>
      <c r="AK13" s="53">
        <f>'CALCULATOR SHEET'!J19</f>
        <v>82</v>
      </c>
      <c r="AL13" s="53">
        <f t="shared" si="0"/>
        <v>8</v>
      </c>
      <c r="AM13" s="53">
        <f t="shared" si="2"/>
        <v>11</v>
      </c>
      <c r="AN13" s="54">
        <f t="shared" si="1"/>
        <v>184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61.625</v>
      </c>
      <c r="AK14" s="53">
        <f>'CALCULATOR SHEET'!J20</f>
        <v>82</v>
      </c>
      <c r="AL14" s="53">
        <f t="shared" si="0"/>
        <v>8</v>
      </c>
      <c r="AM14" s="53">
        <f t="shared" si="2"/>
        <v>11</v>
      </c>
      <c r="AN14" s="54">
        <f t="shared" si="1"/>
        <v>184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60.25</v>
      </c>
      <c r="AK15" s="53">
        <f>'CALCULATOR SHEET'!J21</f>
        <v>82</v>
      </c>
      <c r="AL15" s="53">
        <f t="shared" si="0"/>
        <v>8</v>
      </c>
      <c r="AM15" s="53">
        <f t="shared" si="2"/>
        <v>11</v>
      </c>
      <c r="AN15" s="54">
        <f t="shared" si="1"/>
        <v>184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60.25</v>
      </c>
      <c r="AK16" s="53">
        <f>'CALCULATOR SHEET'!J22</f>
        <v>82</v>
      </c>
      <c r="AL16" s="53">
        <f t="shared" si="0"/>
        <v>8</v>
      </c>
      <c r="AM16" s="53">
        <f t="shared" si="2"/>
        <v>11</v>
      </c>
      <c r="AN16" s="54">
        <f t="shared" si="1"/>
        <v>184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61.25</v>
      </c>
      <c r="AK17" s="53">
        <f>'CALCULATOR SHEET'!J23</f>
        <v>82</v>
      </c>
      <c r="AL17" s="53">
        <f t="shared" si="0"/>
        <v>8</v>
      </c>
      <c r="AM17" s="53">
        <f t="shared" si="2"/>
        <v>11</v>
      </c>
      <c r="AN17" s="54">
        <f t="shared" si="1"/>
        <v>184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61.25</v>
      </c>
      <c r="AK18" s="53">
        <f>'CALCULATOR SHEET'!J24</f>
        <v>82</v>
      </c>
      <c r="AL18" s="53">
        <f t="shared" si="0"/>
        <v>8</v>
      </c>
      <c r="AM18" s="53">
        <f t="shared" si="2"/>
        <v>11</v>
      </c>
      <c r="AN18" s="54">
        <f t="shared" si="1"/>
        <v>184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86</v>
      </c>
      <c r="AK19" s="53">
        <f>'CALCULATOR SHEET'!J25</f>
        <v>87</v>
      </c>
      <c r="AL19" s="53">
        <f t="shared" si="0"/>
        <v>12</v>
      </c>
      <c r="AM19" s="53">
        <f t="shared" si="2"/>
        <v>12</v>
      </c>
      <c r="AN19" s="54">
        <f t="shared" si="1"/>
        <v>260</v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2025-11-03T21:29:12Z</cp:lastPrinted>
  <dcterms:created xsi:type="dcterms:W3CDTF">2016-09-27T19:33:28Z</dcterms:created>
  <dcterms:modified xsi:type="dcterms:W3CDTF">2025-11-03T21:29:35Z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