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drawings/drawing6.xml" ContentType="application/vnd.openxmlformats-officedocument.drawing+xml"/>
  <Override PartName="/xl/comments8.xml" ContentType="application/vnd.openxmlformats-officedocument.spreadsheetml.comments+xml"/>
  <Override PartName="/xl/drawings/drawing7.xml" ContentType="application/vnd.openxmlformats-officedocument.drawing+xml"/>
  <Override PartName="/xl/comments9.xml" ContentType="application/vnd.openxmlformats-officedocument.spreadsheetml.comments+xml"/>
  <Override PartName="/xl/drawings/drawing8.xml" ContentType="application/vnd.openxmlformats-officedocument.drawing+xml"/>
  <Override PartName="/xl/comments10.xml" ContentType="application/vnd.openxmlformats-officedocument.spreadsheetml.comments+xml"/>
  <Override PartName="/xl/drawings/drawing9.xml" ContentType="application/vnd.openxmlformats-officedocument.drawing+xml"/>
  <Override PartName="/xl/comments11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icardo.Garcia\Desktop\JENNIFER INZUNZA\NUEVA REVISION DE CABAñAS\"/>
    </mc:Choice>
  </mc:AlternateContent>
  <xr:revisionPtr revIDLastSave="0" documentId="8_{80AD1164-D72C-490F-83CD-64B6BE8A710A}" xr6:coauthVersionLast="47" xr6:coauthVersionMax="47" xr10:uidLastSave="{00000000-0000-0000-0000-000000000000}"/>
  <bookViews>
    <workbookView xWindow="20370" yWindow="-3540" windowWidth="29040" windowHeight="15840" tabRatio="943" xr2:uid="{00000000-000D-0000-FFFF-FFFF00000000}"/>
  </bookViews>
  <sheets>
    <sheet name="QUOTE" sheetId="6" r:id="rId1"/>
    <sheet name="FILL QUOTE-CALCULATIONS" sheetId="5" r:id="rId2"/>
    <sheet name="Sheet1" sheetId="23" r:id="rId3"/>
    <sheet name="MARK UP's" sheetId="19" state="veryHidden" r:id="rId4"/>
    <sheet name="COST - SELL" sheetId="10" state="veryHidden" r:id="rId5"/>
    <sheet name="DROP LIST" sheetId="7" state="veryHidden" r:id="rId6"/>
    <sheet name="ANALISIS BWS VS VERTILUX" sheetId="20" state="veryHidden" r:id="rId7"/>
    <sheet name="CALC - RIPP-STD HW " sheetId="18" state="veryHidden" r:id="rId8"/>
    <sheet name="CALC -P.P. - STD HW" sheetId="15" state="veryHidden" r:id="rId9"/>
    <sheet name="CALC - RIPP- H-RAIL HW " sheetId="16" state="veryHidden" r:id="rId10"/>
    <sheet name="CALC -P.P. - H-RAIL HW" sheetId="17" state="veryHidden" r:id="rId11"/>
    <sheet name="CALC -RIPP- MOT.PLUG IN" sheetId="21" state="veryHidden" r:id="rId12"/>
    <sheet name="CALC -P.P.- MOT.PLUG IN " sheetId="22" state="veryHidden" r:id="rId13"/>
    <sheet name="VERTILUX (MX) " sheetId="12" state="veryHidden" r:id="rId14"/>
    <sheet name="TABLA PRECIOS BOD TOP GROMMET" sheetId="4" state="veryHidden" r:id="rId15"/>
    <sheet name="TABLA PRECIOS SHEER TOP GROMMET" sheetId="9" state="veryHidden" r:id="rId16"/>
    <sheet name="CALCUL. (SHEER TOP GROMMET)" sheetId="8" state="veryHidden" r:id="rId17"/>
  </sheets>
  <externalReferences>
    <externalReference r:id="rId18"/>
    <externalReference r:id="rId19"/>
    <externalReference r:id="rId20"/>
    <externalReference r:id="rId21"/>
    <externalReference r:id="rId22"/>
  </externalReferences>
  <definedNames>
    <definedName name="_xlnm._FilterDatabase" localSheetId="0" hidden="1">QUOTE!$AA$11:$AA$59</definedName>
    <definedName name="_xlnm._FilterDatabase" localSheetId="13" hidden="1">'VERTILUX (MX) '!$B$4:$N$130</definedName>
    <definedName name="ADABATONTYPE" localSheetId="14">'[1]DROP LIST'!$F$20:$F$31</definedName>
    <definedName name="ADABATONTYPE" localSheetId="15">'[1]DROP LIST'!$F$20:$F$31</definedName>
    <definedName name="ADABATONTYPE">'[2]DROP LIST'!$F$20:$F$31</definedName>
    <definedName name="COSTADABATON" localSheetId="14">'[1]DROP LIST'!$F$20:$G$31</definedName>
    <definedName name="COSTADABATON" localSheetId="15">'[1]DROP LIST'!$F$20:$G$31</definedName>
    <definedName name="COSTADABATON">'[2]DROP LIST'!$F$20:$G$31</definedName>
    <definedName name="COSTREG.BATON" localSheetId="14">'[1]DROP LIST'!$F$3:$G$13</definedName>
    <definedName name="COSTREG.BATON" localSheetId="15">'[1]DROP LIST'!$F$3:$G$13</definedName>
    <definedName name="COSTREG.BATON">'[2]DROP LIST'!$F$3:$G$13</definedName>
    <definedName name="CUSTOMER" localSheetId="14">'[1]DROP LIST'!$D$5:$D$24</definedName>
    <definedName name="CUSTOMER" localSheetId="15">'[1]DROP LIST'!$D$5:$D$24</definedName>
    <definedName name="CUSTOMER">'[2]DROP LIST'!$D$5:$D$24</definedName>
    <definedName name="DraperyStyle" localSheetId="14">'[1]DROP LIST'!$B$5:$B$15</definedName>
    <definedName name="DraperyStyle" localSheetId="15">'[1]DROP LIST'!$B$5:$B$15</definedName>
    <definedName name="DraperyStyle">'[2]DROP LIST'!$B$5:$B$15</definedName>
    <definedName name="DRAPERYTYPE" localSheetId="14">'[1]PRICING DATA'!$S$23:$S$35</definedName>
    <definedName name="DRAPERYTYPE" localSheetId="15">'[1]PRICING DATA'!$S$23:$S$35</definedName>
    <definedName name="DRAPERYTYPE">'[2]PRICING DATA'!$S$23:$S$35</definedName>
    <definedName name="DRAWDIRECTION" localSheetId="14">'[1]DROP LIST'!$B$39:$B$48</definedName>
    <definedName name="DRAWDIRECTION" localSheetId="15">'[1]DROP LIST'!$B$39:$B$48</definedName>
    <definedName name="DRAWDIRECTION">'[2]DROP LIST'!$B$39:$B$48</definedName>
    <definedName name="FabricDirection" localSheetId="14">'[1]DROP LIST'!$B$17:$B$19</definedName>
    <definedName name="FabricDirection" localSheetId="15">'[1]DROP LIST'!$B$17:$B$19</definedName>
    <definedName name="FabricDirection">'[2]DROP LIST'!$B$17:$B$19</definedName>
    <definedName name="FABRICLININGSOURCE" localSheetId="14">'[1]DROP LIST'!$G$39:$G$41</definedName>
    <definedName name="FABRICLININGSOURCE" localSheetId="15">'[1]DROP LIST'!$G$39:$G$41</definedName>
    <definedName name="FABRICLININGSOURCE">'[2]DROP LIST'!$G$39:$G$41</definedName>
    <definedName name="FABRICSELECTION" localSheetId="10">#REF!</definedName>
    <definedName name="FABRICSELECTION" localSheetId="8">#REF!</definedName>
    <definedName name="FABRICSELECTION">#REF!</definedName>
    <definedName name="FASCIATYPE">'[3]PRICING SHEET'!$B$10:$B$35</definedName>
    <definedName name="Fullness" localSheetId="14">'[1]DROP LIST'!$B$27:$B$34</definedName>
    <definedName name="Fullness" localSheetId="15">'[1]DROP LIST'!$B$27:$B$34</definedName>
    <definedName name="Fullness">'[2]DROP LIST'!$B$27:$B$34</definedName>
    <definedName name="HARDWARETYPE" localSheetId="14">'[1]DROP LIST'!$F$44:$F$49</definedName>
    <definedName name="HARDWARETYPE" localSheetId="15">'[1]DROP LIST'!$F$44:$F$49</definedName>
    <definedName name="HARDWARETYPE">'[2]DROP LIST'!$F$44:$F$49</definedName>
    <definedName name="HEADSIZE" localSheetId="14">'[1]DROP LIST'!$G$34:$G$37</definedName>
    <definedName name="HEADSIZE" localSheetId="15">'[1]DROP LIST'!$G$34:$G$37</definedName>
    <definedName name="HEADSIZE">'[2]DROP LIST'!$G$34:$G$37</definedName>
    <definedName name="HWBATONORCORD" localSheetId="14">'[1]DROP LIST'!$F$52:$F$54</definedName>
    <definedName name="HWBATONORCORD" localSheetId="15">'[1]DROP LIST'!$F$52:$F$54</definedName>
    <definedName name="HWBATONORCORD">'[2]DROP LIST'!$F$52:$F$54</definedName>
    <definedName name="LABOR_PRICING">[4]Data!$L$26:$T$53</definedName>
    <definedName name="LININGCOST" localSheetId="14">'[1]PRICING DATA'!$B$7:$C$27</definedName>
    <definedName name="LININGCOST" localSheetId="15">'[1]PRICING DATA'!$B$7:$C$27</definedName>
    <definedName name="LININGCOST">'[2]PRICING DATA'!$B$7:$C$27</definedName>
    <definedName name="LININGOPTION">'[2]DROP LIST'!$I$34:$I$38</definedName>
    <definedName name="LININGSELLPRICE" localSheetId="14">'[1]PRICING DATA'!$B$6:$O$27</definedName>
    <definedName name="LININGSELLPRICE" localSheetId="15">'[1]PRICING DATA'!$B$6:$O$27</definedName>
    <definedName name="LININGSELLPRICE">'[2]PRICING DATA'!$B$6:$O$27</definedName>
    <definedName name="LININGSIZE" localSheetId="14">'[1]DROP LIST'!$B$51:$B$54</definedName>
    <definedName name="LININGSIZE" localSheetId="15">'[1]DROP LIST'!$B$51:$B$54</definedName>
    <definedName name="LININGSIZE">'[2]DROP LIST'!$B$51:$B$54</definedName>
    <definedName name="LININGTYPE" localSheetId="14">'[1]PRICING DATA'!$B$8:$B$27</definedName>
    <definedName name="LININGTYPE" localSheetId="15">'[1]PRICING DATA'!$B$8:$B$27</definedName>
    <definedName name="LININGTYPE">'[2]PRICING DATA'!$B$8:$B$27</definedName>
    <definedName name="MOUNTINGTYPE" localSheetId="14">'[1]DROP LIST'!$D$51:$D$53</definedName>
    <definedName name="MOUNTINGTYPE" localSheetId="15">'[1]DROP LIST'!$D$51:$D$53</definedName>
    <definedName name="MOUNTINGTYPE">'[2]DROP LIST'!$D$51:$D$53</definedName>
    <definedName name="OperableStationary" localSheetId="14">'[1]DROP LIST'!$D$32:$D$35</definedName>
    <definedName name="OperableStationary" localSheetId="15">'[1]DROP LIST'!$D$32:$D$35</definedName>
    <definedName name="OperableStationary">'[2]DROP LIST'!$D$32:$D$35</definedName>
    <definedName name="OPTIONAL" localSheetId="14">'[1]DROP LIST'!$D$27:$D$30</definedName>
    <definedName name="OPTIONAL" localSheetId="15">'[1]DROP LIST'!$D$27:$D$30</definedName>
    <definedName name="OPTIONAL">'[2]DROP LIST'!$D$27:$D$30</definedName>
    <definedName name="_xlnm.Print_Area" localSheetId="4">'COST - SELL'!$A$1:$J$91</definedName>
    <definedName name="_xlnm.Print_Area" localSheetId="0">QUOTE!$A$1:$X$79</definedName>
    <definedName name="_xlnm.Print_Area" localSheetId="14">'TABLA PRECIOS BOD TOP GROMMET'!$A$1:$S$51</definedName>
    <definedName name="_xlnm.Print_Area" localSheetId="15">'TABLA PRECIOS SHEER TOP GROMMET'!$A$1:$S$51</definedName>
    <definedName name="_xlnm.Print_Titles" localSheetId="14">'TABLA PRECIOS BOD TOP GROMMET'!$1:$16</definedName>
    <definedName name="_xlnm.Print_Titles" localSheetId="15">'TABLA PRECIOS SHEER TOP GROMMET'!$1:$16</definedName>
    <definedName name="QT" localSheetId="10">'[2]QTE &amp; CALCUL.'!#REF!</definedName>
    <definedName name="QT" localSheetId="8">'[2]QTE &amp; CALCUL.'!#REF!</definedName>
    <definedName name="QT" localSheetId="14">'[1]QTE &amp; CALCUL.'!#REF!</definedName>
    <definedName name="QT" localSheetId="15">'[1]QTE &amp; CALCUL.'!#REF!</definedName>
    <definedName name="QT">'[2]QTE &amp; CALCUL.'!#REF!</definedName>
    <definedName name="REG.BATONTYPE" localSheetId="14">'[1]DROP LIST'!$F$3:$F$16</definedName>
    <definedName name="REG.BATONTYPE" localSheetId="15">'[1]DROP LIST'!$F$3:$F$16</definedName>
    <definedName name="REG.BATONTYPE">'[2]DROP LIST'!$F$3:$F$16</definedName>
    <definedName name="SOMFYCONTROL" localSheetId="14">'[1]DROP LIST'!$B$59:$B$62</definedName>
    <definedName name="SOMFYCONTROL" localSheetId="15">'[1]DROP LIST'!$B$59:$B$62</definedName>
    <definedName name="SOMFYCONTROL">'[2]DROP LIST'!$B$59:$B$62</definedName>
    <definedName name="VALANCESSTYLE">'[2]DROP LIST'!$I$20:$I$24</definedName>
    <definedName name="WEIGHTSTYLE" localSheetId="14">'[1]DROP LIST'!$F$39:$F$42</definedName>
    <definedName name="WEIGHTSTYLE" localSheetId="15">'[1]DROP LIST'!$F$39:$F$42</definedName>
    <definedName name="WEIGHTSTYLE">'[2]DROP LIST'!$F$39:$F$42</definedName>
    <definedName name="WOODFASCIASTYLES">[5]DATA!$C$4:$C$29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0" i="6" l="1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D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 l="1"/>
  <c r="J43" i="6" s="1"/>
  <c r="J45" i="5"/>
  <c r="J44" i="5"/>
  <c r="J41" i="6" s="1"/>
  <c r="J43" i="5"/>
  <c r="J40" i="6" s="1"/>
  <c r="J42" i="5"/>
  <c r="J41" i="5"/>
  <c r="J40" i="5"/>
  <c r="J37" i="6" s="1"/>
  <c r="J39" i="5"/>
  <c r="J38" i="5"/>
  <c r="J37" i="5"/>
  <c r="J36" i="5"/>
  <c r="J35" i="5"/>
  <c r="J32" i="6" s="1"/>
  <c r="J34" i="5"/>
  <c r="J31" i="6" s="1"/>
  <c r="J33" i="5"/>
  <c r="J32" i="5"/>
  <c r="R12" i="6"/>
  <c r="R13" i="6"/>
  <c r="J31" i="5"/>
  <c r="J30" i="5"/>
  <c r="J29" i="5"/>
  <c r="J28" i="5"/>
  <c r="J27" i="5"/>
  <c r="J26" i="5"/>
  <c r="J25" i="5"/>
  <c r="J19" i="5"/>
  <c r="AA33" i="6"/>
  <c r="AA32" i="6"/>
  <c r="J24" i="5"/>
  <c r="J23" i="5"/>
  <c r="AA37" i="6"/>
  <c r="AA36" i="6"/>
  <c r="AA35" i="6"/>
  <c r="AB2" i="5"/>
  <c r="AG2" i="5"/>
  <c r="R3" i="5"/>
  <c r="K4" i="5"/>
  <c r="R4" i="5"/>
  <c r="AB4" i="5"/>
  <c r="K7" i="5"/>
  <c r="O7" i="5"/>
  <c r="S7" i="5"/>
  <c r="AC7" i="5"/>
  <c r="K10" i="5"/>
  <c r="O10" i="5"/>
  <c r="S10" i="5"/>
  <c r="AC10" i="5"/>
  <c r="B12" i="5"/>
  <c r="T12" i="5" s="1"/>
  <c r="P12" i="5"/>
  <c r="W12" i="5" s="1"/>
  <c r="AA12" i="5"/>
  <c r="AB12" i="5"/>
  <c r="AF13" i="5"/>
  <c r="AF15" i="5" s="1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W14" i="5"/>
  <c r="Z14" i="5"/>
  <c r="AA14" i="5"/>
  <c r="AB14" i="5"/>
  <c r="AC14" i="5"/>
  <c r="J15" i="5"/>
  <c r="AE15" i="5"/>
  <c r="AG15" i="5"/>
  <c r="AH15" i="5"/>
  <c r="AJ15" i="5" s="1"/>
  <c r="AK15" i="5"/>
  <c r="AS15" i="5"/>
  <c r="AT15" i="5"/>
  <c r="AX15" i="5"/>
  <c r="BG15" i="5" s="1"/>
  <c r="AY15" i="5"/>
  <c r="BH15" i="5" s="1"/>
  <c r="AZ15" i="5"/>
  <c r="BB15" i="5"/>
  <c r="BD15" i="5"/>
  <c r="B16" i="5"/>
  <c r="J16" i="5"/>
  <c r="AE16" i="5"/>
  <c r="AF16" i="5"/>
  <c r="AG16" i="5"/>
  <c r="AJ16" i="5" s="1"/>
  <c r="AH16" i="5"/>
  <c r="AK16" i="5"/>
  <c r="AS16" i="5"/>
  <c r="AT16" i="5"/>
  <c r="AX16" i="5"/>
  <c r="BG16" i="5" s="1"/>
  <c r="AY16" i="5"/>
  <c r="BH16" i="5" s="1"/>
  <c r="AZ16" i="5"/>
  <c r="BB16" i="5"/>
  <c r="BD16" i="5"/>
  <c r="B17" i="5"/>
  <c r="J17" i="5"/>
  <c r="AE17" i="5"/>
  <c r="AF17" i="5"/>
  <c r="AI17" i="5" s="1"/>
  <c r="AG17" i="5"/>
  <c r="AH17" i="5"/>
  <c r="AK17" i="5"/>
  <c r="AS17" i="5"/>
  <c r="AT17" i="5"/>
  <c r="AX17" i="5"/>
  <c r="BG17" i="5" s="1"/>
  <c r="AY17" i="5"/>
  <c r="BH17" i="5" s="1"/>
  <c r="AZ17" i="5"/>
  <c r="BB17" i="5"/>
  <c r="BC17" i="5" s="1"/>
  <c r="BD17" i="5"/>
  <c r="B18" i="5"/>
  <c r="J18" i="5"/>
  <c r="AE18" i="5"/>
  <c r="AF18" i="5"/>
  <c r="AI18" i="5" s="1"/>
  <c r="AG18" i="5"/>
  <c r="AH18" i="5"/>
  <c r="AK18" i="5"/>
  <c r="AS18" i="5"/>
  <c r="AT18" i="5"/>
  <c r="AX18" i="5"/>
  <c r="BG18" i="5" s="1"/>
  <c r="AY18" i="5"/>
  <c r="BH18" i="5" s="1"/>
  <c r="AZ18" i="5"/>
  <c r="BB18" i="5"/>
  <c r="BD18" i="5"/>
  <c r="B19" i="5"/>
  <c r="AE19" i="5"/>
  <c r="AF19" i="5"/>
  <c r="AG19" i="5"/>
  <c r="AH19" i="5"/>
  <c r="AI19" i="5"/>
  <c r="AK19" i="5"/>
  <c r="AS19" i="5"/>
  <c r="AT19" i="5"/>
  <c r="AX19" i="5"/>
  <c r="BG19" i="5" s="1"/>
  <c r="AY19" i="5"/>
  <c r="BH19" i="5" s="1"/>
  <c r="AZ19" i="5"/>
  <c r="BB19" i="5"/>
  <c r="BC19" i="5" s="1"/>
  <c r="BD19" i="5"/>
  <c r="B20" i="5"/>
  <c r="J20" i="5"/>
  <c r="AE20" i="5"/>
  <c r="AF20" i="5"/>
  <c r="AI20" i="5" s="1"/>
  <c r="AG20" i="5"/>
  <c r="AH20" i="5"/>
  <c r="AK20" i="5"/>
  <c r="AS20" i="5"/>
  <c r="AT20" i="5"/>
  <c r="AX20" i="5"/>
  <c r="AY20" i="5"/>
  <c r="BH20" i="5" s="1"/>
  <c r="AZ20" i="5"/>
  <c r="BB20" i="5"/>
  <c r="BD20" i="5"/>
  <c r="BG20" i="5"/>
  <c r="BI20" i="5" s="1"/>
  <c r="W20" i="5" s="1"/>
  <c r="B21" i="5"/>
  <c r="J21" i="5"/>
  <c r="AE21" i="5"/>
  <c r="AF21" i="5"/>
  <c r="AI21" i="5" s="1"/>
  <c r="AG21" i="5"/>
  <c r="AH21" i="5"/>
  <c r="AJ21" i="5" s="1"/>
  <c r="AL21" i="5" s="1"/>
  <c r="AK21" i="5"/>
  <c r="AS21" i="5"/>
  <c r="AT21" i="5"/>
  <c r="AU21" i="5" s="1"/>
  <c r="AX21" i="5"/>
  <c r="BG21" i="5" s="1"/>
  <c r="AY21" i="5"/>
  <c r="BH21" i="5" s="1"/>
  <c r="AZ21" i="5"/>
  <c r="BB21" i="5"/>
  <c r="BC21" i="5" s="1"/>
  <c r="BD21" i="5"/>
  <c r="B22" i="5"/>
  <c r="J22" i="5"/>
  <c r="AE22" i="5"/>
  <c r="AF22" i="5"/>
  <c r="AI22" i="5" s="1"/>
  <c r="AG22" i="5"/>
  <c r="AH22" i="5"/>
  <c r="AJ22" i="5" s="1"/>
  <c r="AK22" i="5"/>
  <c r="AS22" i="5"/>
  <c r="AT22" i="5"/>
  <c r="AX22" i="5"/>
  <c r="BG22" i="5" s="1"/>
  <c r="AY22" i="5"/>
  <c r="BH22" i="5" s="1"/>
  <c r="AZ22" i="5"/>
  <c r="BB22" i="5"/>
  <c r="BD22" i="5"/>
  <c r="B23" i="5"/>
  <c r="AE23" i="5"/>
  <c r="AF23" i="5"/>
  <c r="AG23" i="5"/>
  <c r="AJ23" i="5" s="1"/>
  <c r="AH23" i="5"/>
  <c r="AK23" i="5"/>
  <c r="AS23" i="5"/>
  <c r="AT23" i="5"/>
  <c r="AU23" i="5" s="1"/>
  <c r="AX23" i="5"/>
  <c r="BG23" i="5" s="1"/>
  <c r="AY23" i="5"/>
  <c r="BH23" i="5" s="1"/>
  <c r="AZ23" i="5"/>
  <c r="BB23" i="5"/>
  <c r="BD23" i="5"/>
  <c r="B24" i="5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AE24" i="5"/>
  <c r="AF24" i="5"/>
  <c r="AI24" i="5" s="1"/>
  <c r="AR24" i="5" s="1"/>
  <c r="AG24" i="5"/>
  <c r="AH24" i="5"/>
  <c r="AK24" i="5"/>
  <c r="AS24" i="5"/>
  <c r="AT24" i="5"/>
  <c r="AX24" i="5"/>
  <c r="BG24" i="5" s="1"/>
  <c r="AY24" i="5"/>
  <c r="BH24" i="5" s="1"/>
  <c r="AZ24" i="5"/>
  <c r="BB24" i="5"/>
  <c r="BD24" i="5"/>
  <c r="AE25" i="5"/>
  <c r="AF25" i="5"/>
  <c r="AI25" i="5" s="1"/>
  <c r="AG25" i="5"/>
  <c r="AH25" i="5"/>
  <c r="AK25" i="5"/>
  <c r="AL25" i="5" s="1"/>
  <c r="AS25" i="5"/>
  <c r="AT25" i="5"/>
  <c r="AX25" i="5"/>
  <c r="BG25" i="5" s="1"/>
  <c r="AY25" i="5"/>
  <c r="AZ25" i="5"/>
  <c r="BB25" i="5"/>
  <c r="BD25" i="5"/>
  <c r="BH25" i="5"/>
  <c r="AE26" i="5"/>
  <c r="AF26" i="5"/>
  <c r="AG26" i="5"/>
  <c r="AJ26" i="5" s="1"/>
  <c r="AH26" i="5"/>
  <c r="AK26" i="5"/>
  <c r="AS26" i="5"/>
  <c r="AT26" i="5"/>
  <c r="AX26" i="5"/>
  <c r="AY26" i="5"/>
  <c r="BH26" i="5" s="1"/>
  <c r="AZ26" i="5"/>
  <c r="BB26" i="5"/>
  <c r="BD26" i="5"/>
  <c r="BG26" i="5"/>
  <c r="AE27" i="5"/>
  <c r="AF27" i="5"/>
  <c r="AG27" i="5"/>
  <c r="AH27" i="5"/>
  <c r="AI27" i="5"/>
  <c r="AK27" i="5"/>
  <c r="AL27" i="5" s="1"/>
  <c r="AS27" i="5"/>
  <c r="AT27" i="5"/>
  <c r="AX27" i="5"/>
  <c r="BG27" i="5" s="1"/>
  <c r="AY27" i="5"/>
  <c r="BH27" i="5" s="1"/>
  <c r="AZ27" i="5"/>
  <c r="BB27" i="5"/>
  <c r="BD27" i="5"/>
  <c r="AE28" i="5"/>
  <c r="AF28" i="5"/>
  <c r="AI28" i="5" s="1"/>
  <c r="AR28" i="5" s="1"/>
  <c r="AG28" i="5"/>
  <c r="AJ28" i="5" s="1"/>
  <c r="AH28" i="5"/>
  <c r="AK28" i="5"/>
  <c r="AL28" i="5" s="1"/>
  <c r="AS28" i="5"/>
  <c r="AT28" i="5"/>
  <c r="AX28" i="5"/>
  <c r="BG28" i="5" s="1"/>
  <c r="AY28" i="5"/>
  <c r="BH28" i="5" s="1"/>
  <c r="AZ28" i="5"/>
  <c r="BB28" i="5"/>
  <c r="BD28" i="5"/>
  <c r="AE29" i="5"/>
  <c r="AF29" i="5"/>
  <c r="AI29" i="5" s="1"/>
  <c r="AR29" i="5" s="1"/>
  <c r="AG29" i="5"/>
  <c r="AJ29" i="5" s="1"/>
  <c r="AH29" i="5"/>
  <c r="AK29" i="5"/>
  <c r="AL29" i="5" s="1"/>
  <c r="AS29" i="5"/>
  <c r="AT29" i="5"/>
  <c r="AX29" i="5"/>
  <c r="BG29" i="5" s="1"/>
  <c r="AY29" i="5"/>
  <c r="BH29" i="5" s="1"/>
  <c r="AZ29" i="5"/>
  <c r="BB29" i="5"/>
  <c r="BD29" i="5"/>
  <c r="AE30" i="5"/>
  <c r="AF30" i="5"/>
  <c r="AI30" i="5" s="1"/>
  <c r="AR30" i="5" s="1"/>
  <c r="AG30" i="5"/>
  <c r="AJ30" i="5" s="1"/>
  <c r="AH30" i="5"/>
  <c r="AK30" i="5"/>
  <c r="AL30" i="5" s="1"/>
  <c r="AS30" i="5"/>
  <c r="AT30" i="5"/>
  <c r="AX30" i="5"/>
  <c r="BG30" i="5" s="1"/>
  <c r="AY30" i="5"/>
  <c r="BH30" i="5" s="1"/>
  <c r="AZ30" i="5"/>
  <c r="BB30" i="5"/>
  <c r="BD30" i="5"/>
  <c r="AE31" i="5"/>
  <c r="AF31" i="5"/>
  <c r="AG31" i="5"/>
  <c r="AH31" i="5"/>
  <c r="AI31" i="5"/>
  <c r="AR31" i="5" s="1"/>
  <c r="AK31" i="5"/>
  <c r="AS31" i="5"/>
  <c r="AT31" i="5"/>
  <c r="AU31" i="5" s="1"/>
  <c r="AX31" i="5"/>
  <c r="BG31" i="5" s="1"/>
  <c r="AY31" i="5"/>
  <c r="AZ31" i="5"/>
  <c r="BB31" i="5"/>
  <c r="BD31" i="5"/>
  <c r="BH31" i="5"/>
  <c r="AE32" i="5"/>
  <c r="AF32" i="5"/>
  <c r="AI32" i="5" s="1"/>
  <c r="AG32" i="5"/>
  <c r="AJ32" i="5" s="1"/>
  <c r="AH32" i="5"/>
  <c r="AK32" i="5"/>
  <c r="AS32" i="5"/>
  <c r="AT32" i="5"/>
  <c r="AX32" i="5"/>
  <c r="AY32" i="5"/>
  <c r="AZ32" i="5"/>
  <c r="BB32" i="5"/>
  <c r="BC32" i="5" s="1"/>
  <c r="BD32" i="5"/>
  <c r="BG32" i="5"/>
  <c r="BH32" i="5"/>
  <c r="AE33" i="5"/>
  <c r="AF33" i="5"/>
  <c r="AI33" i="5" s="1"/>
  <c r="AG33" i="5"/>
  <c r="AH33" i="5"/>
  <c r="AJ33" i="5"/>
  <c r="AK33" i="5"/>
  <c r="AL33" i="5" s="1"/>
  <c r="AS33" i="5"/>
  <c r="AT33" i="5"/>
  <c r="AU33" i="5" s="1"/>
  <c r="AX33" i="5"/>
  <c r="AY33" i="5"/>
  <c r="BH33" i="5" s="1"/>
  <c r="AZ33" i="5"/>
  <c r="BB33" i="5"/>
  <c r="BC33" i="5" s="1"/>
  <c r="BD33" i="5"/>
  <c r="BG33" i="5"/>
  <c r="AE34" i="5"/>
  <c r="AF34" i="5"/>
  <c r="AI34" i="5" s="1"/>
  <c r="AR34" i="5" s="1"/>
  <c r="AG34" i="5"/>
  <c r="AH34" i="5"/>
  <c r="AJ34" i="5" s="1"/>
  <c r="AK34" i="5"/>
  <c r="AL34" i="5" s="1"/>
  <c r="AS34" i="5"/>
  <c r="AT34" i="5"/>
  <c r="AX34" i="5"/>
  <c r="BG34" i="5" s="1"/>
  <c r="AY34" i="5"/>
  <c r="BH34" i="5" s="1"/>
  <c r="AZ34" i="5"/>
  <c r="BB34" i="5"/>
  <c r="BC34" i="5" s="1"/>
  <c r="BD34" i="5"/>
  <c r="AE35" i="5"/>
  <c r="AF35" i="5"/>
  <c r="AG35" i="5"/>
  <c r="AH35" i="5"/>
  <c r="AJ35" i="5" s="1"/>
  <c r="AI35" i="5"/>
  <c r="AR35" i="5" s="1"/>
  <c r="AK35" i="5"/>
  <c r="AL35" i="5" s="1"/>
  <c r="AS35" i="5"/>
  <c r="AT35" i="5"/>
  <c r="AU35" i="5" s="1"/>
  <c r="AX35" i="5"/>
  <c r="BG35" i="5" s="1"/>
  <c r="AY35" i="5"/>
  <c r="BH35" i="5" s="1"/>
  <c r="AZ35" i="5"/>
  <c r="BB35" i="5"/>
  <c r="BC35" i="5"/>
  <c r="BD35" i="5"/>
  <c r="AE36" i="5"/>
  <c r="AF36" i="5"/>
  <c r="AI36" i="5" s="1"/>
  <c r="AR36" i="5" s="1"/>
  <c r="AG36" i="5"/>
  <c r="AJ36" i="5" s="1"/>
  <c r="AH36" i="5"/>
  <c r="AK36" i="5"/>
  <c r="AS36" i="5"/>
  <c r="AT36" i="5"/>
  <c r="AX36" i="5"/>
  <c r="AY36" i="5"/>
  <c r="BH36" i="5" s="1"/>
  <c r="AZ36" i="5"/>
  <c r="BB36" i="5"/>
  <c r="BC36" i="5" s="1"/>
  <c r="BD36" i="5"/>
  <c r="BG36" i="5"/>
  <c r="AE37" i="5"/>
  <c r="AF37" i="5"/>
  <c r="AI37" i="5" s="1"/>
  <c r="AR37" i="5" s="1"/>
  <c r="AG37" i="5"/>
  <c r="AJ37" i="5" s="1"/>
  <c r="AH37" i="5"/>
  <c r="AK37" i="5"/>
  <c r="AL37" i="5" s="1"/>
  <c r="AS37" i="5"/>
  <c r="AT37" i="5"/>
  <c r="AX37" i="5"/>
  <c r="AY37" i="5"/>
  <c r="BH37" i="5" s="1"/>
  <c r="AZ37" i="5"/>
  <c r="BB37" i="5"/>
  <c r="BC37" i="5" s="1"/>
  <c r="BD37" i="5"/>
  <c r="BG37" i="5"/>
  <c r="AE38" i="5"/>
  <c r="AI38" i="5" s="1"/>
  <c r="AF38" i="5"/>
  <c r="AG38" i="5"/>
  <c r="AH38" i="5"/>
  <c r="AJ38" i="5" s="1"/>
  <c r="AK38" i="5"/>
  <c r="AL38" i="5"/>
  <c r="AS38" i="5"/>
  <c r="AT38" i="5"/>
  <c r="AU38" i="5"/>
  <c r="AX38" i="5"/>
  <c r="AY38" i="5"/>
  <c r="BH38" i="5" s="1"/>
  <c r="AZ38" i="5"/>
  <c r="BB38" i="5"/>
  <c r="BC38" i="5" s="1"/>
  <c r="BD38" i="5"/>
  <c r="BG38" i="5"/>
  <c r="AE39" i="5"/>
  <c r="AF39" i="5"/>
  <c r="AI39" i="5" s="1"/>
  <c r="AG39" i="5"/>
  <c r="AJ39" i="5" s="1"/>
  <c r="AH39" i="5"/>
  <c r="AK39" i="5"/>
  <c r="AL39" i="5" s="1"/>
  <c r="AS39" i="5"/>
  <c r="AT39" i="5"/>
  <c r="AU39" i="5" s="1"/>
  <c r="AX39" i="5"/>
  <c r="AY39" i="5"/>
  <c r="BH39" i="5" s="1"/>
  <c r="AZ39" i="5"/>
  <c r="BB39" i="5"/>
  <c r="BC39" i="5" s="1"/>
  <c r="BD39" i="5"/>
  <c r="BG39" i="5"/>
  <c r="AE40" i="5"/>
  <c r="AF40" i="5"/>
  <c r="AI40" i="5" s="1"/>
  <c r="AG40" i="5"/>
  <c r="AH40" i="5"/>
  <c r="AJ40" i="5"/>
  <c r="AK40" i="5"/>
  <c r="AL40" i="5"/>
  <c r="AS40" i="5"/>
  <c r="AT40" i="5"/>
  <c r="AU40" i="5" s="1"/>
  <c r="AX40" i="5"/>
  <c r="AY40" i="5"/>
  <c r="BH40" i="5" s="1"/>
  <c r="AZ40" i="5"/>
  <c r="BB40" i="5"/>
  <c r="BC40" i="5" s="1"/>
  <c r="BD40" i="5"/>
  <c r="BG40" i="5"/>
  <c r="AE41" i="5"/>
  <c r="AF41" i="5"/>
  <c r="AI41" i="5" s="1"/>
  <c r="AG41" i="5"/>
  <c r="AH41" i="5"/>
  <c r="AJ41" i="5"/>
  <c r="AK41" i="5"/>
  <c r="AL41" i="5"/>
  <c r="AS41" i="5"/>
  <c r="AT41" i="5"/>
  <c r="AX41" i="5"/>
  <c r="AY41" i="5"/>
  <c r="BH41" i="5" s="1"/>
  <c r="AZ41" i="5"/>
  <c r="BB41" i="5"/>
  <c r="BC41" i="5" s="1"/>
  <c r="BD41" i="5"/>
  <c r="BG41" i="5"/>
  <c r="AE42" i="5"/>
  <c r="AF42" i="5"/>
  <c r="AI42" i="5" s="1"/>
  <c r="AR42" i="5" s="1"/>
  <c r="AG42" i="5"/>
  <c r="AH42" i="5"/>
  <c r="AJ42" i="5" s="1"/>
  <c r="AK42" i="5"/>
  <c r="AL42" i="5"/>
  <c r="AS42" i="5"/>
  <c r="AT42" i="5"/>
  <c r="AU42" i="5" s="1"/>
  <c r="AX42" i="5"/>
  <c r="BG42" i="5" s="1"/>
  <c r="AY42" i="5"/>
  <c r="AZ42" i="5"/>
  <c r="BB42" i="5"/>
  <c r="BC42" i="5" s="1"/>
  <c r="BD42" i="5"/>
  <c r="BH42" i="5"/>
  <c r="AE43" i="5"/>
  <c r="AF43" i="5"/>
  <c r="AI43" i="5" s="1"/>
  <c r="AG43" i="5"/>
  <c r="AH43" i="5"/>
  <c r="AJ43" i="5"/>
  <c r="AK43" i="5"/>
  <c r="AL43" i="5"/>
  <c r="AS43" i="5"/>
  <c r="AT43" i="5"/>
  <c r="AX43" i="5"/>
  <c r="AY43" i="5"/>
  <c r="BH43" i="5" s="1"/>
  <c r="AZ43" i="5"/>
  <c r="BB43" i="5"/>
  <c r="BC43" i="5" s="1"/>
  <c r="BD43" i="5"/>
  <c r="BG43" i="5"/>
  <c r="AE44" i="5"/>
  <c r="AF44" i="5"/>
  <c r="AI44" i="5" s="1"/>
  <c r="AR44" i="5" s="1"/>
  <c r="AG44" i="5"/>
  <c r="AJ44" i="5" s="1"/>
  <c r="AH44" i="5"/>
  <c r="AK44" i="5"/>
  <c r="AS44" i="5"/>
  <c r="AT44" i="5"/>
  <c r="AX44" i="5"/>
  <c r="BG44" i="5" s="1"/>
  <c r="AY44" i="5"/>
  <c r="BH44" i="5" s="1"/>
  <c r="AZ44" i="5"/>
  <c r="BB44" i="5"/>
  <c r="BC44" i="5" s="1"/>
  <c r="BD44" i="5"/>
  <c r="AE45" i="5"/>
  <c r="AF45" i="5"/>
  <c r="AI45" i="5" s="1"/>
  <c r="AG45" i="5"/>
  <c r="AH45" i="5"/>
  <c r="AJ45" i="5"/>
  <c r="AK45" i="5"/>
  <c r="AL45" i="5" s="1"/>
  <c r="AS45" i="5"/>
  <c r="AT45" i="5"/>
  <c r="AX45" i="5"/>
  <c r="AY45" i="5"/>
  <c r="BH45" i="5" s="1"/>
  <c r="AZ45" i="5"/>
  <c r="BB45" i="5"/>
  <c r="BC45" i="5" s="1"/>
  <c r="BD45" i="5"/>
  <c r="BG45" i="5"/>
  <c r="AE46" i="5"/>
  <c r="AF46" i="5"/>
  <c r="AI46" i="5" s="1"/>
  <c r="AG46" i="5"/>
  <c r="AH46" i="5"/>
  <c r="AJ46" i="5" s="1"/>
  <c r="AK46" i="5"/>
  <c r="AS46" i="5"/>
  <c r="AT46" i="5"/>
  <c r="AX46" i="5"/>
  <c r="BG46" i="5" s="1"/>
  <c r="AY46" i="5"/>
  <c r="AZ46" i="5"/>
  <c r="BB46" i="5"/>
  <c r="BC46" i="5" s="1"/>
  <c r="BD46" i="5"/>
  <c r="BH46" i="5"/>
  <c r="AE47" i="5"/>
  <c r="AF47" i="5"/>
  <c r="AI47" i="5" s="1"/>
  <c r="AR47" i="5" s="1"/>
  <c r="AG47" i="5"/>
  <c r="AH47" i="5"/>
  <c r="AJ47" i="5" s="1"/>
  <c r="AK47" i="5"/>
  <c r="AL47" i="5" s="1"/>
  <c r="AS47" i="5"/>
  <c r="AT47" i="5"/>
  <c r="AU47" i="5" s="1"/>
  <c r="AX47" i="5"/>
  <c r="BG47" i="5" s="1"/>
  <c r="AY47" i="5"/>
  <c r="BH47" i="5" s="1"/>
  <c r="AZ47" i="5"/>
  <c r="BB47" i="5"/>
  <c r="BC47" i="5" s="1"/>
  <c r="BD47" i="5"/>
  <c r="AE48" i="5"/>
  <c r="AF48" i="5"/>
  <c r="AI48" i="5" s="1"/>
  <c r="AG48" i="5"/>
  <c r="AJ48" i="5" s="1"/>
  <c r="AH48" i="5"/>
  <c r="AK48" i="5"/>
  <c r="AL48" i="5" s="1"/>
  <c r="AS48" i="5"/>
  <c r="AT48" i="5"/>
  <c r="AU48" i="5" s="1"/>
  <c r="AX48" i="5"/>
  <c r="AY48" i="5"/>
  <c r="BH48" i="5" s="1"/>
  <c r="AZ48" i="5"/>
  <c r="BB48" i="5"/>
  <c r="BC48" i="5" s="1"/>
  <c r="BD48" i="5"/>
  <c r="BG48" i="5"/>
  <c r="AE49" i="5"/>
  <c r="AF49" i="5"/>
  <c r="AI49" i="5" s="1"/>
  <c r="AR49" i="5" s="1"/>
  <c r="AG49" i="5"/>
  <c r="AJ49" i="5" s="1"/>
  <c r="AH49" i="5"/>
  <c r="AK49" i="5"/>
  <c r="AL49" i="5" s="1"/>
  <c r="AS49" i="5"/>
  <c r="AT49" i="5"/>
  <c r="AX49" i="5"/>
  <c r="AY49" i="5"/>
  <c r="BH49" i="5" s="1"/>
  <c r="AZ49" i="5"/>
  <c r="BB49" i="5"/>
  <c r="BC49" i="5" s="1"/>
  <c r="BD49" i="5"/>
  <c r="BG49" i="5"/>
  <c r="AE50" i="5"/>
  <c r="AF50" i="5"/>
  <c r="AG50" i="5"/>
  <c r="AH50" i="5"/>
  <c r="AJ50" i="5" s="1"/>
  <c r="AK50" i="5"/>
  <c r="AL50" i="5" s="1"/>
  <c r="AS50" i="5"/>
  <c r="AT50" i="5"/>
  <c r="AX50" i="5"/>
  <c r="AY50" i="5"/>
  <c r="BH50" i="5" s="1"/>
  <c r="AZ50" i="5"/>
  <c r="BB50" i="5"/>
  <c r="BC50" i="5" s="1"/>
  <c r="BD50" i="5"/>
  <c r="BG50" i="5"/>
  <c r="AE51" i="5"/>
  <c r="AF51" i="5"/>
  <c r="AI51" i="5" s="1"/>
  <c r="AR51" i="5" s="1"/>
  <c r="AG51" i="5"/>
  <c r="AH51" i="5"/>
  <c r="AJ51" i="5" s="1"/>
  <c r="AK51" i="5"/>
  <c r="AS51" i="5"/>
  <c r="AT51" i="5"/>
  <c r="AU51" i="5" s="1"/>
  <c r="AX51" i="5"/>
  <c r="BG51" i="5" s="1"/>
  <c r="AY51" i="5"/>
  <c r="AZ51" i="5"/>
  <c r="BB51" i="5"/>
  <c r="BC51" i="5" s="1"/>
  <c r="BD51" i="5"/>
  <c r="BH51" i="5"/>
  <c r="AE52" i="5"/>
  <c r="AF52" i="5"/>
  <c r="AI52" i="5" s="1"/>
  <c r="AG52" i="5"/>
  <c r="AH52" i="5"/>
  <c r="AJ52" i="5"/>
  <c r="AK52" i="5"/>
  <c r="AL52" i="5" s="1"/>
  <c r="AS52" i="5"/>
  <c r="AT52" i="5"/>
  <c r="AX52" i="5"/>
  <c r="BG52" i="5" s="1"/>
  <c r="AY52" i="5"/>
  <c r="BH52" i="5" s="1"/>
  <c r="AZ52" i="5"/>
  <c r="BB52" i="5"/>
  <c r="BC52" i="5" s="1"/>
  <c r="BD52" i="5"/>
  <c r="AE53" i="5"/>
  <c r="AF53" i="5"/>
  <c r="AI53" i="5" s="1"/>
  <c r="AR53" i="5" s="1"/>
  <c r="AG53" i="5"/>
  <c r="AH53" i="5"/>
  <c r="AJ53" i="5" s="1"/>
  <c r="AK53" i="5"/>
  <c r="AL53" i="5" s="1"/>
  <c r="AS53" i="5"/>
  <c r="AT53" i="5"/>
  <c r="AX53" i="5"/>
  <c r="BG53" i="5" s="1"/>
  <c r="AY53" i="5"/>
  <c r="AZ53" i="5"/>
  <c r="BB53" i="5"/>
  <c r="BC53" i="5" s="1"/>
  <c r="BD53" i="5"/>
  <c r="BH53" i="5"/>
  <c r="AE54" i="5"/>
  <c r="AF54" i="5"/>
  <c r="AI54" i="5" s="1"/>
  <c r="AR54" i="5" s="1"/>
  <c r="AG54" i="5"/>
  <c r="AJ54" i="5" s="1"/>
  <c r="AH54" i="5"/>
  <c r="AK54" i="5"/>
  <c r="AL54" i="5" s="1"/>
  <c r="AS54" i="5"/>
  <c r="AT54" i="5"/>
  <c r="AU54" i="5" s="1"/>
  <c r="AX54" i="5"/>
  <c r="AY54" i="5"/>
  <c r="BH54" i="5" s="1"/>
  <c r="AZ54" i="5"/>
  <c r="BB54" i="5"/>
  <c r="BC54" i="5" s="1"/>
  <c r="BD54" i="5"/>
  <c r="BG54" i="5"/>
  <c r="AE55" i="5"/>
  <c r="AF55" i="5"/>
  <c r="AI55" i="5" s="1"/>
  <c r="AR55" i="5" s="1"/>
  <c r="AG55" i="5"/>
  <c r="AH55" i="5"/>
  <c r="AJ55" i="5" s="1"/>
  <c r="AK55" i="5"/>
  <c r="AS55" i="5"/>
  <c r="AT55" i="5"/>
  <c r="AX55" i="5"/>
  <c r="BG55" i="5" s="1"/>
  <c r="AY55" i="5"/>
  <c r="AZ55" i="5"/>
  <c r="BB55" i="5"/>
  <c r="BC55" i="5" s="1"/>
  <c r="BD55" i="5"/>
  <c r="BH55" i="5"/>
  <c r="AE56" i="5"/>
  <c r="AF56" i="5"/>
  <c r="AG56" i="5"/>
  <c r="AJ56" i="5" s="1"/>
  <c r="AH56" i="5"/>
  <c r="AI56" i="5"/>
  <c r="AR56" i="5" s="1"/>
  <c r="AK56" i="5"/>
  <c r="AS56" i="5"/>
  <c r="AT56" i="5"/>
  <c r="AX56" i="5"/>
  <c r="BG56" i="5" s="1"/>
  <c r="AY56" i="5"/>
  <c r="BH56" i="5" s="1"/>
  <c r="AZ56" i="5"/>
  <c r="BB56" i="5"/>
  <c r="BC56" i="5" s="1"/>
  <c r="BD56" i="5"/>
  <c r="AE57" i="5"/>
  <c r="AF57" i="5"/>
  <c r="AI57" i="5" s="1"/>
  <c r="AR57" i="5" s="1"/>
  <c r="AG57" i="5"/>
  <c r="AJ57" i="5" s="1"/>
  <c r="AH57" i="5"/>
  <c r="AK57" i="5"/>
  <c r="AL57" i="5" s="1"/>
  <c r="AS57" i="5"/>
  <c r="AT57" i="5"/>
  <c r="AU57" i="5" s="1"/>
  <c r="AX57" i="5"/>
  <c r="AY57" i="5"/>
  <c r="BH57" i="5" s="1"/>
  <c r="AZ57" i="5"/>
  <c r="BB57" i="5"/>
  <c r="BC57" i="5"/>
  <c r="BD57" i="5"/>
  <c r="BG57" i="5"/>
  <c r="AE58" i="5"/>
  <c r="AF58" i="5"/>
  <c r="AI58" i="5" s="1"/>
  <c r="AR58" i="5" s="1"/>
  <c r="AG58" i="5"/>
  <c r="AJ58" i="5" s="1"/>
  <c r="AH58" i="5"/>
  <c r="AK58" i="5"/>
  <c r="AS58" i="5"/>
  <c r="AT58" i="5"/>
  <c r="AX58" i="5"/>
  <c r="AY58" i="5"/>
  <c r="BH58" i="5" s="1"/>
  <c r="AZ58" i="5"/>
  <c r="BB58" i="5"/>
  <c r="BC58" i="5" s="1"/>
  <c r="BD58" i="5"/>
  <c r="BG58" i="5"/>
  <c r="AE59" i="5"/>
  <c r="AF59" i="5"/>
  <c r="AI59" i="5" s="1"/>
  <c r="AR59" i="5" s="1"/>
  <c r="AG59" i="5"/>
  <c r="AH59" i="5"/>
  <c r="AJ59" i="5" s="1"/>
  <c r="AK59" i="5"/>
  <c r="AL59" i="5" s="1"/>
  <c r="AS59" i="5"/>
  <c r="AT59" i="5"/>
  <c r="AU59" i="5" s="1"/>
  <c r="AX59" i="5"/>
  <c r="AY59" i="5"/>
  <c r="BH59" i="5" s="1"/>
  <c r="AZ59" i="5"/>
  <c r="BB59" i="5"/>
  <c r="BC59" i="5" s="1"/>
  <c r="BD59" i="5"/>
  <c r="BG59" i="5"/>
  <c r="AE60" i="5"/>
  <c r="AF60" i="5"/>
  <c r="AI60" i="5" s="1"/>
  <c r="AR60" i="5" s="1"/>
  <c r="AG60" i="5"/>
  <c r="AJ60" i="5" s="1"/>
  <c r="AH60" i="5"/>
  <c r="AK60" i="5"/>
  <c r="AL60" i="5" s="1"/>
  <c r="AS60" i="5"/>
  <c r="AT60" i="5"/>
  <c r="AX60" i="5"/>
  <c r="AY60" i="5"/>
  <c r="BH60" i="5" s="1"/>
  <c r="AZ60" i="5"/>
  <c r="BB60" i="5"/>
  <c r="BC60" i="5" s="1"/>
  <c r="BD60" i="5"/>
  <c r="BG60" i="5"/>
  <c r="AE61" i="5"/>
  <c r="AF61" i="5"/>
  <c r="AG61" i="5"/>
  <c r="AH61" i="5"/>
  <c r="AJ61" i="5" s="1"/>
  <c r="AI61" i="5"/>
  <c r="AR61" i="5" s="1"/>
  <c r="AK61" i="5"/>
  <c r="AL61" i="5" s="1"/>
  <c r="AS61" i="5"/>
  <c r="AT61" i="5"/>
  <c r="AU61" i="5" s="1"/>
  <c r="AX61" i="5"/>
  <c r="AY61" i="5"/>
  <c r="BH61" i="5" s="1"/>
  <c r="AZ61" i="5"/>
  <c r="BB61" i="5"/>
  <c r="BC61" i="5" s="1"/>
  <c r="BD61" i="5"/>
  <c r="BG61" i="5"/>
  <c r="AE62" i="5"/>
  <c r="AF62" i="5"/>
  <c r="AG62" i="5"/>
  <c r="AJ62" i="5" s="1"/>
  <c r="AH62" i="5"/>
  <c r="AI62" i="5"/>
  <c r="AR62" i="5" s="1"/>
  <c r="AK62" i="5"/>
  <c r="AS62" i="5"/>
  <c r="AT62" i="5"/>
  <c r="AX62" i="5"/>
  <c r="BG62" i="5" s="1"/>
  <c r="AY62" i="5"/>
  <c r="BH62" i="5" s="1"/>
  <c r="AZ62" i="5"/>
  <c r="BB62" i="5"/>
  <c r="BC62" i="5" s="1"/>
  <c r="BD62" i="5"/>
  <c r="B63" i="5"/>
  <c r="C63" i="5"/>
  <c r="AC64" i="5"/>
  <c r="B65" i="5"/>
  <c r="B66" i="5" s="1"/>
  <c r="B67" i="5" s="1"/>
  <c r="AC65" i="5"/>
  <c r="AC66" i="5"/>
  <c r="AC67" i="5"/>
  <c r="B69" i="5"/>
  <c r="AE69" i="5"/>
  <c r="AF69" i="5"/>
  <c r="B70" i="5"/>
  <c r="AB70" i="5"/>
  <c r="AE70" i="5"/>
  <c r="B71" i="5"/>
  <c r="AB71" i="5"/>
  <c r="B72" i="5"/>
  <c r="AB72" i="5"/>
  <c r="B73" i="5"/>
  <c r="AB73" i="5"/>
  <c r="B74" i="5"/>
  <c r="AC74" i="5"/>
  <c r="B75" i="5"/>
  <c r="D75" i="5"/>
  <c r="AA76" i="5"/>
  <c r="B59" i="6"/>
  <c r="B55" i="6"/>
  <c r="B53" i="6"/>
  <c r="B49" i="6"/>
  <c r="B47" i="6"/>
  <c r="B43" i="6"/>
  <c r="B41" i="6"/>
  <c r="R59" i="6"/>
  <c r="J59" i="6"/>
  <c r="C59" i="6"/>
  <c r="R58" i="6"/>
  <c r="J58" i="6"/>
  <c r="G58" i="6"/>
  <c r="C58" i="6"/>
  <c r="R57" i="6"/>
  <c r="J57" i="6"/>
  <c r="C57" i="6"/>
  <c r="Q57" i="6" s="1"/>
  <c r="R56" i="6"/>
  <c r="J56" i="6"/>
  <c r="C56" i="6"/>
  <c r="R55" i="6"/>
  <c r="J55" i="6"/>
  <c r="C55" i="6"/>
  <c r="S55" i="6" s="1"/>
  <c r="R54" i="6"/>
  <c r="J54" i="6"/>
  <c r="C54" i="6"/>
  <c r="P54" i="6" s="1"/>
  <c r="R53" i="6"/>
  <c r="J53" i="6"/>
  <c r="C53" i="6"/>
  <c r="R52" i="6"/>
  <c r="J52" i="6"/>
  <c r="C52" i="6"/>
  <c r="Q52" i="6" s="1"/>
  <c r="R51" i="6"/>
  <c r="J51" i="6"/>
  <c r="C51" i="6"/>
  <c r="R50" i="6"/>
  <c r="J50" i="6"/>
  <c r="C50" i="6"/>
  <c r="R49" i="6"/>
  <c r="J49" i="6"/>
  <c r="C49" i="6"/>
  <c r="Q49" i="6" s="1"/>
  <c r="R48" i="6"/>
  <c r="J48" i="6"/>
  <c r="E48" i="6"/>
  <c r="M48" i="6" s="1"/>
  <c r="C48" i="6"/>
  <c r="R47" i="6"/>
  <c r="J47" i="6"/>
  <c r="C47" i="6"/>
  <c r="S47" i="6" s="1"/>
  <c r="R46" i="6"/>
  <c r="J46" i="6"/>
  <c r="C46" i="6"/>
  <c r="P46" i="6" s="1"/>
  <c r="R45" i="6"/>
  <c r="J45" i="6"/>
  <c r="C45" i="6"/>
  <c r="Q45" i="6" s="1"/>
  <c r="R44" i="6"/>
  <c r="J44" i="6"/>
  <c r="C44" i="6"/>
  <c r="Q44" i="6" s="1"/>
  <c r="R43" i="6"/>
  <c r="C43" i="6"/>
  <c r="AA43" i="6" s="1"/>
  <c r="R42" i="6"/>
  <c r="J42" i="6"/>
  <c r="E42" i="6"/>
  <c r="M42" i="6" s="1"/>
  <c r="C42" i="6"/>
  <c r="N42" i="6" s="1"/>
  <c r="R41" i="6"/>
  <c r="C41" i="6"/>
  <c r="Q41" i="6" s="1"/>
  <c r="R40" i="6"/>
  <c r="C40" i="6"/>
  <c r="Q40" i="6" s="1"/>
  <c r="R39" i="6"/>
  <c r="J39" i="6"/>
  <c r="E39" i="6"/>
  <c r="M39" i="6" s="1"/>
  <c r="C39" i="6"/>
  <c r="S39" i="6" s="1"/>
  <c r="R38" i="6"/>
  <c r="J38" i="6"/>
  <c r="C38" i="6"/>
  <c r="P38" i="6" s="1"/>
  <c r="R37" i="6"/>
  <c r="C37" i="6"/>
  <c r="Q37" i="6" s="1"/>
  <c r="R36" i="6"/>
  <c r="J36" i="6"/>
  <c r="C36" i="6"/>
  <c r="Q36" i="6" s="1"/>
  <c r="R35" i="6"/>
  <c r="J35" i="6"/>
  <c r="C35" i="6"/>
  <c r="R34" i="6"/>
  <c r="J34" i="6"/>
  <c r="C34" i="6"/>
  <c r="N34" i="6" s="1"/>
  <c r="R33" i="6"/>
  <c r="J33" i="6"/>
  <c r="C33" i="6"/>
  <c r="Q33" i="6" s="1"/>
  <c r="R32" i="6"/>
  <c r="C32" i="6"/>
  <c r="G32" i="6" s="1"/>
  <c r="R31" i="6"/>
  <c r="C31" i="6"/>
  <c r="S31" i="6" s="1"/>
  <c r="R30" i="6"/>
  <c r="J30" i="6"/>
  <c r="C30" i="6"/>
  <c r="P30" i="6" s="1"/>
  <c r="AU62" i="5" l="1"/>
  <c r="AL62" i="5"/>
  <c r="AL58" i="5"/>
  <c r="AL56" i="5"/>
  <c r="AI50" i="5"/>
  <c r="AL44" i="5"/>
  <c r="AL46" i="5"/>
  <c r="AU46" i="5"/>
  <c r="AV62" i="5"/>
  <c r="AW62" i="5" s="1"/>
  <c r="AU60" i="5"/>
  <c r="AV59" i="5"/>
  <c r="AW59" i="5" s="1"/>
  <c r="AU58" i="5"/>
  <c r="AV57" i="5"/>
  <c r="AW57" i="5" s="1"/>
  <c r="AU56" i="5"/>
  <c r="AU55" i="5"/>
  <c r="AV55" i="5" s="1"/>
  <c r="AW55" i="5" s="1"/>
  <c r="AU53" i="5"/>
  <c r="AU52" i="5"/>
  <c r="AU50" i="5"/>
  <c r="AU49" i="5"/>
  <c r="AV49" i="5" s="1"/>
  <c r="AW49" i="5" s="1"/>
  <c r="AU45" i="5"/>
  <c r="AU44" i="5"/>
  <c r="AU43" i="5"/>
  <c r="AU41" i="5"/>
  <c r="BI62" i="5"/>
  <c r="W62" i="5" s="1"/>
  <c r="U59" i="6" s="1"/>
  <c r="BI61" i="5"/>
  <c r="W61" i="5" s="1"/>
  <c r="U58" i="6" s="1"/>
  <c r="BI60" i="5"/>
  <c r="W60" i="5" s="1"/>
  <c r="U57" i="6" s="1"/>
  <c r="BI58" i="5"/>
  <c r="W58" i="5" s="1"/>
  <c r="U55" i="6" s="1"/>
  <c r="BI56" i="5"/>
  <c r="W56" i="5" s="1"/>
  <c r="U53" i="6" s="1"/>
  <c r="BI55" i="5"/>
  <c r="W55" i="5" s="1"/>
  <c r="BI53" i="5"/>
  <c r="W53" i="5" s="1"/>
  <c r="BI52" i="5"/>
  <c r="W52" i="5" s="1"/>
  <c r="U49" i="6" s="1"/>
  <c r="BI51" i="5"/>
  <c r="W51" i="5" s="1"/>
  <c r="BI49" i="5"/>
  <c r="W49" i="5" s="1"/>
  <c r="BI48" i="5"/>
  <c r="W48" i="5" s="1"/>
  <c r="BI47" i="5"/>
  <c r="W47" i="5" s="1"/>
  <c r="BI46" i="5"/>
  <c r="W46" i="5" s="1"/>
  <c r="BI45" i="5"/>
  <c r="W45" i="5" s="1"/>
  <c r="BI44" i="5"/>
  <c r="W44" i="5" s="1"/>
  <c r="BI43" i="5"/>
  <c r="W43" i="5" s="1"/>
  <c r="BI42" i="5"/>
  <c r="W42" i="5" s="1"/>
  <c r="BI41" i="5"/>
  <c r="W41" i="5" s="1"/>
  <c r="BI40" i="5"/>
  <c r="W40" i="5" s="1"/>
  <c r="BI39" i="5"/>
  <c r="W39" i="5" s="1"/>
  <c r="BI54" i="5"/>
  <c r="W54" i="5" s="1"/>
  <c r="AV61" i="5"/>
  <c r="AW61" i="5" s="1"/>
  <c r="AV60" i="5"/>
  <c r="AW60" i="5" s="1"/>
  <c r="AV58" i="5"/>
  <c r="AW58" i="5" s="1"/>
  <c r="AV56" i="5"/>
  <c r="AW56" i="5" s="1"/>
  <c r="AM55" i="5"/>
  <c r="AV54" i="5"/>
  <c r="AW54" i="5" s="1"/>
  <c r="AV53" i="5"/>
  <c r="AW53" i="5" s="1"/>
  <c r="AM53" i="5"/>
  <c r="AN53" i="5" s="1"/>
  <c r="AP53" i="5" s="1"/>
  <c r="AM51" i="5"/>
  <c r="AN51" i="5" s="1"/>
  <c r="AP51" i="5" s="1"/>
  <c r="AV51" i="5"/>
  <c r="AW51" i="5" s="1"/>
  <c r="AV47" i="5"/>
  <c r="AW47" i="5" s="1"/>
  <c r="AM47" i="5"/>
  <c r="AN47" i="5" s="1"/>
  <c r="AP47" i="5" s="1"/>
  <c r="AV44" i="5"/>
  <c r="AW44" i="5" s="1"/>
  <c r="AM44" i="5"/>
  <c r="AN44" i="5" s="1"/>
  <c r="AO44" i="5" s="1"/>
  <c r="BE44" i="5" s="1"/>
  <c r="AV42" i="5"/>
  <c r="AW42" i="5" s="1"/>
  <c r="AM42" i="5"/>
  <c r="AN42" i="5" s="1"/>
  <c r="AL55" i="5"/>
  <c r="AL51" i="5"/>
  <c r="AM62" i="5"/>
  <c r="AM61" i="5"/>
  <c r="AN61" i="5" s="1"/>
  <c r="AM60" i="5"/>
  <c r="AN60" i="5" s="1"/>
  <c r="BI59" i="5"/>
  <c r="W59" i="5" s="1"/>
  <c r="U56" i="6" s="1"/>
  <c r="AN59" i="5"/>
  <c r="AP59" i="5" s="1"/>
  <c r="H56" i="6"/>
  <c r="AM59" i="5"/>
  <c r="AM58" i="5"/>
  <c r="AN58" i="5" s="1"/>
  <c r="D55" i="6"/>
  <c r="BI57" i="5"/>
  <c r="W57" i="5" s="1"/>
  <c r="U54" i="6" s="1"/>
  <c r="AA54" i="6"/>
  <c r="AM57" i="5"/>
  <c r="AN57" i="5" s="1"/>
  <c r="AM56" i="5"/>
  <c r="AN56" i="5" s="1"/>
  <c r="AP56" i="5" s="1"/>
  <c r="H52" i="6"/>
  <c r="I51" i="6"/>
  <c r="AM54" i="5"/>
  <c r="AN54" i="5" s="1"/>
  <c r="AO54" i="5" s="1"/>
  <c r="BE54" i="5" s="1"/>
  <c r="Q51" i="6"/>
  <c r="AR52" i="5"/>
  <c r="AV52" i="5" s="1"/>
  <c r="AW52" i="5" s="1"/>
  <c r="AM52" i="5"/>
  <c r="AN52" i="5" s="1"/>
  <c r="AP52" i="5" s="1"/>
  <c r="AR50" i="5"/>
  <c r="AM50" i="5"/>
  <c r="AN50" i="5" s="1"/>
  <c r="AP50" i="5" s="1"/>
  <c r="BI50" i="5"/>
  <c r="W50" i="5" s="1"/>
  <c r="AM49" i="5"/>
  <c r="AN49" i="5" s="1"/>
  <c r="AM48" i="5"/>
  <c r="AN48" i="5" s="1"/>
  <c r="AR48" i="5"/>
  <c r="AV48" i="5" s="1"/>
  <c r="AW48" i="5" s="1"/>
  <c r="BI35" i="5"/>
  <c r="W35" i="5" s="1"/>
  <c r="BI34" i="5"/>
  <c r="W34" i="5" s="1"/>
  <c r="BI37" i="5"/>
  <c r="W37" i="5" s="1"/>
  <c r="AU37" i="5"/>
  <c r="AL36" i="5"/>
  <c r="AU36" i="5"/>
  <c r="AV36" i="5" s="1"/>
  <c r="AW36" i="5" s="1"/>
  <c r="AU34" i="5"/>
  <c r="AV34" i="5" s="1"/>
  <c r="AW34" i="5" s="1"/>
  <c r="BI33" i="5"/>
  <c r="W33" i="5" s="1"/>
  <c r="BI32" i="5"/>
  <c r="W32" i="5" s="1"/>
  <c r="AL32" i="5"/>
  <c r="AU32" i="5"/>
  <c r="AL26" i="5"/>
  <c r="AI23" i="5"/>
  <c r="AM23" i="5" s="1"/>
  <c r="BI19" i="5"/>
  <c r="W19" i="5" s="1"/>
  <c r="AV37" i="5"/>
  <c r="AW37" i="5" s="1"/>
  <c r="AM35" i="5"/>
  <c r="AN35" i="5" s="1"/>
  <c r="AM34" i="5"/>
  <c r="AN34" i="5" s="1"/>
  <c r="AM46" i="5"/>
  <c r="AR46" i="5"/>
  <c r="AR45" i="5"/>
  <c r="AV45" i="5" s="1"/>
  <c r="AW45" i="5" s="1"/>
  <c r="AM45" i="5"/>
  <c r="AN45" i="5" s="1"/>
  <c r="AP45" i="5" s="1"/>
  <c r="AR43" i="5"/>
  <c r="AV43" i="5" s="1"/>
  <c r="AW43" i="5" s="1"/>
  <c r="AM43" i="5"/>
  <c r="AN43" i="5" s="1"/>
  <c r="AP43" i="5" s="1"/>
  <c r="E40" i="6"/>
  <c r="M40" i="6" s="1"/>
  <c r="L40" i="6"/>
  <c r="F39" i="6"/>
  <c r="D39" i="6"/>
  <c r="AR41" i="5"/>
  <c r="AV41" i="5" s="1"/>
  <c r="AW41" i="5" s="1"/>
  <c r="AM41" i="5"/>
  <c r="AN41" i="5" s="1"/>
  <c r="AP41" i="5" s="1"/>
  <c r="AM40" i="5"/>
  <c r="AN40" i="5" s="1"/>
  <c r="AO40" i="5" s="1"/>
  <c r="BE40" i="5" s="1"/>
  <c r="AR40" i="5"/>
  <c r="AV40" i="5" s="1"/>
  <c r="AW40" i="5" s="1"/>
  <c r="AM39" i="5"/>
  <c r="AN39" i="5" s="1"/>
  <c r="AR39" i="5"/>
  <c r="AV39" i="5" s="1"/>
  <c r="AW39" i="5" s="1"/>
  <c r="AR38" i="5"/>
  <c r="AV38" i="5" s="1"/>
  <c r="AW38" i="5" s="1"/>
  <c r="AM38" i="5"/>
  <c r="AN38" i="5"/>
  <c r="AP38" i="5" s="1"/>
  <c r="BI38" i="5"/>
  <c r="W38" i="5" s="1"/>
  <c r="O34" i="6"/>
  <c r="AM37" i="5"/>
  <c r="AN37" i="5" s="1"/>
  <c r="E34" i="6"/>
  <c r="M34" i="6" s="1"/>
  <c r="AA34" i="6"/>
  <c r="BI36" i="5"/>
  <c r="W36" i="5" s="1"/>
  <c r="AM36" i="5"/>
  <c r="AN36" i="5" s="1"/>
  <c r="AV35" i="5"/>
  <c r="AW35" i="5" s="1"/>
  <c r="D32" i="6"/>
  <c r="P32" i="6"/>
  <c r="AR33" i="5"/>
  <c r="AV33" i="5" s="1"/>
  <c r="AW33" i="5" s="1"/>
  <c r="AM33" i="5"/>
  <c r="AN33" i="5" s="1"/>
  <c r="AP33" i="5" s="1"/>
  <c r="AM32" i="5"/>
  <c r="AN32" i="5" s="1"/>
  <c r="AR32" i="5"/>
  <c r="AV32" i="5" s="1"/>
  <c r="AW32" i="5" s="1"/>
  <c r="AJ31" i="5"/>
  <c r="AU30" i="5"/>
  <c r="AU29" i="5"/>
  <c r="BI28" i="5"/>
  <c r="W28" i="5" s="1"/>
  <c r="AJ27" i="5"/>
  <c r="AI26" i="5"/>
  <c r="AR26" i="5" s="1"/>
  <c r="AJ25" i="5"/>
  <c r="AU25" i="5"/>
  <c r="AU24" i="5"/>
  <c r="AJ20" i="5"/>
  <c r="AL20" i="5" s="1"/>
  <c r="BC25" i="5"/>
  <c r="AL22" i="5"/>
  <c r="AU16" i="5"/>
  <c r="BI31" i="5"/>
  <c r="W31" i="5" s="1"/>
  <c r="BI30" i="5"/>
  <c r="W30" i="5" s="1"/>
  <c r="BI25" i="5"/>
  <c r="W25" i="5" s="1"/>
  <c r="AM31" i="5"/>
  <c r="AV31" i="5"/>
  <c r="AW31" i="5" s="1"/>
  <c r="AV29" i="5"/>
  <c r="AW29" i="5" s="1"/>
  <c r="AL31" i="5"/>
  <c r="AM29" i="5"/>
  <c r="AN29" i="5" s="1"/>
  <c r="AV30" i="5"/>
  <c r="AW30" i="5" s="1"/>
  <c r="AM30" i="5"/>
  <c r="AN30" i="5" s="1"/>
  <c r="BI29" i="5"/>
  <c r="W29" i="5" s="1"/>
  <c r="AU28" i="5"/>
  <c r="AV28" i="5" s="1"/>
  <c r="AW28" i="5" s="1"/>
  <c r="BI27" i="5"/>
  <c r="W27" i="5" s="1"/>
  <c r="BI26" i="5"/>
  <c r="W26" i="5" s="1"/>
  <c r="AU27" i="5"/>
  <c r="AU26" i="5"/>
  <c r="AM27" i="5"/>
  <c r="AN27" i="5" s="1"/>
  <c r="AO27" i="5" s="1"/>
  <c r="BE27" i="5" s="1"/>
  <c r="AM28" i="5"/>
  <c r="AN28" i="5" s="1"/>
  <c r="AR27" i="5"/>
  <c r="AR25" i="5"/>
  <c r="AM25" i="5"/>
  <c r="AN25" i="5" s="1"/>
  <c r="AO25" i="5" s="1"/>
  <c r="BE25" i="5" s="1"/>
  <c r="AJ24" i="5"/>
  <c r="AL24" i="5" s="1"/>
  <c r="AV24" i="5"/>
  <c r="AW24" i="5" s="1"/>
  <c r="AM24" i="5"/>
  <c r="AU20" i="5"/>
  <c r="AU19" i="5"/>
  <c r="AU18" i="5"/>
  <c r="AM21" i="5"/>
  <c r="AN21" i="5" s="1"/>
  <c r="AP21" i="5" s="1"/>
  <c r="AM22" i="5"/>
  <c r="AU22" i="5"/>
  <c r="AJ19" i="5"/>
  <c r="AL19" i="5" s="1"/>
  <c r="AJ18" i="5"/>
  <c r="AL18" i="5" s="1"/>
  <c r="AJ17" i="5"/>
  <c r="AL17" i="5" s="1"/>
  <c r="AM17" i="5"/>
  <c r="AI16" i="5"/>
  <c r="AM16" i="5" s="1"/>
  <c r="AU15" i="5"/>
  <c r="AL15" i="5"/>
  <c r="BL15" i="5"/>
  <c r="AM19" i="5"/>
  <c r="AN19" i="5" s="1"/>
  <c r="AU17" i="5"/>
  <c r="AL16" i="5"/>
  <c r="BI15" i="5"/>
  <c r="W15" i="5" s="1"/>
  <c r="BI24" i="5"/>
  <c r="W24" i="5" s="1"/>
  <c r="BI23" i="5"/>
  <c r="W23" i="5" s="1"/>
  <c r="AL23" i="5"/>
  <c r="AR23" i="5"/>
  <c r="AV23" i="5" s="1"/>
  <c r="AW23" i="5" s="1"/>
  <c r="AM20" i="5"/>
  <c r="AM18" i="5"/>
  <c r="AC72" i="5"/>
  <c r="BI21" i="5"/>
  <c r="W21" i="5" s="1"/>
  <c r="X12" i="5"/>
  <c r="Y12" i="5"/>
  <c r="BI16" i="5"/>
  <c r="W16" i="5" s="1"/>
  <c r="U12" i="5"/>
  <c r="V12" i="5"/>
  <c r="AI15" i="5"/>
  <c r="BI18" i="5"/>
  <c r="W18" i="5" s="1"/>
  <c r="BI22" i="5"/>
  <c r="W22" i="5" s="1"/>
  <c r="BI17" i="5"/>
  <c r="W17" i="5" s="1"/>
  <c r="Q56" i="6"/>
  <c r="P48" i="6"/>
  <c r="E32" i="6"/>
  <c r="M32" i="6" s="1"/>
  <c r="G40" i="6"/>
  <c r="F42" i="6"/>
  <c r="Q48" i="6"/>
  <c r="F52" i="6"/>
  <c r="O55" i="6"/>
  <c r="G56" i="6"/>
  <c r="Q55" i="6"/>
  <c r="AR22" i="5"/>
  <c r="AR21" i="5"/>
  <c r="AV21" i="5" s="1"/>
  <c r="AW21" i="5" s="1"/>
  <c r="AR20" i="5"/>
  <c r="AR19" i="5"/>
  <c r="AR18" i="5"/>
  <c r="AR17" i="5"/>
  <c r="H37" i="6"/>
  <c r="H45" i="6"/>
  <c r="L52" i="6"/>
  <c r="E55" i="6"/>
  <c r="M55" i="6" s="1"/>
  <c r="L56" i="6"/>
  <c r="O31" i="6"/>
  <c r="D48" i="6"/>
  <c r="N52" i="6"/>
  <c r="F55" i="6"/>
  <c r="P56" i="6"/>
  <c r="F58" i="6"/>
  <c r="G31" i="6"/>
  <c r="G53" i="6"/>
  <c r="D52" i="6"/>
  <c r="D56" i="6"/>
  <c r="AA42" i="6"/>
  <c r="G55" i="6"/>
  <c r="E52" i="6"/>
  <c r="M52" i="6" s="1"/>
  <c r="U52" i="6"/>
  <c r="L55" i="6"/>
  <c r="E56" i="6"/>
  <c r="M56" i="6" s="1"/>
  <c r="L48" i="6"/>
  <c r="P53" i="6"/>
  <c r="P58" i="6"/>
  <c r="AA51" i="6"/>
  <c r="AA59" i="6"/>
  <c r="O48" i="6"/>
  <c r="N50" i="6"/>
  <c r="Q53" i="6"/>
  <c r="AA52" i="6"/>
  <c r="O50" i="6"/>
  <c r="AA53" i="6"/>
  <c r="I39" i="6"/>
  <c r="P40" i="6"/>
  <c r="G42" i="6"/>
  <c r="E44" i="6"/>
  <c r="M44" i="6" s="1"/>
  <c r="G48" i="6"/>
  <c r="E50" i="6"/>
  <c r="M50" i="6" s="1"/>
  <c r="H53" i="6"/>
  <c r="I55" i="6"/>
  <c r="I56" i="6"/>
  <c r="H58" i="6"/>
  <c r="I59" i="6"/>
  <c r="AA45" i="6"/>
  <c r="AA55" i="6"/>
  <c r="H48" i="6"/>
  <c r="F50" i="6"/>
  <c r="U50" i="6"/>
  <c r="P52" i="6"/>
  <c r="I53" i="6"/>
  <c r="AA48" i="6"/>
  <c r="AA56" i="6"/>
  <c r="Q39" i="6"/>
  <c r="O42" i="6"/>
  <c r="I48" i="6"/>
  <c r="U48" i="6"/>
  <c r="G50" i="6"/>
  <c r="N58" i="6"/>
  <c r="Q59" i="6"/>
  <c r="AA49" i="6"/>
  <c r="AA57" i="6"/>
  <c r="P50" i="6"/>
  <c r="F31" i="6"/>
  <c r="L32" i="6"/>
  <c r="F34" i="6"/>
  <c r="H50" i="6"/>
  <c r="O53" i="6"/>
  <c r="N55" i="6"/>
  <c r="O56" i="6"/>
  <c r="O58" i="6"/>
  <c r="AA50" i="6"/>
  <c r="AA58" i="6"/>
  <c r="L31" i="6"/>
  <c r="H32" i="6"/>
  <c r="G39" i="6"/>
  <c r="D40" i="6"/>
  <c r="H42" i="6"/>
  <c r="D44" i="6"/>
  <c r="O45" i="6"/>
  <c r="AA44" i="6"/>
  <c r="Q31" i="6"/>
  <c r="AA38" i="6"/>
  <c r="AA46" i="6"/>
  <c r="D31" i="6"/>
  <c r="Q32" i="6"/>
  <c r="N36" i="6"/>
  <c r="L39" i="6"/>
  <c r="H40" i="6"/>
  <c r="N44" i="6"/>
  <c r="AA39" i="6"/>
  <c r="AA47" i="6"/>
  <c r="E31" i="6"/>
  <c r="M31" i="6" s="1"/>
  <c r="O39" i="6"/>
  <c r="I40" i="6"/>
  <c r="AA40" i="6"/>
  <c r="AA41" i="6"/>
  <c r="L47" i="6"/>
  <c r="P36" i="6"/>
  <c r="I37" i="6"/>
  <c r="N47" i="6"/>
  <c r="I31" i="6"/>
  <c r="I32" i="6"/>
  <c r="G34" i="6"/>
  <c r="D36" i="6"/>
  <c r="F44" i="6"/>
  <c r="P45" i="6"/>
  <c r="D47" i="6"/>
  <c r="O47" i="6"/>
  <c r="H34" i="6"/>
  <c r="E36" i="6"/>
  <c r="M36" i="6" s="1"/>
  <c r="O37" i="6"/>
  <c r="N39" i="6"/>
  <c r="O40" i="6"/>
  <c r="I43" i="6"/>
  <c r="H44" i="6"/>
  <c r="E47" i="6"/>
  <c r="M47" i="6" s="1"/>
  <c r="Q47" i="6"/>
  <c r="F36" i="6"/>
  <c r="P37" i="6"/>
  <c r="F47" i="6"/>
  <c r="N31" i="6"/>
  <c r="O32" i="6"/>
  <c r="I35" i="6"/>
  <c r="H36" i="6"/>
  <c r="P42" i="6"/>
  <c r="Q43" i="6"/>
  <c r="L44" i="6"/>
  <c r="G45" i="6"/>
  <c r="G47" i="6"/>
  <c r="I47" i="6"/>
  <c r="P34" i="6"/>
  <c r="Q35" i="6"/>
  <c r="L36" i="6"/>
  <c r="G37" i="6"/>
  <c r="P44" i="6"/>
  <c r="I45" i="6"/>
  <c r="K49" i="6"/>
  <c r="S35" i="6"/>
  <c r="I30" i="6"/>
  <c r="Q30" i="6"/>
  <c r="H35" i="6"/>
  <c r="P35" i="6"/>
  <c r="K36" i="6"/>
  <c r="S36" i="6"/>
  <c r="F37" i="6"/>
  <c r="N37" i="6"/>
  <c r="I38" i="6"/>
  <c r="Q38" i="6"/>
  <c r="H43" i="6"/>
  <c r="P43" i="6"/>
  <c r="K44" i="6"/>
  <c r="S44" i="6"/>
  <c r="F45" i="6"/>
  <c r="N45" i="6"/>
  <c r="I46" i="6"/>
  <c r="Q46" i="6"/>
  <c r="H51" i="6"/>
  <c r="P51" i="6"/>
  <c r="K52" i="6"/>
  <c r="S52" i="6"/>
  <c r="F53" i="6"/>
  <c r="N53" i="6"/>
  <c r="I54" i="6"/>
  <c r="Q54" i="6"/>
  <c r="E58" i="6"/>
  <c r="M58" i="6" s="1"/>
  <c r="H59" i="6"/>
  <c r="P59" i="6"/>
  <c r="S33" i="6"/>
  <c r="S49" i="6"/>
  <c r="D33" i="6"/>
  <c r="K38" i="6"/>
  <c r="S38" i="6"/>
  <c r="D41" i="6"/>
  <c r="L41" i="6"/>
  <c r="K46" i="6"/>
  <c r="S46" i="6"/>
  <c r="D49" i="6"/>
  <c r="L49" i="6"/>
  <c r="K54" i="6"/>
  <c r="S54" i="6"/>
  <c r="D57" i="6"/>
  <c r="L57" i="6"/>
  <c r="K33" i="6"/>
  <c r="K30" i="6"/>
  <c r="E41" i="6"/>
  <c r="M41" i="6" s="1"/>
  <c r="K43" i="6"/>
  <c r="S43" i="6"/>
  <c r="D46" i="6"/>
  <c r="L46" i="6"/>
  <c r="E49" i="6"/>
  <c r="M49" i="6" s="1"/>
  <c r="K51" i="6"/>
  <c r="S51" i="6"/>
  <c r="D54" i="6"/>
  <c r="L54" i="6"/>
  <c r="E57" i="6"/>
  <c r="M57" i="6" s="1"/>
  <c r="K59" i="6"/>
  <c r="S59" i="6"/>
  <c r="K57" i="6"/>
  <c r="D38" i="6"/>
  <c r="L38" i="6"/>
  <c r="E30" i="6"/>
  <c r="M30" i="6" s="1"/>
  <c r="H31" i="6"/>
  <c r="P31" i="6"/>
  <c r="K32" i="6"/>
  <c r="S32" i="6"/>
  <c r="F33" i="6"/>
  <c r="N33" i="6"/>
  <c r="I34" i="6"/>
  <c r="Q34" i="6"/>
  <c r="D35" i="6"/>
  <c r="L35" i="6"/>
  <c r="G36" i="6"/>
  <c r="O36" i="6"/>
  <c r="E38" i="6"/>
  <c r="M38" i="6" s="1"/>
  <c r="H39" i="6"/>
  <c r="P39" i="6"/>
  <c r="K40" i="6"/>
  <c r="S40" i="6"/>
  <c r="F41" i="6"/>
  <c r="N41" i="6"/>
  <c r="I42" i="6"/>
  <c r="Q42" i="6"/>
  <c r="D43" i="6"/>
  <c r="L43" i="6"/>
  <c r="G44" i="6"/>
  <c r="O44" i="6"/>
  <c r="E46" i="6"/>
  <c r="M46" i="6" s="1"/>
  <c r="H47" i="6"/>
  <c r="P47" i="6"/>
  <c r="K48" i="6"/>
  <c r="S48" i="6"/>
  <c r="F49" i="6"/>
  <c r="N49" i="6"/>
  <c r="I50" i="6"/>
  <c r="Q50" i="6"/>
  <c r="D51" i="6"/>
  <c r="L51" i="6"/>
  <c r="G52" i="6"/>
  <c r="O52" i="6"/>
  <c r="E54" i="6"/>
  <c r="M54" i="6" s="1"/>
  <c r="H55" i="6"/>
  <c r="P55" i="6"/>
  <c r="K56" i="6"/>
  <c r="S56" i="6"/>
  <c r="F57" i="6"/>
  <c r="N57" i="6"/>
  <c r="I58" i="6"/>
  <c r="Q58" i="6"/>
  <c r="D59" i="6"/>
  <c r="L59" i="6"/>
  <c r="S57" i="6"/>
  <c r="D30" i="6"/>
  <c r="F30" i="6"/>
  <c r="N30" i="6"/>
  <c r="G33" i="6"/>
  <c r="S37" i="6"/>
  <c r="F38" i="6"/>
  <c r="N38" i="6"/>
  <c r="G41" i="6"/>
  <c r="O41" i="6"/>
  <c r="E43" i="6"/>
  <c r="M43" i="6" s="1"/>
  <c r="K45" i="6"/>
  <c r="S45" i="6"/>
  <c r="F46" i="6"/>
  <c r="N46" i="6"/>
  <c r="G49" i="6"/>
  <c r="O49" i="6"/>
  <c r="E51" i="6"/>
  <c r="M51" i="6" s="1"/>
  <c r="U51" i="6"/>
  <c r="K53" i="6"/>
  <c r="S53" i="6"/>
  <c r="F54" i="6"/>
  <c r="N54" i="6"/>
  <c r="G57" i="6"/>
  <c r="O57" i="6"/>
  <c r="E59" i="6"/>
  <c r="M59" i="6" s="1"/>
  <c r="S41" i="6"/>
  <c r="L33" i="6"/>
  <c r="E33" i="6"/>
  <c r="M33" i="6" s="1"/>
  <c r="K35" i="6"/>
  <c r="O33" i="6"/>
  <c r="E35" i="6"/>
  <c r="M35" i="6" s="1"/>
  <c r="K37" i="6"/>
  <c r="G30" i="6"/>
  <c r="O30" i="6"/>
  <c r="H33" i="6"/>
  <c r="P33" i="6"/>
  <c r="K34" i="6"/>
  <c r="S34" i="6"/>
  <c r="F35" i="6"/>
  <c r="N35" i="6"/>
  <c r="I36" i="6"/>
  <c r="D37" i="6"/>
  <c r="L37" i="6"/>
  <c r="G38" i="6"/>
  <c r="O38" i="6"/>
  <c r="H41" i="6"/>
  <c r="P41" i="6"/>
  <c r="K42" i="6"/>
  <c r="S42" i="6"/>
  <c r="F43" i="6"/>
  <c r="N43" i="6"/>
  <c r="I44" i="6"/>
  <c r="D45" i="6"/>
  <c r="L45" i="6"/>
  <c r="G46" i="6"/>
  <c r="O46" i="6"/>
  <c r="H49" i="6"/>
  <c r="P49" i="6"/>
  <c r="K50" i="6"/>
  <c r="S50" i="6"/>
  <c r="F51" i="6"/>
  <c r="N51" i="6"/>
  <c r="I52" i="6"/>
  <c r="D53" i="6"/>
  <c r="L53" i="6"/>
  <c r="G54" i="6"/>
  <c r="O54" i="6"/>
  <c r="H57" i="6"/>
  <c r="P57" i="6"/>
  <c r="K58" i="6"/>
  <c r="S58" i="6"/>
  <c r="F59" i="6"/>
  <c r="N59" i="6"/>
  <c r="K41" i="6"/>
  <c r="S30" i="6"/>
  <c r="L30" i="6"/>
  <c r="H30" i="6"/>
  <c r="K31" i="6"/>
  <c r="F32" i="6"/>
  <c r="N32" i="6"/>
  <c r="I33" i="6"/>
  <c r="D34" i="6"/>
  <c r="L34" i="6"/>
  <c r="G35" i="6"/>
  <c r="O35" i="6"/>
  <c r="E37" i="6"/>
  <c r="M37" i="6" s="1"/>
  <c r="H38" i="6"/>
  <c r="K39" i="6"/>
  <c r="F40" i="6"/>
  <c r="N40" i="6"/>
  <c r="I41" i="6"/>
  <c r="D42" i="6"/>
  <c r="L42" i="6"/>
  <c r="G43" i="6"/>
  <c r="O43" i="6"/>
  <c r="E45" i="6"/>
  <c r="M45" i="6" s="1"/>
  <c r="H46" i="6"/>
  <c r="K47" i="6"/>
  <c r="F48" i="6"/>
  <c r="N48" i="6"/>
  <c r="I49" i="6"/>
  <c r="D50" i="6"/>
  <c r="L50" i="6"/>
  <c r="G51" i="6"/>
  <c r="O51" i="6"/>
  <c r="E53" i="6"/>
  <c r="M53" i="6" s="1"/>
  <c r="H54" i="6"/>
  <c r="K55" i="6"/>
  <c r="F56" i="6"/>
  <c r="N56" i="6"/>
  <c r="I57" i="6"/>
  <c r="D58" i="6"/>
  <c r="L58" i="6"/>
  <c r="G59" i="6"/>
  <c r="O59" i="6"/>
  <c r="AN62" i="5" l="1"/>
  <c r="AV50" i="5"/>
  <c r="AW50" i="5" s="1"/>
  <c r="AN46" i="5"/>
  <c r="AV46" i="5"/>
  <c r="AW46" i="5" s="1"/>
  <c r="AN55" i="5"/>
  <c r="AP55" i="5" s="1"/>
  <c r="AQ55" i="5" s="1"/>
  <c r="AO48" i="5"/>
  <c r="BE48" i="5" s="1"/>
  <c r="AP48" i="5"/>
  <c r="AQ48" i="5" s="1"/>
  <c r="AP44" i="5"/>
  <c r="AQ44" i="5" s="1"/>
  <c r="AP42" i="5"/>
  <c r="BA42" i="5" s="1"/>
  <c r="AO42" i="5"/>
  <c r="BE42" i="5" s="1"/>
  <c r="AO39" i="5"/>
  <c r="BE39" i="5" s="1"/>
  <c r="AP39" i="5"/>
  <c r="BA39" i="5" s="1"/>
  <c r="AO53" i="5"/>
  <c r="BE53" i="5" s="1"/>
  <c r="AO45" i="5"/>
  <c r="BE45" i="5" s="1"/>
  <c r="AO41" i="5"/>
  <c r="BE41" i="5" s="1"/>
  <c r="AP62" i="5"/>
  <c r="AO62" i="5"/>
  <c r="BE62" i="5" s="1"/>
  <c r="AP61" i="5"/>
  <c r="AO61" i="5"/>
  <c r="BE61" i="5" s="1"/>
  <c r="AP60" i="5"/>
  <c r="AO60" i="5"/>
  <c r="BE60" i="5" s="1"/>
  <c r="BA59" i="5"/>
  <c r="AQ59" i="5"/>
  <c r="AO59" i="5"/>
  <c r="BE59" i="5" s="1"/>
  <c r="AP58" i="5"/>
  <c r="AO58" i="5"/>
  <c r="BE58" i="5" s="1"/>
  <c r="AP57" i="5"/>
  <c r="AO57" i="5"/>
  <c r="BE57" i="5" s="1"/>
  <c r="BA56" i="5"/>
  <c r="AQ56" i="5"/>
  <c r="AO56" i="5"/>
  <c r="BE56" i="5" s="1"/>
  <c r="AP54" i="5"/>
  <c r="AQ53" i="5"/>
  <c r="BA53" i="5"/>
  <c r="AO52" i="5"/>
  <c r="BE52" i="5" s="1"/>
  <c r="AQ52" i="5"/>
  <c r="BA52" i="5"/>
  <c r="AQ51" i="5"/>
  <c r="BA51" i="5"/>
  <c r="AO51" i="5"/>
  <c r="BE51" i="5" s="1"/>
  <c r="AO50" i="5"/>
  <c r="BE50" i="5" s="1"/>
  <c r="BA50" i="5"/>
  <c r="AQ50" i="5"/>
  <c r="AP49" i="5"/>
  <c r="AO49" i="5"/>
  <c r="BE49" i="5" s="1"/>
  <c r="AQ47" i="5"/>
  <c r="BA47" i="5"/>
  <c r="AO47" i="5"/>
  <c r="BE47" i="5" s="1"/>
  <c r="AP34" i="5"/>
  <c r="AO34" i="5"/>
  <c r="BE34" i="5" s="1"/>
  <c r="AM26" i="5"/>
  <c r="AN26" i="5" s="1"/>
  <c r="AN24" i="5"/>
  <c r="AO24" i="5" s="1"/>
  <c r="BE24" i="5" s="1"/>
  <c r="AN20" i="5"/>
  <c r="AP20" i="5" s="1"/>
  <c r="BA20" i="5" s="1"/>
  <c r="AN17" i="5"/>
  <c r="AP17" i="5" s="1"/>
  <c r="BA17" i="5" s="1"/>
  <c r="AV25" i="5"/>
  <c r="AW25" i="5" s="1"/>
  <c r="AV19" i="5"/>
  <c r="AW19" i="5" s="1"/>
  <c r="AP35" i="5"/>
  <c r="AO35" i="5"/>
  <c r="BE35" i="5" s="1"/>
  <c r="AN22" i="5"/>
  <c r="AO22" i="5" s="1"/>
  <c r="BE22" i="5" s="1"/>
  <c r="AO33" i="5"/>
  <c r="BE33" i="5" s="1"/>
  <c r="AV26" i="5"/>
  <c r="AW26" i="5" s="1"/>
  <c r="AP46" i="5"/>
  <c r="AO46" i="5"/>
  <c r="BE46" i="5" s="1"/>
  <c r="BA45" i="5"/>
  <c r="AQ45" i="5"/>
  <c r="BA43" i="5"/>
  <c r="AQ43" i="5"/>
  <c r="AO43" i="5"/>
  <c r="BE43" i="5" s="1"/>
  <c r="BA41" i="5"/>
  <c r="AQ41" i="5"/>
  <c r="AP40" i="5"/>
  <c r="AO38" i="5"/>
  <c r="BE38" i="5" s="1"/>
  <c r="BA38" i="5"/>
  <c r="AQ38" i="5"/>
  <c r="AP37" i="5"/>
  <c r="AO37" i="5"/>
  <c r="BE37" i="5" s="1"/>
  <c r="AP36" i="5"/>
  <c r="AO36" i="5"/>
  <c r="BE36" i="5" s="1"/>
  <c r="AQ34" i="5"/>
  <c r="BA34" i="5"/>
  <c r="BA33" i="5"/>
  <c r="AQ33" i="5"/>
  <c r="AO32" i="5"/>
  <c r="BE32" i="5" s="1"/>
  <c r="AP32" i="5"/>
  <c r="BC31" i="5"/>
  <c r="BC30" i="5"/>
  <c r="BC29" i="5"/>
  <c r="BC28" i="5"/>
  <c r="BC26" i="5"/>
  <c r="BC24" i="5"/>
  <c r="BC23" i="5"/>
  <c r="AV18" i="5"/>
  <c r="AN31" i="5"/>
  <c r="AP31" i="5" s="1"/>
  <c r="BA31" i="5" s="1"/>
  <c r="AO29" i="5"/>
  <c r="BE29" i="5" s="1"/>
  <c r="AP29" i="5"/>
  <c r="BA29" i="5" s="1"/>
  <c r="AO30" i="5"/>
  <c r="BE30" i="5" s="1"/>
  <c r="AP30" i="5"/>
  <c r="AV27" i="5"/>
  <c r="AO28" i="5"/>
  <c r="BE28" i="5" s="1"/>
  <c r="AP28" i="5"/>
  <c r="AP27" i="5"/>
  <c r="AO26" i="5"/>
  <c r="BE26" i="5" s="1"/>
  <c r="AP26" i="5"/>
  <c r="AP25" i="5"/>
  <c r="AV22" i="5"/>
  <c r="AV20" i="5"/>
  <c r="AR16" i="5"/>
  <c r="AV16" i="5" s="1"/>
  <c r="AP19" i="5"/>
  <c r="AQ19" i="5" s="1"/>
  <c r="AN18" i="5"/>
  <c r="AO18" i="5" s="1"/>
  <c r="BE18" i="5" s="1"/>
  <c r="AO21" i="5"/>
  <c r="BE21" i="5" s="1"/>
  <c r="AN16" i="5"/>
  <c r="AP16" i="5" s="1"/>
  <c r="AQ16" i="5" s="1"/>
  <c r="AO20" i="5"/>
  <c r="BE20" i="5" s="1"/>
  <c r="AO19" i="5"/>
  <c r="BE19" i="5" s="1"/>
  <c r="AV17" i="5"/>
  <c r="AW17" i="5" s="1"/>
  <c r="AN23" i="5"/>
  <c r="AO23" i="5" s="1"/>
  <c r="BE23" i="5" s="1"/>
  <c r="AM15" i="5"/>
  <c r="AN15" i="5" s="1"/>
  <c r="AR15" i="5"/>
  <c r="AV15" i="5" s="1"/>
  <c r="AQ21" i="5"/>
  <c r="BA21" i="5"/>
  <c r="V68" i="6"/>
  <c r="V72" i="6"/>
  <c r="P4" i="19"/>
  <c r="J4" i="19"/>
  <c r="J5" i="19" s="1"/>
  <c r="Q4" i="19"/>
  <c r="Q5" i="19"/>
  <c r="D91" i="10"/>
  <c r="D90" i="10"/>
  <c r="D89" i="10"/>
  <c r="D88" i="10"/>
  <c r="D87" i="10"/>
  <c r="D86" i="10"/>
  <c r="D85" i="10"/>
  <c r="D84" i="10"/>
  <c r="D83" i="10"/>
  <c r="D82" i="10"/>
  <c r="D81" i="10"/>
  <c r="AQ20" i="5" l="1"/>
  <c r="BF34" i="5"/>
  <c r="BJ34" i="5" s="1"/>
  <c r="BF42" i="5"/>
  <c r="AP24" i="5"/>
  <c r="BA24" i="5" s="1"/>
  <c r="BF24" i="5" s="1"/>
  <c r="BJ24" i="5" s="1"/>
  <c r="AO17" i="5"/>
  <c r="BE17" i="5" s="1"/>
  <c r="BF17" i="5" s="1"/>
  <c r="T17" i="5" s="1"/>
  <c r="BA44" i="5"/>
  <c r="BF44" i="5" s="1"/>
  <c r="BJ44" i="5" s="1"/>
  <c r="BA55" i="5"/>
  <c r="AO55" i="5"/>
  <c r="BE55" i="5" s="1"/>
  <c r="AQ42" i="5"/>
  <c r="BF39" i="5"/>
  <c r="BJ39" i="5" s="1"/>
  <c r="AQ39" i="5"/>
  <c r="BF53" i="5"/>
  <c r="BJ53" i="5" s="1"/>
  <c r="BA48" i="5"/>
  <c r="BF48" i="5" s="1"/>
  <c r="BJ48" i="5" s="1"/>
  <c r="BF45" i="5"/>
  <c r="BJ45" i="5" s="1"/>
  <c r="BF52" i="5"/>
  <c r="BF50" i="5"/>
  <c r="BJ42" i="5"/>
  <c r="T42" i="5"/>
  <c r="BF41" i="5"/>
  <c r="BA62" i="5"/>
  <c r="BF62" i="5" s="1"/>
  <c r="AQ62" i="5"/>
  <c r="BA61" i="5"/>
  <c r="BF61" i="5" s="1"/>
  <c r="AQ61" i="5"/>
  <c r="AQ60" i="5"/>
  <c r="BA60" i="5"/>
  <c r="BF60" i="5" s="1"/>
  <c r="BF59" i="5"/>
  <c r="BA58" i="5"/>
  <c r="BF58" i="5" s="1"/>
  <c r="AQ58" i="5"/>
  <c r="BA57" i="5"/>
  <c r="BF57" i="5" s="1"/>
  <c r="AQ57" i="5"/>
  <c r="BF56" i="5"/>
  <c r="AQ54" i="5"/>
  <c r="BA54" i="5"/>
  <c r="BF54" i="5" s="1"/>
  <c r="BF51" i="5"/>
  <c r="AQ49" i="5"/>
  <c r="BA49" i="5"/>
  <c r="BF49" i="5" s="1"/>
  <c r="BF47" i="5"/>
  <c r="BF33" i="5"/>
  <c r="BJ33" i="5" s="1"/>
  <c r="AP22" i="5"/>
  <c r="BA22" i="5" s="1"/>
  <c r="AQ17" i="5"/>
  <c r="BA35" i="5"/>
  <c r="BF35" i="5" s="1"/>
  <c r="BJ35" i="5" s="1"/>
  <c r="AQ35" i="5"/>
  <c r="T34" i="5"/>
  <c r="AQ46" i="5"/>
  <c r="BA46" i="5"/>
  <c r="BF46" i="5" s="1"/>
  <c r="BF43" i="5"/>
  <c r="BA40" i="5"/>
  <c r="BF40" i="5" s="1"/>
  <c r="AQ40" i="5"/>
  <c r="BF38" i="5"/>
  <c r="AQ37" i="5"/>
  <c r="BA37" i="5"/>
  <c r="BF37" i="5" s="1"/>
  <c r="BA36" i="5"/>
  <c r="BF36" i="5" s="1"/>
  <c r="AQ36" i="5"/>
  <c r="BA32" i="5"/>
  <c r="BF32" i="5" s="1"/>
  <c r="AQ32" i="5"/>
  <c r="BA19" i="5"/>
  <c r="BF19" i="5" s="1"/>
  <c r="BJ19" i="5" s="1"/>
  <c r="AW27" i="5"/>
  <c r="BC27" i="5"/>
  <c r="AW22" i="5"/>
  <c r="BC22" i="5"/>
  <c r="AW20" i="5"/>
  <c r="BC20" i="5"/>
  <c r="BF20" i="5" s="1"/>
  <c r="BJ20" i="5" s="1"/>
  <c r="AQ31" i="5"/>
  <c r="AW18" i="5"/>
  <c r="BC18" i="5"/>
  <c r="AW16" i="5"/>
  <c r="BC16" i="5"/>
  <c r="BF29" i="5"/>
  <c r="T29" i="5" s="1"/>
  <c r="AW15" i="5"/>
  <c r="BC15" i="5"/>
  <c r="AO31" i="5"/>
  <c r="BE31" i="5" s="1"/>
  <c r="BF31" i="5" s="1"/>
  <c r="AQ29" i="5"/>
  <c r="BA30" i="5"/>
  <c r="BF30" i="5" s="1"/>
  <c r="AQ30" i="5"/>
  <c r="AQ24" i="5"/>
  <c r="BA28" i="5"/>
  <c r="BF28" i="5" s="1"/>
  <c r="AQ28" i="5"/>
  <c r="AQ27" i="5"/>
  <c r="BA27" i="5"/>
  <c r="BA26" i="5"/>
  <c r="BF26" i="5" s="1"/>
  <c r="AQ26" i="5"/>
  <c r="BA25" i="5"/>
  <c r="BF25" i="5" s="1"/>
  <c r="AQ25" i="5"/>
  <c r="AO16" i="5"/>
  <c r="BE16" i="5" s="1"/>
  <c r="AP18" i="5"/>
  <c r="BA18" i="5" s="1"/>
  <c r="BF21" i="5"/>
  <c r="BJ21" i="5" s="1"/>
  <c r="BA16" i="5"/>
  <c r="AP23" i="5"/>
  <c r="BA23" i="5" s="1"/>
  <c r="BF23" i="5" s="1"/>
  <c r="AO15" i="5"/>
  <c r="BE15" i="5" s="1"/>
  <c r="AP15" i="5"/>
  <c r="T20" i="5"/>
  <c r="E15" i="10"/>
  <c r="E19" i="10"/>
  <c r="E14" i="10"/>
  <c r="E13" i="10"/>
  <c r="K13" i="10" s="1"/>
  <c r="E12" i="10"/>
  <c r="K12" i="10" s="1"/>
  <c r="E11" i="10"/>
  <c r="K11" i="10" s="1"/>
  <c r="C19" i="10"/>
  <c r="C18" i="10"/>
  <c r="E18" i="10" s="1"/>
  <c r="C17" i="10"/>
  <c r="E17" i="10" s="1"/>
  <c r="C16" i="10"/>
  <c r="E16" i="10" s="1"/>
  <c r="C15" i="10"/>
  <c r="C14" i="10"/>
  <c r="T33" i="5" l="1"/>
  <c r="BJ17" i="5"/>
  <c r="T39" i="5"/>
  <c r="AB39" i="5" s="1"/>
  <c r="AC39" i="5" s="1"/>
  <c r="AQ22" i="5"/>
  <c r="BF22" i="5"/>
  <c r="BF55" i="5"/>
  <c r="BJ55" i="5" s="1"/>
  <c r="T44" i="5"/>
  <c r="Z44" i="5" s="1"/>
  <c r="AA44" i="5" s="1"/>
  <c r="T48" i="5"/>
  <c r="Z48" i="5" s="1"/>
  <c r="AA48" i="5" s="1"/>
  <c r="T53" i="5"/>
  <c r="AB53" i="5" s="1"/>
  <c r="T45" i="5"/>
  <c r="AB45" i="5" s="1"/>
  <c r="AC45" i="5" s="1"/>
  <c r="BJ61" i="5"/>
  <c r="T61" i="5"/>
  <c r="BJ60" i="5"/>
  <c r="T60" i="5"/>
  <c r="BJ62" i="5"/>
  <c r="T62" i="5"/>
  <c r="BJ59" i="5"/>
  <c r="T59" i="5"/>
  <c r="BJ57" i="5"/>
  <c r="T57" i="5"/>
  <c r="BJ58" i="5"/>
  <c r="T58" i="5"/>
  <c r="BJ56" i="5"/>
  <c r="T56" i="5"/>
  <c r="BJ54" i="5"/>
  <c r="T54" i="5"/>
  <c r="BJ52" i="5"/>
  <c r="T52" i="5"/>
  <c r="BJ51" i="5"/>
  <c r="T51" i="5"/>
  <c r="BJ49" i="5"/>
  <c r="T49" i="5"/>
  <c r="BJ50" i="5"/>
  <c r="T50" i="5"/>
  <c r="BJ47" i="5"/>
  <c r="T47" i="5"/>
  <c r="BJ46" i="5"/>
  <c r="T46" i="5"/>
  <c r="Z42" i="5"/>
  <c r="AA42" i="5" s="1"/>
  <c r="AB42" i="5"/>
  <c r="AC42" i="5" s="1"/>
  <c r="BJ43" i="5"/>
  <c r="T43" i="5"/>
  <c r="BJ41" i="5"/>
  <c r="T41" i="5"/>
  <c r="BJ40" i="5"/>
  <c r="T40" i="5"/>
  <c r="BJ37" i="5"/>
  <c r="T37" i="5"/>
  <c r="T35" i="5"/>
  <c r="AB35" i="5" s="1"/>
  <c r="AC35" i="5" s="1"/>
  <c r="BJ38" i="5"/>
  <c r="T38" i="5"/>
  <c r="BJ36" i="5"/>
  <c r="T36" i="5"/>
  <c r="AB34" i="5"/>
  <c r="AC34" i="5" s="1"/>
  <c r="Z34" i="5"/>
  <c r="AA34" i="5" s="1"/>
  <c r="AB33" i="5"/>
  <c r="AC33" i="5" s="1"/>
  <c r="Z33" i="5"/>
  <c r="AA33" i="5" s="1"/>
  <c r="BJ32" i="5"/>
  <c r="T32" i="5"/>
  <c r="T24" i="5"/>
  <c r="AB24" i="5" s="1"/>
  <c r="AC24" i="5" s="1"/>
  <c r="BJ22" i="5"/>
  <c r="T22" i="5"/>
  <c r="Z22" i="5" s="1"/>
  <c r="AA22" i="5" s="1"/>
  <c r="BF27" i="5"/>
  <c r="T27" i="5" s="1"/>
  <c r="BJ29" i="5"/>
  <c r="BF16" i="5"/>
  <c r="BJ16" i="5" s="1"/>
  <c r="BF18" i="5"/>
  <c r="BJ18" i="5" s="1"/>
  <c r="BJ31" i="5"/>
  <c r="T31" i="5"/>
  <c r="Z31" i="5" s="1"/>
  <c r="AA31" i="5" s="1"/>
  <c r="BJ30" i="5"/>
  <c r="T30" i="5"/>
  <c r="AB29" i="5"/>
  <c r="AC29" i="5" s="1"/>
  <c r="Z29" i="5"/>
  <c r="AA29" i="5" s="1"/>
  <c r="BJ28" i="5"/>
  <c r="T28" i="5"/>
  <c r="BJ26" i="5"/>
  <c r="T26" i="5"/>
  <c r="BJ25" i="5"/>
  <c r="T25" i="5"/>
  <c r="AQ23" i="5"/>
  <c r="T21" i="5"/>
  <c r="Z21" i="5" s="1"/>
  <c r="AA21" i="5" s="1"/>
  <c r="AQ18" i="5"/>
  <c r="T19" i="5"/>
  <c r="Z19" i="5" s="1"/>
  <c r="AA19" i="5" s="1"/>
  <c r="T23" i="5"/>
  <c r="BJ23" i="5"/>
  <c r="Z17" i="5"/>
  <c r="AA17" i="5" s="1"/>
  <c r="AB17" i="5"/>
  <c r="AC17" i="5" s="1"/>
  <c r="AQ15" i="5"/>
  <c r="BA15" i="5"/>
  <c r="BF15" i="5" s="1"/>
  <c r="Z20" i="5"/>
  <c r="AA20" i="5" s="1"/>
  <c r="AB20" i="5"/>
  <c r="AC20" i="5" s="1"/>
  <c r="C84" i="10"/>
  <c r="D18" i="19"/>
  <c r="C85" i="10"/>
  <c r="Z39" i="5" l="1"/>
  <c r="AA39" i="5" s="1"/>
  <c r="AB44" i="5"/>
  <c r="AC44" i="5" s="1"/>
  <c r="T55" i="5"/>
  <c r="T52" i="6" s="1"/>
  <c r="T50" i="6"/>
  <c r="Z53" i="5"/>
  <c r="AA53" i="5" s="1"/>
  <c r="AB48" i="5"/>
  <c r="AC48" i="5" s="1"/>
  <c r="Z45" i="5"/>
  <c r="AA45" i="5" s="1"/>
  <c r="Z60" i="5"/>
  <c r="AA60" i="5" s="1"/>
  <c r="AB60" i="5"/>
  <c r="T57" i="6"/>
  <c r="Z62" i="5"/>
  <c r="AA62" i="5" s="1"/>
  <c r="T59" i="6"/>
  <c r="AB62" i="5"/>
  <c r="Z61" i="5"/>
  <c r="AA61" i="5" s="1"/>
  <c r="AB61" i="5"/>
  <c r="T58" i="6"/>
  <c r="Z59" i="5"/>
  <c r="AA59" i="5" s="1"/>
  <c r="T56" i="6"/>
  <c r="AB59" i="5"/>
  <c r="Z57" i="5"/>
  <c r="AA57" i="5" s="1"/>
  <c r="AB57" i="5"/>
  <c r="T54" i="6"/>
  <c r="AB58" i="5"/>
  <c r="Z58" i="5"/>
  <c r="AA58" i="5" s="1"/>
  <c r="T55" i="6"/>
  <c r="Z56" i="5"/>
  <c r="AA56" i="5" s="1"/>
  <c r="AB56" i="5"/>
  <c r="T53" i="6"/>
  <c r="AB54" i="5"/>
  <c r="Z54" i="5"/>
  <c r="AA54" i="5" s="1"/>
  <c r="T51" i="6"/>
  <c r="AB51" i="5"/>
  <c r="Z51" i="5"/>
  <c r="AA51" i="5" s="1"/>
  <c r="T48" i="6"/>
  <c r="AC53" i="5"/>
  <c r="W50" i="6" s="1"/>
  <c r="V50" i="6"/>
  <c r="Z52" i="5"/>
  <c r="AA52" i="5" s="1"/>
  <c r="AB52" i="5"/>
  <c r="T49" i="6"/>
  <c r="AB50" i="5"/>
  <c r="AC50" i="5" s="1"/>
  <c r="Z50" i="5"/>
  <c r="AA50" i="5" s="1"/>
  <c r="Z49" i="5"/>
  <c r="AA49" i="5" s="1"/>
  <c r="AB49" i="5"/>
  <c r="AC49" i="5" s="1"/>
  <c r="Z46" i="5"/>
  <c r="AA46" i="5" s="1"/>
  <c r="AB46" i="5"/>
  <c r="AC46" i="5" s="1"/>
  <c r="Z47" i="5"/>
  <c r="AA47" i="5" s="1"/>
  <c r="AB47" i="5"/>
  <c r="AC47" i="5" s="1"/>
  <c r="AB43" i="5"/>
  <c r="AC43" i="5" s="1"/>
  <c r="Z43" i="5"/>
  <c r="AA43" i="5" s="1"/>
  <c r="AB41" i="5"/>
  <c r="AC41" i="5" s="1"/>
  <c r="Z41" i="5"/>
  <c r="AA41" i="5" s="1"/>
  <c r="AB40" i="5"/>
  <c r="AC40" i="5" s="1"/>
  <c r="Z40" i="5"/>
  <c r="AA40" i="5" s="1"/>
  <c r="T18" i="5"/>
  <c r="Z18" i="5" s="1"/>
  <c r="AA18" i="5" s="1"/>
  <c r="BJ27" i="5"/>
  <c r="AB37" i="5"/>
  <c r="AC37" i="5" s="1"/>
  <c r="Z37" i="5"/>
  <c r="AA37" i="5" s="1"/>
  <c r="Z35" i="5"/>
  <c r="AA35" i="5" s="1"/>
  <c r="Z38" i="5"/>
  <c r="AA38" i="5" s="1"/>
  <c r="AB38" i="5"/>
  <c r="AC38" i="5" s="1"/>
  <c r="Z36" i="5"/>
  <c r="AA36" i="5" s="1"/>
  <c r="AB36" i="5"/>
  <c r="AC36" i="5" s="1"/>
  <c r="Z32" i="5"/>
  <c r="AA32" i="5" s="1"/>
  <c r="AB32" i="5"/>
  <c r="AC32" i="5" s="1"/>
  <c r="Z24" i="5"/>
  <c r="AA24" i="5" s="1"/>
  <c r="AB22" i="5"/>
  <c r="AC22" i="5" s="1"/>
  <c r="T16" i="5"/>
  <c r="Z16" i="5" s="1"/>
  <c r="AA16" i="5" s="1"/>
  <c r="AB31" i="5"/>
  <c r="AC31" i="5" s="1"/>
  <c r="AB30" i="5"/>
  <c r="AC30" i="5" s="1"/>
  <c r="Z30" i="5"/>
  <c r="AA30" i="5" s="1"/>
  <c r="Z28" i="5"/>
  <c r="AA28" i="5" s="1"/>
  <c r="AB28" i="5"/>
  <c r="AC28" i="5" s="1"/>
  <c r="Z27" i="5"/>
  <c r="AA27" i="5" s="1"/>
  <c r="AB27" i="5"/>
  <c r="AC27" i="5" s="1"/>
  <c r="AB26" i="5"/>
  <c r="AC26" i="5" s="1"/>
  <c r="Z26" i="5"/>
  <c r="AA26" i="5" s="1"/>
  <c r="Z25" i="5"/>
  <c r="AA25" i="5" s="1"/>
  <c r="AB25" i="5"/>
  <c r="AC25" i="5" s="1"/>
  <c r="AB21" i="5"/>
  <c r="AC21" i="5" s="1"/>
  <c r="AB19" i="5"/>
  <c r="AC19" i="5" s="1"/>
  <c r="Z23" i="5"/>
  <c r="AA23" i="5" s="1"/>
  <c r="AB23" i="5"/>
  <c r="AC23" i="5" s="1"/>
  <c r="T15" i="5"/>
  <c r="BJ15" i="5"/>
  <c r="F83" i="10"/>
  <c r="E83" i="10"/>
  <c r="G83" i="10"/>
  <c r="H83" i="10" s="1"/>
  <c r="I83" i="10" s="1"/>
  <c r="AB18" i="5" l="1"/>
  <c r="AC18" i="5" s="1"/>
  <c r="AB55" i="5"/>
  <c r="Z55" i="5"/>
  <c r="AA55" i="5" s="1"/>
  <c r="AC61" i="5"/>
  <c r="W58" i="6" s="1"/>
  <c r="V58" i="6"/>
  <c r="AC62" i="5"/>
  <c r="W59" i="6" s="1"/>
  <c r="V59" i="6"/>
  <c r="AC60" i="5"/>
  <c r="W57" i="6" s="1"/>
  <c r="V57" i="6"/>
  <c r="AC58" i="5"/>
  <c r="W55" i="6" s="1"/>
  <c r="V55" i="6"/>
  <c r="AC59" i="5"/>
  <c r="W56" i="6" s="1"/>
  <c r="V56" i="6"/>
  <c r="AC57" i="5"/>
  <c r="W54" i="6" s="1"/>
  <c r="V54" i="6"/>
  <c r="AC54" i="5"/>
  <c r="W51" i="6" s="1"/>
  <c r="V51" i="6"/>
  <c r="AC56" i="5"/>
  <c r="W53" i="6" s="1"/>
  <c r="V53" i="6"/>
  <c r="AC52" i="5"/>
  <c r="W49" i="6" s="1"/>
  <c r="V49" i="6"/>
  <c r="AC51" i="5"/>
  <c r="W48" i="6" s="1"/>
  <c r="V48" i="6"/>
  <c r="AB16" i="5"/>
  <c r="AC16" i="5" s="1"/>
  <c r="Z15" i="5"/>
  <c r="AA15" i="5" s="1"/>
  <c r="AB15" i="5"/>
  <c r="AC15" i="5" s="1"/>
  <c r="F81" i="10"/>
  <c r="E81" i="10"/>
  <c r="G81" i="10"/>
  <c r="H81" i="10" s="1"/>
  <c r="I81" i="10" s="1"/>
  <c r="F73" i="10"/>
  <c r="E73" i="10"/>
  <c r="D73" i="10"/>
  <c r="C73" i="10"/>
  <c r="AC55" i="5" l="1"/>
  <c r="W52" i="6" s="1"/>
  <c r="V52" i="6"/>
  <c r="AC69" i="5"/>
  <c r="AC71" i="5"/>
  <c r="D72" i="10"/>
  <c r="C72" i="10"/>
  <c r="E71" i="10"/>
  <c r="D71" i="10"/>
  <c r="C71" i="10"/>
  <c r="V76" i="6"/>
  <c r="W73" i="6"/>
  <c r="AC70" i="5" l="1"/>
  <c r="AC73" i="5"/>
  <c r="D23" i="19"/>
  <c r="D22" i="19"/>
  <c r="D21" i="19"/>
  <c r="J89" i="10"/>
  <c r="K89" i="10" s="1"/>
  <c r="L89" i="10" s="1"/>
  <c r="J84" i="10"/>
  <c r="J85" i="10" s="1"/>
  <c r="J86" i="10" s="1"/>
  <c r="J87" i="10" s="1"/>
  <c r="J88" i="10" s="1"/>
  <c r="R8" i="19"/>
  <c r="R9" i="19" s="1"/>
  <c r="P8" i="19"/>
  <c r="P9" i="19" s="1"/>
  <c r="K8" i="19"/>
  <c r="K9" i="19" s="1"/>
  <c r="M8" i="19"/>
  <c r="M9" i="19" s="1"/>
  <c r="S4" i="19"/>
  <c r="S5" i="19" s="1"/>
  <c r="M4" i="19"/>
  <c r="M5" i="19" s="1"/>
  <c r="O8" i="19"/>
  <c r="O9" i="19" s="1"/>
  <c r="H3" i="19" l="1"/>
  <c r="K4" i="19"/>
  <c r="K5" i="19" s="1"/>
  <c r="V60" i="22"/>
  <c r="V59" i="22"/>
  <c r="V54" i="22"/>
  <c r="V53" i="22"/>
  <c r="V50" i="22"/>
  <c r="V48" i="22"/>
  <c r="V47" i="22"/>
  <c r="V42" i="22"/>
  <c r="V41" i="22"/>
  <c r="V38" i="22"/>
  <c r="V37" i="22"/>
  <c r="V36" i="22"/>
  <c r="V35" i="22"/>
  <c r="V32" i="22"/>
  <c r="V30" i="22"/>
  <c r="V29" i="22"/>
  <c r="V26" i="22"/>
  <c r="V25" i="22"/>
  <c r="V23" i="22"/>
  <c r="V20" i="22"/>
  <c r="V19" i="22"/>
  <c r="V18" i="22"/>
  <c r="P5" i="19"/>
  <c r="O4" i="19"/>
  <c r="O5" i="19" s="1"/>
  <c r="D11" i="10"/>
  <c r="D26" i="10" l="1"/>
  <c r="Z14" i="20"/>
  <c r="Z8" i="20"/>
  <c r="U9" i="20"/>
  <c r="AG252" i="20"/>
  <c r="AG276" i="20"/>
  <c r="AG299" i="20"/>
  <c r="AG298" i="20"/>
  <c r="AG297" i="20"/>
  <c r="AG296" i="20"/>
  <c r="AG295" i="20" s="1"/>
  <c r="AG293" i="20"/>
  <c r="AG292" i="20"/>
  <c r="AG291" i="20"/>
  <c r="AG289" i="20" s="1"/>
  <c r="AG290" i="20"/>
  <c r="AG287" i="20"/>
  <c r="AG286" i="20"/>
  <c r="AG285" i="20"/>
  <c r="AG284" i="20"/>
  <c r="AG283" i="20" s="1"/>
  <c r="AG281" i="20"/>
  <c r="AG280" i="20"/>
  <c r="AG279" i="20"/>
  <c r="AG277" i="20" s="1"/>
  <c r="AG278" i="20"/>
  <c r="AG275" i="20"/>
  <c r="AG274" i="20"/>
  <c r="AG273" i="20"/>
  <c r="AG271" i="20" s="1"/>
  <c r="AG272" i="20"/>
  <c r="AG269" i="20"/>
  <c r="AG268" i="20"/>
  <c r="AG267" i="20"/>
  <c r="AG266" i="20"/>
  <c r="AG265" i="20" s="1"/>
  <c r="AG263" i="20"/>
  <c r="AG262" i="20"/>
  <c r="AG261" i="20"/>
  <c r="AG259" i="20" s="1"/>
  <c r="AG260" i="20"/>
  <c r="AG257" i="20"/>
  <c r="AG256" i="20"/>
  <c r="AG255" i="20"/>
  <c r="AG254" i="20"/>
  <c r="AG253" i="20" s="1"/>
  <c r="AG250" i="20"/>
  <c r="AG249" i="20"/>
  <c r="AG248" i="20"/>
  <c r="AG247" i="20"/>
  <c r="AG246" i="20" s="1"/>
  <c r="AG244" i="20"/>
  <c r="AG243" i="20"/>
  <c r="AG242" i="20"/>
  <c r="AG240" i="20" s="1"/>
  <c r="AG241" i="20"/>
  <c r="AG238" i="20"/>
  <c r="AG237" i="20"/>
  <c r="AG236" i="20"/>
  <c r="AG234" i="20" s="1"/>
  <c r="AG235" i="20"/>
  <c r="AG232" i="20"/>
  <c r="AG231" i="20"/>
  <c r="AG230" i="20"/>
  <c r="AG228" i="20" s="1"/>
  <c r="AG229" i="20"/>
  <c r="AG226" i="20"/>
  <c r="AG225" i="20"/>
  <c r="AG224" i="20"/>
  <c r="AG222" i="20" s="1"/>
  <c r="AG223" i="20"/>
  <c r="AG220" i="20"/>
  <c r="AG219" i="20"/>
  <c r="AG218" i="20"/>
  <c r="AG216" i="20" s="1"/>
  <c r="AG217" i="20"/>
  <c r="AG214" i="20"/>
  <c r="AG213" i="20"/>
  <c r="AG212" i="20"/>
  <c r="AG211" i="20"/>
  <c r="AG210" i="20"/>
  <c r="AG208" i="20"/>
  <c r="AG207" i="20"/>
  <c r="AG206" i="20"/>
  <c r="AG205" i="20"/>
  <c r="AG204" i="20" s="1"/>
  <c r="AB299" i="20"/>
  <c r="AB298" i="20"/>
  <c r="AB297" i="20"/>
  <c r="AB296" i="20"/>
  <c r="AB295" i="20"/>
  <c r="AB294" i="20"/>
  <c r="AB293" i="20"/>
  <c r="AB292" i="20"/>
  <c r="AB291" i="20"/>
  <c r="AB290" i="20"/>
  <c r="AB289" i="20"/>
  <c r="AB288" i="20"/>
  <c r="AB287" i="20"/>
  <c r="AB286" i="20"/>
  <c r="AB285" i="20"/>
  <c r="AB284" i="20"/>
  <c r="AB283" i="20"/>
  <c r="AB282" i="20"/>
  <c r="AB281" i="20"/>
  <c r="AB280" i="20"/>
  <c r="AB279" i="20"/>
  <c r="AB278" i="20"/>
  <c r="AB277" i="20"/>
  <c r="AB276" i="20"/>
  <c r="AB275" i="20"/>
  <c r="AB274" i="20"/>
  <c r="AB273" i="20"/>
  <c r="AB272" i="20"/>
  <c r="AB271" i="20"/>
  <c r="AB270" i="20"/>
  <c r="AB269" i="20"/>
  <c r="AB268" i="20"/>
  <c r="AB267" i="20"/>
  <c r="AB266" i="20"/>
  <c r="AB265" i="20"/>
  <c r="AB264" i="20"/>
  <c r="AB263" i="20"/>
  <c r="AB262" i="20"/>
  <c r="AB261" i="20"/>
  <c r="AB260" i="20"/>
  <c r="AB259" i="20"/>
  <c r="AB258" i="20"/>
  <c r="AB257" i="20"/>
  <c r="AB256" i="20"/>
  <c r="AB255" i="20"/>
  <c r="AB254" i="20"/>
  <c r="AB253" i="20"/>
  <c r="AB252" i="20"/>
  <c r="AB250" i="20"/>
  <c r="AB249" i="20"/>
  <c r="AB248" i="20"/>
  <c r="AB247" i="20"/>
  <c r="AB246" i="20"/>
  <c r="AB245" i="20"/>
  <c r="AB244" i="20"/>
  <c r="AB243" i="20"/>
  <c r="AB242" i="20"/>
  <c r="AB241" i="20"/>
  <c r="AB240" i="20"/>
  <c r="AB239" i="20"/>
  <c r="AB238" i="20"/>
  <c r="AB237" i="20"/>
  <c r="AB236" i="20"/>
  <c r="AB235" i="20"/>
  <c r="AB234" i="20"/>
  <c r="AB233" i="20"/>
  <c r="AB232" i="20"/>
  <c r="AB231" i="20"/>
  <c r="AB230" i="20"/>
  <c r="AB229" i="20"/>
  <c r="AB228" i="20"/>
  <c r="AB227" i="20"/>
  <c r="AB226" i="20"/>
  <c r="AB225" i="20"/>
  <c r="AB224" i="20"/>
  <c r="AB223" i="20"/>
  <c r="AB222" i="20"/>
  <c r="AB221" i="20"/>
  <c r="AB220" i="20"/>
  <c r="AB219" i="20"/>
  <c r="AB218" i="20"/>
  <c r="AB217" i="20"/>
  <c r="AB216" i="20"/>
  <c r="AB215" i="20"/>
  <c r="AB214" i="20"/>
  <c r="AB213" i="20"/>
  <c r="AB212" i="20"/>
  <c r="AB211" i="20"/>
  <c r="AB210" i="20"/>
  <c r="AB209" i="20"/>
  <c r="AB208" i="20"/>
  <c r="AB207" i="20"/>
  <c r="AB206" i="20"/>
  <c r="AB205" i="20"/>
  <c r="AB204" i="20"/>
  <c r="AB203" i="20"/>
  <c r="Z285" i="20"/>
  <c r="Z287" i="20"/>
  <c r="Z284" i="20"/>
  <c r="Z278" i="20"/>
  <c r="Z299" i="20"/>
  <c r="Z296" i="20"/>
  <c r="Z298" i="20"/>
  <c r="Z297" i="20"/>
  <c r="Z295" i="20"/>
  <c r="Z293" i="20"/>
  <c r="Z292" i="20"/>
  <c r="Z291" i="20"/>
  <c r="Z289" i="20" s="1"/>
  <c r="Z290" i="20"/>
  <c r="Z286" i="20"/>
  <c r="Z283" i="20"/>
  <c r="Z281" i="20"/>
  <c r="Z276" i="20" s="1"/>
  <c r="Z280" i="20"/>
  <c r="Z279" i="20"/>
  <c r="Z277" i="20" s="1"/>
  <c r="Z275" i="20"/>
  <c r="Z274" i="20"/>
  <c r="Z273" i="20"/>
  <c r="Z271" i="20" s="1"/>
  <c r="Z272" i="20"/>
  <c r="Z269" i="20"/>
  <c r="Z268" i="20"/>
  <c r="Z267" i="20"/>
  <c r="Z266" i="20"/>
  <c r="Z265" i="20"/>
  <c r="Z263" i="20"/>
  <c r="Z259" i="20" s="1"/>
  <c r="Z262" i="20"/>
  <c r="Z261" i="20"/>
  <c r="Z260" i="20"/>
  <c r="Z257" i="20"/>
  <c r="Z256" i="20"/>
  <c r="Z255" i="20"/>
  <c r="Z254" i="20"/>
  <c r="Z253" i="20" s="1"/>
  <c r="Z203" i="20"/>
  <c r="Z227" i="20"/>
  <c r="Z250" i="20"/>
  <c r="Z249" i="20"/>
  <c r="Z248" i="20"/>
  <c r="Z247" i="20"/>
  <c r="Z246" i="20"/>
  <c r="Z244" i="20"/>
  <c r="Z243" i="20"/>
  <c r="Z242" i="20"/>
  <c r="Z240" i="20" s="1"/>
  <c r="Z241" i="20"/>
  <c r="Z238" i="20"/>
  <c r="Z237" i="20"/>
  <c r="Z236" i="20"/>
  <c r="Z235" i="20"/>
  <c r="Z234" i="20" s="1"/>
  <c r="Z232" i="20"/>
  <c r="Z231" i="20"/>
  <c r="Z230" i="20"/>
  <c r="Z228" i="20" s="1"/>
  <c r="Z229" i="20"/>
  <c r="Z226" i="20"/>
  <c r="Z225" i="20"/>
  <c r="Z224" i="20"/>
  <c r="Z222" i="20" s="1"/>
  <c r="Z223" i="20"/>
  <c r="Z220" i="20"/>
  <c r="Z219" i="20"/>
  <c r="Z218" i="20"/>
  <c r="Z217" i="20"/>
  <c r="Z216" i="20" s="1"/>
  <c r="Z214" i="20"/>
  <c r="Z210" i="20" s="1"/>
  <c r="Z213" i="20"/>
  <c r="Z212" i="20"/>
  <c r="Z211" i="20"/>
  <c r="Z208" i="20"/>
  <c r="Z207" i="20"/>
  <c r="Z206" i="20"/>
  <c r="Z205" i="20"/>
  <c r="Z204" i="20" s="1"/>
  <c r="U299" i="20"/>
  <c r="U298" i="20"/>
  <c r="U297" i="20"/>
  <c r="U296" i="20"/>
  <c r="U295" i="20"/>
  <c r="U294" i="20"/>
  <c r="U293" i="20"/>
  <c r="U292" i="20"/>
  <c r="U291" i="20"/>
  <c r="U290" i="20"/>
  <c r="U289" i="20"/>
  <c r="U288" i="20"/>
  <c r="U287" i="20"/>
  <c r="U286" i="20"/>
  <c r="U285" i="20"/>
  <c r="U284" i="20"/>
  <c r="U283" i="20"/>
  <c r="U282" i="20"/>
  <c r="U281" i="20"/>
  <c r="U280" i="20"/>
  <c r="U279" i="20"/>
  <c r="U278" i="20"/>
  <c r="U277" i="20"/>
  <c r="U276" i="20"/>
  <c r="U275" i="20"/>
  <c r="U274" i="20"/>
  <c r="U273" i="20"/>
  <c r="U272" i="20"/>
  <c r="U271" i="20"/>
  <c r="U270" i="20"/>
  <c r="U269" i="20"/>
  <c r="U268" i="20"/>
  <c r="U267" i="20"/>
  <c r="U266" i="20"/>
  <c r="U265" i="20"/>
  <c r="U264" i="20"/>
  <c r="U263" i="20"/>
  <c r="U262" i="20"/>
  <c r="U261" i="20"/>
  <c r="U260" i="20"/>
  <c r="U259" i="20"/>
  <c r="U258" i="20"/>
  <c r="U257" i="20"/>
  <c r="U256" i="20"/>
  <c r="U255" i="20"/>
  <c r="U254" i="20"/>
  <c r="U253" i="20"/>
  <c r="U252" i="20"/>
  <c r="U250" i="20"/>
  <c r="U249" i="20"/>
  <c r="U248" i="20"/>
  <c r="U247" i="20"/>
  <c r="U246" i="20"/>
  <c r="U245" i="20"/>
  <c r="U244" i="20"/>
  <c r="U243" i="20"/>
  <c r="U242" i="20"/>
  <c r="U241" i="20"/>
  <c r="U240" i="20"/>
  <c r="U239" i="20"/>
  <c r="U238" i="20"/>
  <c r="U237" i="20"/>
  <c r="U236" i="20"/>
  <c r="U235" i="20"/>
  <c r="U234" i="20"/>
  <c r="U233" i="20"/>
  <c r="U232" i="20"/>
  <c r="U231" i="20"/>
  <c r="U230" i="20"/>
  <c r="U229" i="20"/>
  <c r="U228" i="20"/>
  <c r="U227" i="20"/>
  <c r="U226" i="20"/>
  <c r="U225" i="20"/>
  <c r="U224" i="20"/>
  <c r="U223" i="20"/>
  <c r="U222" i="20"/>
  <c r="U221" i="20"/>
  <c r="U220" i="20"/>
  <c r="U219" i="20"/>
  <c r="U218" i="20"/>
  <c r="U217" i="20"/>
  <c r="U216" i="20"/>
  <c r="U215" i="20"/>
  <c r="U214" i="20"/>
  <c r="U213" i="20"/>
  <c r="U212" i="20"/>
  <c r="U211" i="20"/>
  <c r="U210" i="20"/>
  <c r="U209" i="20"/>
  <c r="U208" i="20"/>
  <c r="U207" i="20"/>
  <c r="U206" i="20"/>
  <c r="U205" i="20"/>
  <c r="U204" i="20"/>
  <c r="U203" i="20"/>
  <c r="AG227" i="20" l="1"/>
  <c r="AG203" i="20"/>
  <c r="Z252" i="20"/>
  <c r="AG156" i="20"/>
  <c r="AC62" i="22"/>
  <c r="AC61" i="22"/>
  <c r="AC60" i="22"/>
  <c r="AC59" i="22"/>
  <c r="AC56" i="22"/>
  <c r="AC55" i="22"/>
  <c r="AC54" i="22"/>
  <c r="AC53" i="22"/>
  <c r="AC50" i="22"/>
  <c r="AC49" i="22"/>
  <c r="AC48" i="22"/>
  <c r="AC47" i="22"/>
  <c r="AC44" i="22"/>
  <c r="AC43" i="22"/>
  <c r="AC42" i="22"/>
  <c r="AC41" i="22"/>
  <c r="AC29" i="22"/>
  <c r="AC35" i="22"/>
  <c r="AC32" i="22"/>
  <c r="AC31" i="22"/>
  <c r="AC30" i="22"/>
  <c r="AC23" i="22"/>
  <c r="AC26" i="22" l="1"/>
  <c r="AC25" i="22"/>
  <c r="AC24" i="22"/>
  <c r="AC17" i="22"/>
  <c r="AC20" i="22"/>
  <c r="AC19" i="22"/>
  <c r="AC18" i="22"/>
  <c r="AC38" i="22"/>
  <c r="AC37" i="22"/>
  <c r="AC36" i="22"/>
  <c r="AA76" i="22"/>
  <c r="D75" i="22"/>
  <c r="B75" i="22"/>
  <c r="AI74" i="22"/>
  <c r="B74" i="22"/>
  <c r="AH73" i="22"/>
  <c r="B73" i="22"/>
  <c r="AI72" i="22"/>
  <c r="AH72" i="22"/>
  <c r="B72" i="22"/>
  <c r="AH71" i="22"/>
  <c r="B71" i="22"/>
  <c r="AK70" i="22"/>
  <c r="AH70" i="22"/>
  <c r="B70" i="22"/>
  <c r="AL69" i="22"/>
  <c r="AK69" i="22"/>
  <c r="B69" i="22"/>
  <c r="AI67" i="22"/>
  <c r="AI66" i="22"/>
  <c r="B66" i="22"/>
  <c r="B67" i="22" s="1"/>
  <c r="AI65" i="22"/>
  <c r="B65" i="22"/>
  <c r="AI64" i="22"/>
  <c r="D63" i="22"/>
  <c r="C63" i="22"/>
  <c r="B63" i="22"/>
  <c r="BH62" i="22"/>
  <c r="BI62" i="22" s="1"/>
  <c r="BE62" i="22"/>
  <c r="BD62" i="22"/>
  <c r="AZ62" i="22"/>
  <c r="BA62" i="22" s="1"/>
  <c r="AY62" i="22"/>
  <c r="AQ62" i="22"/>
  <c r="AN62" i="22"/>
  <c r="AP62" i="22" s="1"/>
  <c r="AM62" i="22"/>
  <c r="AK62" i="22"/>
  <c r="J62" i="22"/>
  <c r="BH61" i="22"/>
  <c r="BI61" i="22" s="1"/>
  <c r="BE61" i="22"/>
  <c r="BD61" i="22"/>
  <c r="BA61" i="22"/>
  <c r="AZ61" i="22"/>
  <c r="AY61" i="22"/>
  <c r="AQ61" i="22"/>
  <c r="AR61" i="22" s="1"/>
  <c r="AP61" i="22"/>
  <c r="AN61" i="22"/>
  <c r="AM61" i="22"/>
  <c r="AK61" i="22"/>
  <c r="J61" i="22"/>
  <c r="BH60" i="22"/>
  <c r="BI60" i="22" s="1"/>
  <c r="BE60" i="22"/>
  <c r="BD60" i="22"/>
  <c r="BA60" i="22"/>
  <c r="AZ60" i="22"/>
  <c r="AY60" i="22"/>
  <c r="AQ60" i="22"/>
  <c r="AN60" i="22"/>
  <c r="AM60" i="22"/>
  <c r="AP60" i="22" s="1"/>
  <c r="AR60" i="22" s="1"/>
  <c r="AK60" i="22"/>
  <c r="J60" i="22"/>
  <c r="BH59" i="22"/>
  <c r="BI59" i="22" s="1"/>
  <c r="BE59" i="22"/>
  <c r="BD59" i="22"/>
  <c r="AZ59" i="22"/>
  <c r="BA59" i="22" s="1"/>
  <c r="AY59" i="22"/>
  <c r="AQ59" i="22"/>
  <c r="AN59" i="22"/>
  <c r="AM59" i="22"/>
  <c r="AP59" i="22" s="1"/>
  <c r="AK59" i="22"/>
  <c r="J59" i="22"/>
  <c r="BH58" i="22"/>
  <c r="BI58" i="22" s="1"/>
  <c r="BE58" i="22"/>
  <c r="BD58" i="22"/>
  <c r="AZ58" i="22"/>
  <c r="AY58" i="22"/>
  <c r="BA58" i="22" s="1"/>
  <c r="AQ58" i="22"/>
  <c r="AR58" i="22" s="1"/>
  <c r="AN58" i="22"/>
  <c r="AP58" i="22" s="1"/>
  <c r="AM58" i="22"/>
  <c r="AK58" i="22"/>
  <c r="J58" i="22"/>
  <c r="BH57" i="22"/>
  <c r="BI57" i="22" s="1"/>
  <c r="BE57" i="22"/>
  <c r="BD57" i="22"/>
  <c r="AZ57" i="22"/>
  <c r="AY57" i="22"/>
  <c r="BA57" i="22" s="1"/>
  <c r="AQ57" i="22"/>
  <c r="AN57" i="22"/>
  <c r="AP57" i="22" s="1"/>
  <c r="AM57" i="22"/>
  <c r="AK57" i="22"/>
  <c r="J57" i="22"/>
  <c r="BH56" i="22"/>
  <c r="BI56" i="22" s="1"/>
  <c r="BE56" i="22"/>
  <c r="BD56" i="22"/>
  <c r="AZ56" i="22"/>
  <c r="AY56" i="22"/>
  <c r="BA56" i="22" s="1"/>
  <c r="AQ56" i="22"/>
  <c r="AN56" i="22"/>
  <c r="AP56" i="22" s="1"/>
  <c r="AM56" i="22"/>
  <c r="AK56" i="22"/>
  <c r="J56" i="22"/>
  <c r="BH55" i="22"/>
  <c r="BI55" i="22" s="1"/>
  <c r="BE55" i="22"/>
  <c r="BD55" i="22"/>
  <c r="AZ55" i="22"/>
  <c r="BA55" i="22" s="1"/>
  <c r="AY55" i="22"/>
  <c r="AR55" i="22"/>
  <c r="AQ55" i="22"/>
  <c r="AP55" i="22"/>
  <c r="AN55" i="22"/>
  <c r="AM55" i="22"/>
  <c r="AK55" i="22"/>
  <c r="J55" i="22"/>
  <c r="BH54" i="22"/>
  <c r="BI54" i="22" s="1"/>
  <c r="BE54" i="22"/>
  <c r="BD54" i="22"/>
  <c r="AZ54" i="22"/>
  <c r="BA54" i="22" s="1"/>
  <c r="AY54" i="22"/>
  <c r="AT54" i="22"/>
  <c r="AR54" i="22"/>
  <c r="AQ54" i="22"/>
  <c r="AP54" i="22"/>
  <c r="AN54" i="22"/>
  <c r="AM54" i="22"/>
  <c r="AK54" i="22"/>
  <c r="J54" i="22"/>
  <c r="BH53" i="22"/>
  <c r="BI53" i="22" s="1"/>
  <c r="BE53" i="22"/>
  <c r="BD53" i="22"/>
  <c r="AZ53" i="22"/>
  <c r="BA53" i="22" s="1"/>
  <c r="AY53" i="22"/>
  <c r="AQ53" i="22"/>
  <c r="AN53" i="22"/>
  <c r="AP53" i="22" s="1"/>
  <c r="AR53" i="22" s="1"/>
  <c r="AM53" i="22"/>
  <c r="AK53" i="22"/>
  <c r="J53" i="22"/>
  <c r="BH52" i="22"/>
  <c r="BI52" i="22" s="1"/>
  <c r="BE52" i="22"/>
  <c r="BD52" i="22"/>
  <c r="AZ52" i="22"/>
  <c r="BA52" i="22" s="1"/>
  <c r="AY52" i="22"/>
  <c r="AQ52" i="22"/>
  <c r="AP52" i="22"/>
  <c r="AR52" i="22" s="1"/>
  <c r="AN52" i="22"/>
  <c r="AM52" i="22"/>
  <c r="AK52" i="22"/>
  <c r="J52" i="22"/>
  <c r="BH51" i="22"/>
  <c r="BI51" i="22" s="1"/>
  <c r="BE51" i="22"/>
  <c r="BD51" i="22"/>
  <c r="AZ51" i="22"/>
  <c r="BA51" i="22" s="1"/>
  <c r="AY51" i="22"/>
  <c r="AQ51" i="22"/>
  <c r="AP51" i="22"/>
  <c r="AR51" i="22" s="1"/>
  <c r="AN51" i="22"/>
  <c r="AM51" i="22"/>
  <c r="AK51" i="22"/>
  <c r="J51" i="22"/>
  <c r="BH50" i="22"/>
  <c r="BI50" i="22" s="1"/>
  <c r="BE50" i="22"/>
  <c r="BD50" i="22"/>
  <c r="AZ50" i="22"/>
  <c r="BA50" i="22" s="1"/>
  <c r="AY50" i="22"/>
  <c r="AQ50" i="22"/>
  <c r="AP50" i="22"/>
  <c r="AR50" i="22" s="1"/>
  <c r="AN50" i="22"/>
  <c r="AM50" i="22"/>
  <c r="AK50" i="22"/>
  <c r="J50" i="22"/>
  <c r="BH49" i="22"/>
  <c r="BI49" i="22" s="1"/>
  <c r="BE49" i="22"/>
  <c r="BD49" i="22"/>
  <c r="AZ49" i="22"/>
  <c r="BA49" i="22" s="1"/>
  <c r="AY49" i="22"/>
  <c r="AQ49" i="22"/>
  <c r="AP49" i="22"/>
  <c r="AR49" i="22" s="1"/>
  <c r="AN49" i="22"/>
  <c r="AM49" i="22"/>
  <c r="AK49" i="22"/>
  <c r="J49" i="22"/>
  <c r="BH48" i="22"/>
  <c r="BI48" i="22" s="1"/>
  <c r="BE48" i="22"/>
  <c r="BD48" i="22"/>
  <c r="BA48" i="22"/>
  <c r="AZ48" i="22"/>
  <c r="AY48" i="22"/>
  <c r="AQ48" i="22"/>
  <c r="AR48" i="22" s="1"/>
  <c r="AN48" i="22"/>
  <c r="AM48" i="22"/>
  <c r="AP48" i="22" s="1"/>
  <c r="AK48" i="22"/>
  <c r="J48" i="22"/>
  <c r="BH47" i="22"/>
  <c r="BI47" i="22" s="1"/>
  <c r="BE47" i="22"/>
  <c r="BD47" i="22"/>
  <c r="AZ47" i="22"/>
  <c r="AY47" i="22"/>
  <c r="BA47" i="22" s="1"/>
  <c r="AQ47" i="22"/>
  <c r="AR47" i="22" s="1"/>
  <c r="AN47" i="22"/>
  <c r="AM47" i="22"/>
  <c r="AP47" i="22" s="1"/>
  <c r="AK47" i="22"/>
  <c r="J47" i="22"/>
  <c r="BH46" i="22"/>
  <c r="BI46" i="22" s="1"/>
  <c r="BE46" i="22"/>
  <c r="BD46" i="22"/>
  <c r="BA46" i="22"/>
  <c r="AZ46" i="22"/>
  <c r="AY46" i="22"/>
  <c r="AQ46" i="22"/>
  <c r="AR46" i="22" s="1"/>
  <c r="AN46" i="22"/>
  <c r="AM46" i="22"/>
  <c r="AP46" i="22" s="1"/>
  <c r="AK46" i="22"/>
  <c r="J46" i="22"/>
  <c r="BH45" i="22"/>
  <c r="BI45" i="22" s="1"/>
  <c r="BE45" i="22"/>
  <c r="BD45" i="22"/>
  <c r="BA45" i="22"/>
  <c r="AZ45" i="22"/>
  <c r="AY45" i="22"/>
  <c r="AQ45" i="22"/>
  <c r="AR45" i="22" s="1"/>
  <c r="AN45" i="22"/>
  <c r="AM45" i="22"/>
  <c r="AP45" i="22" s="1"/>
  <c r="AK45" i="22"/>
  <c r="J45" i="22"/>
  <c r="BH44" i="22"/>
  <c r="BI44" i="22" s="1"/>
  <c r="BE44" i="22"/>
  <c r="BD44" i="22"/>
  <c r="BA44" i="22"/>
  <c r="AZ44" i="22"/>
  <c r="AY44" i="22"/>
  <c r="AQ44" i="22"/>
  <c r="AN44" i="22"/>
  <c r="AM44" i="22"/>
  <c r="AP44" i="22" s="1"/>
  <c r="AK44" i="22"/>
  <c r="J44" i="22"/>
  <c r="BH43" i="22"/>
  <c r="BI43" i="22" s="1"/>
  <c r="BE43" i="22"/>
  <c r="BD43" i="22"/>
  <c r="AZ43" i="22"/>
  <c r="AY43" i="22"/>
  <c r="BA43" i="22" s="1"/>
  <c r="AQ43" i="22"/>
  <c r="AN43" i="22"/>
  <c r="AM43" i="22"/>
  <c r="AP43" i="22" s="1"/>
  <c r="AK43" i="22"/>
  <c r="J43" i="22"/>
  <c r="BH42" i="22"/>
  <c r="BI42" i="22" s="1"/>
  <c r="BE42" i="22"/>
  <c r="BD42" i="22"/>
  <c r="AZ42" i="22"/>
  <c r="BA42" i="22" s="1"/>
  <c r="AY42" i="22"/>
  <c r="AQ42" i="22"/>
  <c r="AN42" i="22"/>
  <c r="AM42" i="22"/>
  <c r="AK42" i="22"/>
  <c r="J42" i="22"/>
  <c r="BH41" i="22"/>
  <c r="BI41" i="22" s="1"/>
  <c r="BE41" i="22"/>
  <c r="BD41" i="22"/>
  <c r="AZ41" i="22"/>
  <c r="BA41" i="22" s="1"/>
  <c r="AY41" i="22"/>
  <c r="AQ41" i="22"/>
  <c r="AP41" i="22"/>
  <c r="AR41" i="22" s="1"/>
  <c r="AN41" i="22"/>
  <c r="AM41" i="22"/>
  <c r="AK41" i="22"/>
  <c r="J41" i="22"/>
  <c r="BH40" i="22"/>
  <c r="BI40" i="22" s="1"/>
  <c r="BE40" i="22"/>
  <c r="BD40" i="22"/>
  <c r="AZ40" i="22"/>
  <c r="BA40" i="22" s="1"/>
  <c r="AY40" i="22"/>
  <c r="AQ40" i="22"/>
  <c r="AR40" i="22" s="1"/>
  <c r="AP40" i="22"/>
  <c r="AN40" i="22"/>
  <c r="AM40" i="22"/>
  <c r="AK40" i="22"/>
  <c r="J40" i="22"/>
  <c r="BH39" i="22"/>
  <c r="BI39" i="22" s="1"/>
  <c r="BE39" i="22"/>
  <c r="BD39" i="22"/>
  <c r="BA39" i="22"/>
  <c r="AZ39" i="22"/>
  <c r="AY39" i="22"/>
  <c r="AT39" i="22"/>
  <c r="AR39" i="22"/>
  <c r="AQ39" i="22"/>
  <c r="AP39" i="22"/>
  <c r="AN39" i="22"/>
  <c r="AM39" i="22"/>
  <c r="AK39" i="22"/>
  <c r="J39" i="22"/>
  <c r="BH38" i="22"/>
  <c r="BI38" i="22" s="1"/>
  <c r="BE38" i="22"/>
  <c r="BD38" i="22"/>
  <c r="BA38" i="22"/>
  <c r="AZ38" i="22"/>
  <c r="AY38" i="22"/>
  <c r="AR38" i="22"/>
  <c r="AQ38" i="22"/>
  <c r="AP38" i="22"/>
  <c r="AN38" i="22"/>
  <c r="AM38" i="22"/>
  <c r="AL38" i="22"/>
  <c r="AK38" i="22"/>
  <c r="J38" i="22"/>
  <c r="BH37" i="22"/>
  <c r="BI37" i="22" s="1"/>
  <c r="BE37" i="22"/>
  <c r="BD37" i="22"/>
  <c r="AZ37" i="22"/>
  <c r="BA37" i="22" s="1"/>
  <c r="AY37" i="22"/>
  <c r="AR37" i="22"/>
  <c r="AQ37" i="22"/>
  <c r="AN37" i="22"/>
  <c r="AM37" i="22"/>
  <c r="AK37" i="22"/>
  <c r="J37" i="22"/>
  <c r="BH36" i="22"/>
  <c r="BI36" i="22" s="1"/>
  <c r="BE36" i="22"/>
  <c r="BD36" i="22"/>
  <c r="AZ36" i="22"/>
  <c r="BA36" i="22" s="1"/>
  <c r="AY36" i="22"/>
  <c r="AR36" i="22"/>
  <c r="AQ36" i="22"/>
  <c r="AP36" i="22"/>
  <c r="AN36" i="22"/>
  <c r="AM36" i="22"/>
  <c r="AK36" i="22"/>
  <c r="J36" i="22"/>
  <c r="BH35" i="22"/>
  <c r="BI35" i="22" s="1"/>
  <c r="BE35" i="22"/>
  <c r="BD35" i="22"/>
  <c r="AZ35" i="22"/>
  <c r="AY35" i="22"/>
  <c r="AQ35" i="22"/>
  <c r="AR35" i="22" s="1"/>
  <c r="AP35" i="22"/>
  <c r="AN35" i="22"/>
  <c r="AM35" i="22"/>
  <c r="AK35" i="22"/>
  <c r="J35" i="22"/>
  <c r="BH34" i="22"/>
  <c r="BI34" i="22" s="1"/>
  <c r="BE34" i="22"/>
  <c r="BD34" i="22"/>
  <c r="BA34" i="22"/>
  <c r="AZ34" i="22"/>
  <c r="AY34" i="22"/>
  <c r="AQ34" i="22"/>
  <c r="AR34" i="22" s="1"/>
  <c r="AP34" i="22"/>
  <c r="AN34" i="22"/>
  <c r="AM34" i="22"/>
  <c r="AK34" i="22"/>
  <c r="J34" i="22"/>
  <c r="BH33" i="22"/>
  <c r="BI33" i="22" s="1"/>
  <c r="BE33" i="22"/>
  <c r="BD33" i="22"/>
  <c r="BA33" i="22"/>
  <c r="AZ33" i="22"/>
  <c r="AY33" i="22"/>
  <c r="AR33" i="22"/>
  <c r="AQ33" i="22"/>
  <c r="AN33" i="22"/>
  <c r="AP33" i="22" s="1"/>
  <c r="AM33" i="22"/>
  <c r="AK33" i="22"/>
  <c r="J33" i="22"/>
  <c r="BH32" i="22"/>
  <c r="BI32" i="22" s="1"/>
  <c r="BE32" i="22"/>
  <c r="BD32" i="22"/>
  <c r="AZ32" i="22"/>
  <c r="BA32" i="22" s="1"/>
  <c r="AY32" i="22"/>
  <c r="AQ32" i="22"/>
  <c r="AR32" i="22" s="1"/>
  <c r="AP32" i="22"/>
  <c r="AN32" i="22"/>
  <c r="AM32" i="22"/>
  <c r="AK32" i="22"/>
  <c r="J32" i="22"/>
  <c r="BH31" i="22"/>
  <c r="BI31" i="22" s="1"/>
  <c r="BE31" i="22"/>
  <c r="BD31" i="22"/>
  <c r="AZ31" i="22"/>
  <c r="AY31" i="22"/>
  <c r="AQ31" i="22"/>
  <c r="AR31" i="22" s="1"/>
  <c r="AP31" i="22"/>
  <c r="AN31" i="22"/>
  <c r="AM31" i="22"/>
  <c r="AK31" i="22"/>
  <c r="J31" i="22"/>
  <c r="BH30" i="22"/>
  <c r="BI30" i="22" s="1"/>
  <c r="BE30" i="22"/>
  <c r="BD30" i="22"/>
  <c r="AZ30" i="22"/>
  <c r="BA30" i="22" s="1"/>
  <c r="AY30" i="22"/>
  <c r="AR30" i="22"/>
  <c r="AQ30" i="22"/>
  <c r="AN30" i="22"/>
  <c r="AM30" i="22"/>
  <c r="AP30" i="22" s="1"/>
  <c r="AK30" i="22"/>
  <c r="J30" i="22"/>
  <c r="BH29" i="22"/>
  <c r="BI29" i="22" s="1"/>
  <c r="BE29" i="22"/>
  <c r="BD29" i="22"/>
  <c r="BA29" i="22"/>
  <c r="AZ29" i="22"/>
  <c r="AY29" i="22"/>
  <c r="AQ29" i="22"/>
  <c r="AR29" i="22" s="1"/>
  <c r="AN29" i="22"/>
  <c r="AM29" i="22"/>
  <c r="AP29" i="22" s="1"/>
  <c r="AL29" i="22"/>
  <c r="AK29" i="22"/>
  <c r="J29" i="22"/>
  <c r="BH28" i="22"/>
  <c r="BI28" i="22" s="1"/>
  <c r="BE28" i="22"/>
  <c r="BD28" i="22"/>
  <c r="BA28" i="22"/>
  <c r="AZ28" i="22"/>
  <c r="AY28" i="22"/>
  <c r="AR28" i="22"/>
  <c r="AQ28" i="22"/>
  <c r="AN28" i="22"/>
  <c r="AM28" i="22"/>
  <c r="AK28" i="22"/>
  <c r="J28" i="22"/>
  <c r="BH27" i="22"/>
  <c r="BI27" i="22" s="1"/>
  <c r="BE27" i="22"/>
  <c r="BD27" i="22"/>
  <c r="BA27" i="22"/>
  <c r="AZ27" i="22"/>
  <c r="AY27" i="22"/>
  <c r="AR27" i="22"/>
  <c r="AQ27" i="22"/>
  <c r="AN27" i="22"/>
  <c r="AM27" i="22"/>
  <c r="AK27" i="22"/>
  <c r="J27" i="22"/>
  <c r="BH26" i="22"/>
  <c r="BI26" i="22" s="1"/>
  <c r="BE26" i="22"/>
  <c r="BD26" i="22"/>
  <c r="BA26" i="22"/>
  <c r="AZ26" i="22"/>
  <c r="AY26" i="22"/>
  <c r="AR26" i="22"/>
  <c r="AQ26" i="22"/>
  <c r="AN26" i="22"/>
  <c r="AM26" i="22"/>
  <c r="AK26" i="22"/>
  <c r="J26" i="22"/>
  <c r="BH25" i="22"/>
  <c r="BI25" i="22" s="1"/>
  <c r="BE25" i="22"/>
  <c r="BD25" i="22"/>
  <c r="AZ25" i="22"/>
  <c r="AY25" i="22"/>
  <c r="BA25" i="22" s="1"/>
  <c r="AQ25" i="22"/>
  <c r="AR25" i="22" s="1"/>
  <c r="AP25" i="22"/>
  <c r="AN25" i="22"/>
  <c r="AM25" i="22"/>
  <c r="AK25" i="22"/>
  <c r="J25" i="22"/>
  <c r="BH24" i="22"/>
  <c r="BI24" i="22" s="1"/>
  <c r="BE24" i="22"/>
  <c r="BD24" i="22"/>
  <c r="AZ24" i="22"/>
  <c r="AY24" i="22"/>
  <c r="AR24" i="22"/>
  <c r="AQ24" i="22"/>
  <c r="AP24" i="22"/>
  <c r="AN24" i="22"/>
  <c r="AM24" i="22"/>
  <c r="AK24" i="22"/>
  <c r="J24" i="22"/>
  <c r="BH23" i="22"/>
  <c r="BI23" i="22" s="1"/>
  <c r="BE23" i="22"/>
  <c r="BD23" i="22"/>
  <c r="AZ23" i="22"/>
  <c r="AY23" i="22"/>
  <c r="BA23" i="22" s="1"/>
  <c r="AQ23" i="22"/>
  <c r="AR23" i="22" s="1"/>
  <c r="AP23" i="22"/>
  <c r="AN23" i="22"/>
  <c r="AM23" i="22"/>
  <c r="AK23" i="22"/>
  <c r="J23" i="22"/>
  <c r="BH22" i="22"/>
  <c r="BI22" i="22" s="1"/>
  <c r="BE22" i="22"/>
  <c r="BD22" i="22"/>
  <c r="AZ22" i="22"/>
  <c r="BA22" i="22" s="1"/>
  <c r="AY22" i="22"/>
  <c r="AR22" i="22"/>
  <c r="AQ22" i="22"/>
  <c r="AN22" i="22"/>
  <c r="AM22" i="22"/>
  <c r="AP22" i="22" s="1"/>
  <c r="AL22" i="22"/>
  <c r="AK22" i="22"/>
  <c r="J22" i="22"/>
  <c r="BH21" i="22"/>
  <c r="BI21" i="22" s="1"/>
  <c r="BE21" i="22"/>
  <c r="BD21" i="22"/>
  <c r="AZ21" i="22"/>
  <c r="BA21" i="22" s="1"/>
  <c r="AY21" i="22"/>
  <c r="AR21" i="22"/>
  <c r="AQ21" i="22"/>
  <c r="AN21" i="22"/>
  <c r="AM21" i="22"/>
  <c r="AP21" i="22" s="1"/>
  <c r="AL21" i="22"/>
  <c r="AK21" i="22"/>
  <c r="J21" i="22"/>
  <c r="BH20" i="22"/>
  <c r="BI20" i="22" s="1"/>
  <c r="BE20" i="22"/>
  <c r="BD20" i="22"/>
  <c r="AZ20" i="22"/>
  <c r="BA20" i="22" s="1"/>
  <c r="AY20" i="22"/>
  <c r="AR20" i="22"/>
  <c r="AQ20" i="22"/>
  <c r="AN20" i="22"/>
  <c r="AM20" i="22"/>
  <c r="AP20" i="22" s="1"/>
  <c r="AK20" i="22"/>
  <c r="AD20" i="22"/>
  <c r="W20" i="22"/>
  <c r="J20" i="22"/>
  <c r="BH19" i="22"/>
  <c r="BI19" i="22" s="1"/>
  <c r="BE19" i="22"/>
  <c r="BD19" i="22"/>
  <c r="BA19" i="22"/>
  <c r="AZ19" i="22"/>
  <c r="AY19" i="22"/>
  <c r="AR19" i="22"/>
  <c r="AQ19" i="22"/>
  <c r="AN19" i="22"/>
  <c r="AM19" i="22"/>
  <c r="AP19" i="22" s="1"/>
  <c r="AK19" i="22"/>
  <c r="AD19" i="22"/>
  <c r="W19" i="22"/>
  <c r="X19" i="22" s="1"/>
  <c r="J19" i="22"/>
  <c r="BH18" i="22"/>
  <c r="BI18" i="22" s="1"/>
  <c r="BE18" i="22"/>
  <c r="BD18" i="22"/>
  <c r="AZ18" i="22"/>
  <c r="BA18" i="22" s="1"/>
  <c r="AY18" i="22"/>
  <c r="AQ18" i="22"/>
  <c r="AR18" i="22" s="1"/>
  <c r="AN18" i="22"/>
  <c r="AP18" i="22" s="1"/>
  <c r="AM18" i="22"/>
  <c r="AK18" i="22"/>
  <c r="W18" i="22"/>
  <c r="X18" i="22" s="1"/>
  <c r="Y18" i="22" s="1"/>
  <c r="J18" i="22"/>
  <c r="BH17" i="22"/>
  <c r="BI17" i="22" s="1"/>
  <c r="BE17" i="22"/>
  <c r="BD17" i="22"/>
  <c r="BA17" i="22"/>
  <c r="AZ17" i="22"/>
  <c r="AY17" i="22"/>
  <c r="AQ17" i="22"/>
  <c r="AR17" i="22" s="1"/>
  <c r="AP17" i="22"/>
  <c r="AN17" i="22"/>
  <c r="AM17" i="22"/>
  <c r="AK17" i="22"/>
  <c r="J17" i="22"/>
  <c r="B17" i="22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H16" i="22"/>
  <c r="BI16" i="22" s="1"/>
  <c r="BE16" i="22"/>
  <c r="BD16" i="22"/>
  <c r="AZ16" i="22"/>
  <c r="BA16" i="22" s="1"/>
  <c r="AY16" i="22"/>
  <c r="AQ16" i="22"/>
  <c r="AR16" i="22" s="1"/>
  <c r="AP16" i="22"/>
  <c r="AN16" i="22"/>
  <c r="AM16" i="22"/>
  <c r="AL16" i="22"/>
  <c r="AK16" i="22"/>
  <c r="AO16" i="22" s="1"/>
  <c r="J16" i="22"/>
  <c r="B16" i="22"/>
  <c r="BH15" i="22"/>
  <c r="BI15" i="22" s="1"/>
  <c r="BE15" i="22"/>
  <c r="BD15" i="22"/>
  <c r="AZ15" i="22"/>
  <c r="BA15" i="22" s="1"/>
  <c r="AY15" i="22"/>
  <c r="AR15" i="22"/>
  <c r="AQ15" i="22"/>
  <c r="AP15" i="22"/>
  <c r="AN15" i="22"/>
  <c r="AM15" i="22"/>
  <c r="AK15" i="22"/>
  <c r="J15" i="22"/>
  <c r="AI14" i="22"/>
  <c r="AH14" i="22"/>
  <c r="AA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AL13" i="22"/>
  <c r="AL20" i="22" s="1"/>
  <c r="AH12" i="22"/>
  <c r="AA12" i="22"/>
  <c r="AF12" i="22" s="1"/>
  <c r="AG12" i="22" s="1"/>
  <c r="P12" i="22"/>
  <c r="B12" i="22"/>
  <c r="T12" i="22" s="1"/>
  <c r="AH11" i="22"/>
  <c r="AD11" i="22"/>
  <c r="AD18" i="22" s="1"/>
  <c r="W11" i="22"/>
  <c r="W26" i="22" s="1"/>
  <c r="AI10" i="22"/>
  <c r="T10" i="22"/>
  <c r="O10" i="22"/>
  <c r="K10" i="22"/>
  <c r="AI7" i="22"/>
  <c r="T7" i="22"/>
  <c r="O7" i="22"/>
  <c r="K7" i="22"/>
  <c r="AH4" i="22"/>
  <c r="T4" i="22"/>
  <c r="R4" i="22"/>
  <c r="AM2" i="22"/>
  <c r="AH2" i="22"/>
  <c r="AC62" i="21"/>
  <c r="AD62" i="21" s="1"/>
  <c r="AC61" i="21"/>
  <c r="AC60" i="21"/>
  <c r="AC59" i="21"/>
  <c r="AC56" i="21"/>
  <c r="AC55" i="21"/>
  <c r="AC54" i="21"/>
  <c r="AD54" i="21" s="1"/>
  <c r="AC53" i="21"/>
  <c r="AD53" i="21" s="1"/>
  <c r="AC50" i="21"/>
  <c r="AD50" i="21" s="1"/>
  <c r="AC49" i="21"/>
  <c r="AC48" i="21"/>
  <c r="AC47" i="21"/>
  <c r="AC44" i="21"/>
  <c r="AC43" i="21"/>
  <c r="AC42" i="21"/>
  <c r="AC41" i="21"/>
  <c r="AC38" i="21"/>
  <c r="AC37" i="21"/>
  <c r="AC36" i="21"/>
  <c r="AC35" i="21"/>
  <c r="AD35" i="21"/>
  <c r="AC32" i="21"/>
  <c r="AC31" i="21"/>
  <c r="AC30" i="21"/>
  <c r="AC29" i="21"/>
  <c r="AC26" i="21"/>
  <c r="AC25" i="21"/>
  <c r="AC24" i="21"/>
  <c r="AC20" i="21"/>
  <c r="AD20" i="21" s="1"/>
  <c r="AC19" i="21"/>
  <c r="AC18" i="21"/>
  <c r="AC23" i="21"/>
  <c r="AD18" i="21"/>
  <c r="AC17" i="21"/>
  <c r="AD17" i="21"/>
  <c r="AE17" i="21" s="1"/>
  <c r="AC17" i="18"/>
  <c r="AD11" i="21"/>
  <c r="AD61" i="21"/>
  <c r="AD60" i="21"/>
  <c r="AD55" i="21"/>
  <c r="AD48" i="21"/>
  <c r="AD47" i="21"/>
  <c r="AD44" i="21"/>
  <c r="AD43" i="21"/>
  <c r="AD41" i="21"/>
  <c r="AD38" i="21"/>
  <c r="AD37" i="21"/>
  <c r="AD36" i="21"/>
  <c r="AD32" i="21"/>
  <c r="AD31" i="21"/>
  <c r="AD30" i="21"/>
  <c r="AD29" i="21"/>
  <c r="AD26" i="21"/>
  <c r="AD25" i="21"/>
  <c r="AD24" i="21"/>
  <c r="AD23" i="21"/>
  <c r="AD19" i="21"/>
  <c r="AF12" i="21"/>
  <c r="AG12" i="21" s="1"/>
  <c r="AB12" i="21"/>
  <c r="AD59" i="21"/>
  <c r="W11" i="21"/>
  <c r="W23" i="21" s="1"/>
  <c r="W11" i="18"/>
  <c r="V62" i="21"/>
  <c r="V61" i="21"/>
  <c r="V60" i="21"/>
  <c r="W60" i="21" s="1"/>
  <c r="V59" i="21"/>
  <c r="V55" i="21"/>
  <c r="V54" i="21"/>
  <c r="W54" i="21" s="1"/>
  <c r="V53" i="21"/>
  <c r="W53" i="21" s="1"/>
  <c r="V50" i="21"/>
  <c r="W50" i="21" s="1"/>
  <c r="V48" i="21"/>
  <c r="V47" i="21"/>
  <c r="V44" i="21"/>
  <c r="W44" i="21" s="1"/>
  <c r="V43" i="21"/>
  <c r="V42" i="21"/>
  <c r="V41" i="21"/>
  <c r="V38" i="21"/>
  <c r="W38" i="21" s="1"/>
  <c r="V37" i="21"/>
  <c r="W37" i="21" s="1"/>
  <c r="V36" i="21"/>
  <c r="V35" i="21"/>
  <c r="V32" i="21"/>
  <c r="W32" i="21" s="1"/>
  <c r="V31" i="21"/>
  <c r="W31" i="21" s="1"/>
  <c r="V30" i="21"/>
  <c r="V29" i="21"/>
  <c r="W29" i="21" s="1"/>
  <c r="V26" i="21"/>
  <c r="W26" i="21" s="1"/>
  <c r="V25" i="21"/>
  <c r="W25" i="21" s="1"/>
  <c r="V24" i="21"/>
  <c r="V20" i="21"/>
  <c r="V19" i="21"/>
  <c r="V18" i="21"/>
  <c r="AA76" i="21"/>
  <c r="D75" i="21"/>
  <c r="B75" i="21"/>
  <c r="AI74" i="21"/>
  <c r="B74" i="21"/>
  <c r="AH73" i="21"/>
  <c r="B73" i="21"/>
  <c r="AH72" i="21"/>
  <c r="B72" i="21"/>
  <c r="AH71" i="21"/>
  <c r="B71" i="21"/>
  <c r="AK70" i="21"/>
  <c r="AH70" i="21"/>
  <c r="B70" i="21"/>
  <c r="AL69" i="21"/>
  <c r="AK69" i="21"/>
  <c r="B69" i="21"/>
  <c r="AI67" i="21"/>
  <c r="AI66" i="21"/>
  <c r="AI65" i="21"/>
  <c r="B65" i="21"/>
  <c r="B66" i="21" s="1"/>
  <c r="B67" i="21" s="1"/>
  <c r="AI64" i="21"/>
  <c r="D63" i="21"/>
  <c r="C63" i="21"/>
  <c r="B63" i="21"/>
  <c r="BH62" i="21"/>
  <c r="BI62" i="21" s="1"/>
  <c r="BE62" i="21"/>
  <c r="BD62" i="21"/>
  <c r="AZ62" i="21"/>
  <c r="AY62" i="21"/>
  <c r="AQ62" i="21"/>
  <c r="AN62" i="21"/>
  <c r="AM62" i="21"/>
  <c r="AK62" i="21"/>
  <c r="J62" i="21"/>
  <c r="BH61" i="21"/>
  <c r="BI61" i="21" s="1"/>
  <c r="BE61" i="21"/>
  <c r="BD61" i="21"/>
  <c r="AZ61" i="21"/>
  <c r="AY61" i="21"/>
  <c r="AQ61" i="21"/>
  <c r="AN61" i="21"/>
  <c r="AM61" i="21"/>
  <c r="AK61" i="21"/>
  <c r="J61" i="21"/>
  <c r="BH60" i="21"/>
  <c r="BI60" i="21" s="1"/>
  <c r="BE60" i="21"/>
  <c r="BD60" i="21"/>
  <c r="AZ60" i="21"/>
  <c r="AY60" i="21"/>
  <c r="AQ60" i="21"/>
  <c r="AN60" i="21"/>
  <c r="AM60" i="21"/>
  <c r="AK60" i="21"/>
  <c r="J60" i="21"/>
  <c r="BH59" i="21"/>
  <c r="BI59" i="21" s="1"/>
  <c r="BE59" i="21"/>
  <c r="BD59" i="21"/>
  <c r="AZ59" i="21"/>
  <c r="AY59" i="21"/>
  <c r="AQ59" i="21"/>
  <c r="AN59" i="21"/>
  <c r="AM59" i="21"/>
  <c r="AK59" i="21"/>
  <c r="J59" i="21"/>
  <c r="BH58" i="21"/>
  <c r="BI58" i="21" s="1"/>
  <c r="BE58" i="21"/>
  <c r="BD58" i="21"/>
  <c r="AZ58" i="21"/>
  <c r="AY58" i="21"/>
  <c r="AQ58" i="21"/>
  <c r="AN58" i="21"/>
  <c r="AM58" i="21"/>
  <c r="AK58" i="21"/>
  <c r="J58" i="21"/>
  <c r="BH57" i="21"/>
  <c r="BI57" i="21" s="1"/>
  <c r="BE57" i="21"/>
  <c r="BD57" i="21"/>
  <c r="AZ57" i="21"/>
  <c r="AY57" i="21"/>
  <c r="AQ57" i="21"/>
  <c r="AN57" i="21"/>
  <c r="AM57" i="21"/>
  <c r="AK57" i="21"/>
  <c r="J57" i="21"/>
  <c r="BH56" i="21"/>
  <c r="BI56" i="21" s="1"/>
  <c r="BE56" i="21"/>
  <c r="BD56" i="21"/>
  <c r="AZ56" i="21"/>
  <c r="AY56" i="21"/>
  <c r="AQ56" i="21"/>
  <c r="AN56" i="21"/>
  <c r="AM56" i="21"/>
  <c r="AK56" i="21"/>
  <c r="J56" i="21"/>
  <c r="BH55" i="21"/>
  <c r="BI55" i="21" s="1"/>
  <c r="BE55" i="21"/>
  <c r="BD55" i="21"/>
  <c r="AZ55" i="21"/>
  <c r="AY55" i="21"/>
  <c r="AQ55" i="21"/>
  <c r="AN55" i="21"/>
  <c r="AM55" i="21"/>
  <c r="AK55" i="21"/>
  <c r="J55" i="21"/>
  <c r="BH54" i="21"/>
  <c r="BI54" i="21" s="1"/>
  <c r="BE54" i="21"/>
  <c r="BD54" i="21"/>
  <c r="AZ54" i="21"/>
  <c r="AY54" i="21"/>
  <c r="AQ54" i="21"/>
  <c r="AN54" i="21"/>
  <c r="AM54" i="21"/>
  <c r="AK54" i="21"/>
  <c r="J54" i="21"/>
  <c r="BH53" i="21"/>
  <c r="BI53" i="21" s="1"/>
  <c r="BE53" i="21"/>
  <c r="BD53" i="21"/>
  <c r="AZ53" i="21"/>
  <c r="AY53" i="21"/>
  <c r="AQ53" i="21"/>
  <c r="AN53" i="21"/>
  <c r="AM53" i="21"/>
  <c r="AK53" i="21"/>
  <c r="J53" i="21"/>
  <c r="BH52" i="21"/>
  <c r="BI52" i="21" s="1"/>
  <c r="BE52" i="21"/>
  <c r="BD52" i="21"/>
  <c r="AZ52" i="21"/>
  <c r="AY52" i="21"/>
  <c r="AQ52" i="21"/>
  <c r="AN52" i="21"/>
  <c r="AM52" i="21"/>
  <c r="AK52" i="21"/>
  <c r="J52" i="21"/>
  <c r="BH51" i="21"/>
  <c r="BI51" i="21" s="1"/>
  <c r="BE51" i="21"/>
  <c r="BD51" i="21"/>
  <c r="AZ51" i="21"/>
  <c r="AY51" i="21"/>
  <c r="AQ51" i="21"/>
  <c r="AN51" i="21"/>
  <c r="AM51" i="21"/>
  <c r="AK51" i="21"/>
  <c r="J51" i="21"/>
  <c r="BH50" i="21"/>
  <c r="BI50" i="21" s="1"/>
  <c r="BE50" i="21"/>
  <c r="BD50" i="21"/>
  <c r="AZ50" i="21"/>
  <c r="AY50" i="21"/>
  <c r="AQ50" i="21"/>
  <c r="AN50" i="21"/>
  <c r="AM50" i="21"/>
  <c r="AK50" i="21"/>
  <c r="J50" i="21"/>
  <c r="BH49" i="21"/>
  <c r="BI49" i="21" s="1"/>
  <c r="BE49" i="21"/>
  <c r="BD49" i="21"/>
  <c r="AZ49" i="21"/>
  <c r="AY49" i="21"/>
  <c r="AQ49" i="21"/>
  <c r="AN49" i="21"/>
  <c r="AM49" i="21"/>
  <c r="AK49" i="21"/>
  <c r="J49" i="21"/>
  <c r="BH48" i="21"/>
  <c r="BI48" i="21" s="1"/>
  <c r="BE48" i="21"/>
  <c r="BD48" i="21"/>
  <c r="AZ48" i="21"/>
  <c r="AY48" i="21"/>
  <c r="AQ48" i="21"/>
  <c r="AN48" i="21"/>
  <c r="AM48" i="21"/>
  <c r="AK48" i="21"/>
  <c r="J48" i="21"/>
  <c r="BH47" i="21"/>
  <c r="BI47" i="21" s="1"/>
  <c r="BE47" i="21"/>
  <c r="BD47" i="21"/>
  <c r="AZ47" i="21"/>
  <c r="AY47" i="21"/>
  <c r="AQ47" i="21"/>
  <c r="AN47" i="21"/>
  <c r="AM47" i="21"/>
  <c r="AK47" i="21"/>
  <c r="J47" i="21"/>
  <c r="BH46" i="21"/>
  <c r="BI46" i="21" s="1"/>
  <c r="BE46" i="21"/>
  <c r="BD46" i="21"/>
  <c r="AZ46" i="21"/>
  <c r="AY46" i="21"/>
  <c r="AQ46" i="21"/>
  <c r="AN46" i="21"/>
  <c r="AM46" i="21"/>
  <c r="AK46" i="21"/>
  <c r="J46" i="21"/>
  <c r="BH45" i="21"/>
  <c r="BI45" i="21" s="1"/>
  <c r="BE45" i="21"/>
  <c r="BD45" i="21"/>
  <c r="AZ45" i="21"/>
  <c r="AY45" i="21"/>
  <c r="AQ45" i="21"/>
  <c r="AN45" i="21"/>
  <c r="AM45" i="21"/>
  <c r="AK45" i="21"/>
  <c r="J45" i="21"/>
  <c r="BH44" i="21"/>
  <c r="BI44" i="21" s="1"/>
  <c r="BE44" i="21"/>
  <c r="BD44" i="21"/>
  <c r="AZ44" i="21"/>
  <c r="AY44" i="21"/>
  <c r="AQ44" i="21"/>
  <c r="AN44" i="21"/>
  <c r="AM44" i="21"/>
  <c r="AK44" i="21"/>
  <c r="J44" i="21"/>
  <c r="BH43" i="21"/>
  <c r="BI43" i="21" s="1"/>
  <c r="BE43" i="21"/>
  <c r="BD43" i="21"/>
  <c r="AZ43" i="21"/>
  <c r="AY43" i="21"/>
  <c r="AQ43" i="21"/>
  <c r="AN43" i="21"/>
  <c r="AM43" i="21"/>
  <c r="AK43" i="21"/>
  <c r="J43" i="21"/>
  <c r="BH42" i="21"/>
  <c r="BI42" i="21" s="1"/>
  <c r="BE42" i="21"/>
  <c r="BD42" i="21"/>
  <c r="AZ42" i="21"/>
  <c r="AY42" i="21"/>
  <c r="AQ42" i="21"/>
  <c r="AN42" i="21"/>
  <c r="AM42" i="21"/>
  <c r="AK42" i="21"/>
  <c r="J42" i="21"/>
  <c r="BH41" i="21"/>
  <c r="BI41" i="21" s="1"/>
  <c r="BE41" i="21"/>
  <c r="BD41" i="21"/>
  <c r="AZ41" i="21"/>
  <c r="AY41" i="21"/>
  <c r="AQ41" i="21"/>
  <c r="AN41" i="21"/>
  <c r="AM41" i="21"/>
  <c r="AK41" i="21"/>
  <c r="J41" i="21"/>
  <c r="BH40" i="21"/>
  <c r="BI40" i="21" s="1"/>
  <c r="BE40" i="21"/>
  <c r="BD40" i="21"/>
  <c r="AZ40" i="21"/>
  <c r="AY40" i="21"/>
  <c r="AQ40" i="21"/>
  <c r="AN40" i="21"/>
  <c r="AM40" i="21"/>
  <c r="AK40" i="21"/>
  <c r="J40" i="21"/>
  <c r="BH39" i="21"/>
  <c r="BI39" i="21" s="1"/>
  <c r="BE39" i="21"/>
  <c r="BD39" i="21"/>
  <c r="AZ39" i="21"/>
  <c r="AY39" i="21"/>
  <c r="AQ39" i="21"/>
  <c r="AN39" i="21"/>
  <c r="AM39" i="21"/>
  <c r="AK39" i="21"/>
  <c r="J39" i="21"/>
  <c r="BH38" i="21"/>
  <c r="BI38" i="21" s="1"/>
  <c r="BE38" i="21"/>
  <c r="BD38" i="21"/>
  <c r="AZ38" i="21"/>
  <c r="AY38" i="21"/>
  <c r="AQ38" i="21"/>
  <c r="AR38" i="21" s="1"/>
  <c r="AN38" i="21"/>
  <c r="AM38" i="21"/>
  <c r="AK38" i="21"/>
  <c r="J38" i="21"/>
  <c r="BH37" i="21"/>
  <c r="BI37" i="21" s="1"/>
  <c r="BE37" i="21"/>
  <c r="BD37" i="21"/>
  <c r="AZ37" i="21"/>
  <c r="AY37" i="21"/>
  <c r="AQ37" i="21"/>
  <c r="AR37" i="21" s="1"/>
  <c r="AN37" i="21"/>
  <c r="AM37" i="21"/>
  <c r="AK37" i="21"/>
  <c r="J37" i="21"/>
  <c r="BH36" i="21"/>
  <c r="BI36" i="21" s="1"/>
  <c r="BE36" i="21"/>
  <c r="BD36" i="21"/>
  <c r="AZ36" i="21"/>
  <c r="AY36" i="21"/>
  <c r="AQ36" i="21"/>
  <c r="AR36" i="21" s="1"/>
  <c r="AN36" i="21"/>
  <c r="AM36" i="21"/>
  <c r="AK36" i="21"/>
  <c r="J36" i="21"/>
  <c r="BH35" i="21"/>
  <c r="BI35" i="21" s="1"/>
  <c r="BE35" i="21"/>
  <c r="BD35" i="21"/>
  <c r="AZ35" i="21"/>
  <c r="AY35" i="21"/>
  <c r="AQ35" i="21"/>
  <c r="AR35" i="21" s="1"/>
  <c r="AN35" i="21"/>
  <c r="AM35" i="21"/>
  <c r="AK35" i="21"/>
  <c r="J35" i="21"/>
  <c r="BH34" i="21"/>
  <c r="BI34" i="21" s="1"/>
  <c r="BE34" i="21"/>
  <c r="BD34" i="21"/>
  <c r="AZ34" i="21"/>
  <c r="AY34" i="21"/>
  <c r="AQ34" i="21"/>
  <c r="AR34" i="21" s="1"/>
  <c r="AN34" i="21"/>
  <c r="AM34" i="21"/>
  <c r="AK34" i="21"/>
  <c r="J34" i="21"/>
  <c r="BH33" i="21"/>
  <c r="BI33" i="21" s="1"/>
  <c r="BE33" i="21"/>
  <c r="BD33" i="21"/>
  <c r="AZ33" i="21"/>
  <c r="AY33" i="21"/>
  <c r="AQ33" i="21"/>
  <c r="AR33" i="21" s="1"/>
  <c r="AN33" i="21"/>
  <c r="AM33" i="21"/>
  <c r="AK33" i="21"/>
  <c r="J33" i="21"/>
  <c r="BH32" i="21"/>
  <c r="BI32" i="21" s="1"/>
  <c r="BE32" i="21"/>
  <c r="BD32" i="21"/>
  <c r="AZ32" i="21"/>
  <c r="AY32" i="21"/>
  <c r="AQ32" i="21"/>
  <c r="AR32" i="21" s="1"/>
  <c r="AN32" i="21"/>
  <c r="AM32" i="21"/>
  <c r="AK32" i="21"/>
  <c r="J32" i="21"/>
  <c r="BH31" i="21"/>
  <c r="BI31" i="21" s="1"/>
  <c r="BE31" i="21"/>
  <c r="BD31" i="21"/>
  <c r="AZ31" i="21"/>
  <c r="AY31" i="21"/>
  <c r="AQ31" i="21"/>
  <c r="AR31" i="21" s="1"/>
  <c r="AN31" i="21"/>
  <c r="AM31" i="21"/>
  <c r="AK31" i="21"/>
  <c r="J31" i="21"/>
  <c r="BH30" i="21"/>
  <c r="BI30" i="21" s="1"/>
  <c r="BE30" i="21"/>
  <c r="BD30" i="21"/>
  <c r="AZ30" i="21"/>
  <c r="AY30" i="21"/>
  <c r="AQ30" i="21"/>
  <c r="AR30" i="21" s="1"/>
  <c r="AN30" i="21"/>
  <c r="AM30" i="21"/>
  <c r="AK30" i="21"/>
  <c r="J30" i="21"/>
  <c r="BH29" i="21"/>
  <c r="BI29" i="21" s="1"/>
  <c r="BE29" i="21"/>
  <c r="BD29" i="21"/>
  <c r="AZ29" i="21"/>
  <c r="AY29" i="21"/>
  <c r="AQ29" i="21"/>
  <c r="AR29" i="21" s="1"/>
  <c r="AN29" i="21"/>
  <c r="AM29" i="21"/>
  <c r="AK29" i="21"/>
  <c r="J29" i="21"/>
  <c r="BH28" i="21"/>
  <c r="BI28" i="21" s="1"/>
  <c r="BE28" i="21"/>
  <c r="BD28" i="21"/>
  <c r="AZ28" i="21"/>
  <c r="AY28" i="21"/>
  <c r="AQ28" i="21"/>
  <c r="AR28" i="21" s="1"/>
  <c r="AN28" i="21"/>
  <c r="AM28" i="21"/>
  <c r="AK28" i="21"/>
  <c r="J28" i="21"/>
  <c r="BH27" i="21"/>
  <c r="BI27" i="21" s="1"/>
  <c r="BE27" i="21"/>
  <c r="BD27" i="21"/>
  <c r="AZ27" i="21"/>
  <c r="AY27" i="21"/>
  <c r="AQ27" i="21"/>
  <c r="AR27" i="21" s="1"/>
  <c r="AN27" i="21"/>
  <c r="AM27" i="21"/>
  <c r="AK27" i="21"/>
  <c r="J27" i="21"/>
  <c r="BH26" i="21"/>
  <c r="BI26" i="21" s="1"/>
  <c r="BE26" i="21"/>
  <c r="BD26" i="21"/>
  <c r="AZ26" i="21"/>
  <c r="AY26" i="21"/>
  <c r="AQ26" i="21"/>
  <c r="AR26" i="21" s="1"/>
  <c r="AN26" i="21"/>
  <c r="AM26" i="21"/>
  <c r="AK26" i="21"/>
  <c r="J26" i="21"/>
  <c r="BH25" i="21"/>
  <c r="BI25" i="21" s="1"/>
  <c r="BE25" i="21"/>
  <c r="BD25" i="21"/>
  <c r="AZ25" i="21"/>
  <c r="AY25" i="21"/>
  <c r="AQ25" i="21"/>
  <c r="AR25" i="21" s="1"/>
  <c r="AN25" i="21"/>
  <c r="AM25" i="21"/>
  <c r="AK25" i="21"/>
  <c r="J25" i="21"/>
  <c r="BH24" i="21"/>
  <c r="BI24" i="21" s="1"/>
  <c r="BE24" i="21"/>
  <c r="BD24" i="21"/>
  <c r="AZ24" i="21"/>
  <c r="AY24" i="21"/>
  <c r="AQ24" i="21"/>
  <c r="AR24" i="21" s="1"/>
  <c r="AN24" i="21"/>
  <c r="AM24" i="21"/>
  <c r="AK24" i="21"/>
  <c r="J24" i="21"/>
  <c r="BH23" i="21"/>
  <c r="BI23" i="21" s="1"/>
  <c r="BE23" i="21"/>
  <c r="BD23" i="21"/>
  <c r="AZ23" i="21"/>
  <c r="AY23" i="21"/>
  <c r="AQ23" i="21"/>
  <c r="AR23" i="21" s="1"/>
  <c r="AN23" i="21"/>
  <c r="AM23" i="21"/>
  <c r="AK23" i="21"/>
  <c r="J23" i="21"/>
  <c r="BH22" i="21"/>
  <c r="BI22" i="21" s="1"/>
  <c r="BE22" i="21"/>
  <c r="BD22" i="21"/>
  <c r="AZ22" i="21"/>
  <c r="AY22" i="21"/>
  <c r="AQ22" i="21"/>
  <c r="AR22" i="21" s="1"/>
  <c r="AN22" i="21"/>
  <c r="AM22" i="21"/>
  <c r="AK22" i="21"/>
  <c r="J22" i="21"/>
  <c r="BH21" i="21"/>
  <c r="BI21" i="21" s="1"/>
  <c r="BE21" i="21"/>
  <c r="BD21" i="21"/>
  <c r="AZ21" i="21"/>
  <c r="AY21" i="21"/>
  <c r="AQ21" i="21"/>
  <c r="AR21" i="21" s="1"/>
  <c r="AN21" i="21"/>
  <c r="AM21" i="21"/>
  <c r="AK21" i="21"/>
  <c r="J21" i="21"/>
  <c r="BH20" i="21"/>
  <c r="BI20" i="21" s="1"/>
  <c r="BE20" i="21"/>
  <c r="BD20" i="21"/>
  <c r="AZ20" i="21"/>
  <c r="AY20" i="21"/>
  <c r="AQ20" i="21"/>
  <c r="AR20" i="21" s="1"/>
  <c r="AN20" i="21"/>
  <c r="AM20" i="21"/>
  <c r="AK20" i="21"/>
  <c r="J20" i="21"/>
  <c r="BH19" i="21"/>
  <c r="BI19" i="21" s="1"/>
  <c r="BE19" i="21"/>
  <c r="BD19" i="21"/>
  <c r="AZ19" i="21"/>
  <c r="AY19" i="21"/>
  <c r="AQ19" i="21"/>
  <c r="AR19" i="21" s="1"/>
  <c r="AN19" i="21"/>
  <c r="AM19" i="21"/>
  <c r="AK19" i="21"/>
  <c r="J19" i="21"/>
  <c r="BH18" i="21"/>
  <c r="BI18" i="21" s="1"/>
  <c r="BE18" i="21"/>
  <c r="BD18" i="21"/>
  <c r="AZ18" i="21"/>
  <c r="AY18" i="21"/>
  <c r="AQ18" i="21"/>
  <c r="AR18" i="21" s="1"/>
  <c r="AN18" i="21"/>
  <c r="AM18" i="21"/>
  <c r="AK18" i="21"/>
  <c r="J18" i="21"/>
  <c r="BH17" i="21"/>
  <c r="BI17" i="21" s="1"/>
  <c r="BE17" i="21"/>
  <c r="BD17" i="21"/>
  <c r="AZ17" i="21"/>
  <c r="AY17" i="21"/>
  <c r="AQ17" i="21"/>
  <c r="AR17" i="21" s="1"/>
  <c r="AN17" i="21"/>
  <c r="AM17" i="21"/>
  <c r="AK17" i="21"/>
  <c r="J17" i="21"/>
  <c r="BH16" i="21"/>
  <c r="BI16" i="21" s="1"/>
  <c r="BE16" i="21"/>
  <c r="BD16" i="21"/>
  <c r="AZ16" i="21"/>
  <c r="AY16" i="21"/>
  <c r="AQ16" i="21"/>
  <c r="AR16" i="21" s="1"/>
  <c r="AN16" i="21"/>
  <c r="AM16" i="21"/>
  <c r="AK16" i="21"/>
  <c r="J16" i="21"/>
  <c r="B16" i="2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H15" i="21"/>
  <c r="BI15" i="21" s="1"/>
  <c r="BE15" i="21"/>
  <c r="BD15" i="21"/>
  <c r="AZ15" i="21"/>
  <c r="AY15" i="21"/>
  <c r="AQ15" i="21"/>
  <c r="AR15" i="21" s="1"/>
  <c r="AN15" i="21"/>
  <c r="AM15" i="21"/>
  <c r="AK15" i="21"/>
  <c r="J15" i="21"/>
  <c r="AI14" i="21"/>
  <c r="AH14" i="21"/>
  <c r="AA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B14" i="21"/>
  <c r="AL13" i="21"/>
  <c r="AL18" i="21" s="1"/>
  <c r="AH12" i="21"/>
  <c r="P12" i="21"/>
  <c r="AA12" i="21" s="1"/>
  <c r="B12" i="21"/>
  <c r="T12" i="21" s="1"/>
  <c r="Y12" i="21" s="1"/>
  <c r="Z12" i="21" s="1"/>
  <c r="AH11" i="21"/>
  <c r="AI10" i="21"/>
  <c r="T10" i="21"/>
  <c r="O10" i="21"/>
  <c r="K10" i="21"/>
  <c r="AI7" i="21"/>
  <c r="T7" i="21"/>
  <c r="O7" i="21"/>
  <c r="K7" i="21"/>
  <c r="AH4" i="21"/>
  <c r="T4" i="21"/>
  <c r="R4" i="21"/>
  <c r="AM2" i="21"/>
  <c r="AH2" i="21"/>
  <c r="Z7" i="20"/>
  <c r="Z31" i="20"/>
  <c r="Z9" i="20"/>
  <c r="AE20" i="22" l="1"/>
  <c r="AF20" i="22" s="1"/>
  <c r="AE19" i="22"/>
  <c r="AF19" i="22" s="1"/>
  <c r="X26" i="22"/>
  <c r="Y26" i="22" s="1"/>
  <c r="AO17" i="22"/>
  <c r="AS16" i="22"/>
  <c r="AT16" i="22" s="1"/>
  <c r="AX16" i="22"/>
  <c r="AF18" i="22"/>
  <c r="AE18" i="22"/>
  <c r="BB16" i="22"/>
  <c r="BC16" i="22" s="1"/>
  <c r="Y12" i="22"/>
  <c r="Z12" i="22" s="1"/>
  <c r="U12" i="22"/>
  <c r="AD26" i="22"/>
  <c r="AO27" i="22"/>
  <c r="AD35" i="22"/>
  <c r="AB12" i="22"/>
  <c r="AL17" i="22"/>
  <c r="AO21" i="22"/>
  <c r="AL23" i="22"/>
  <c r="AO23" i="22" s="1"/>
  <c r="BA24" i="22"/>
  <c r="AP27" i="22"/>
  <c r="AT40" i="22"/>
  <c r="AD17" i="22"/>
  <c r="AO20" i="22"/>
  <c r="AP26" i="22"/>
  <c r="AD59" i="22"/>
  <c r="AD56" i="22"/>
  <c r="AD48" i="22"/>
  <c r="AD47" i="22"/>
  <c r="AD44" i="22"/>
  <c r="AD43" i="22"/>
  <c r="AD60" i="22"/>
  <c r="AD31" i="22"/>
  <c r="AD25" i="22"/>
  <c r="AD42" i="22"/>
  <c r="AD24" i="22"/>
  <c r="AL15" i="22"/>
  <c r="AO15" i="22" s="1"/>
  <c r="W25" i="22"/>
  <c r="W29" i="22"/>
  <c r="AD30" i="22"/>
  <c r="AO33" i="22"/>
  <c r="W37" i="22"/>
  <c r="Y19" i="22"/>
  <c r="AL60" i="22"/>
  <c r="AL47" i="22"/>
  <c r="AL53" i="22"/>
  <c r="AL59" i="22"/>
  <c r="AO59" i="22" s="1"/>
  <c r="AL46" i="22"/>
  <c r="AL45" i="22"/>
  <c r="AO45" i="22" s="1"/>
  <c r="AL52" i="22"/>
  <c r="AO52" i="22" s="1"/>
  <c r="AL51" i="22"/>
  <c r="AO51" i="22" s="1"/>
  <c r="AL50" i="22"/>
  <c r="AO50" i="22" s="1"/>
  <c r="AL62" i="22"/>
  <c r="AO62" i="22" s="1"/>
  <c r="AL58" i="22"/>
  <c r="AO58" i="22" s="1"/>
  <c r="AL57" i="22"/>
  <c r="AO57" i="22" s="1"/>
  <c r="AL56" i="22"/>
  <c r="AO56" i="22" s="1"/>
  <c r="AL43" i="22"/>
  <c r="AO43" i="22" s="1"/>
  <c r="AL55" i="22"/>
  <c r="AO55" i="22" s="1"/>
  <c r="AL49" i="22"/>
  <c r="AO49" i="22" s="1"/>
  <c r="AL61" i="22"/>
  <c r="AL48" i="22"/>
  <c r="AO48" i="22" s="1"/>
  <c r="AL44" i="22"/>
  <c r="AL42" i="22"/>
  <c r="AL41" i="22"/>
  <c r="AO41" i="22" s="1"/>
  <c r="AL40" i="22"/>
  <c r="AO40" i="22" s="1"/>
  <c r="AV40" i="22" s="1"/>
  <c r="AL35" i="22"/>
  <c r="AO35" i="22" s="1"/>
  <c r="AL54" i="22"/>
  <c r="AL39" i="22"/>
  <c r="AL33" i="22"/>
  <c r="AL30" i="22"/>
  <c r="AL28" i="22"/>
  <c r="AO28" i="22" s="1"/>
  <c r="AL27" i="22"/>
  <c r="AL26" i="22"/>
  <c r="AO26" i="22" s="1"/>
  <c r="AL37" i="22"/>
  <c r="AL31" i="22"/>
  <c r="AL36" i="22"/>
  <c r="AO36" i="22" s="1"/>
  <c r="AL25" i="22"/>
  <c r="AO25" i="22" s="1"/>
  <c r="AL32" i="22"/>
  <c r="AO32" i="22" s="1"/>
  <c r="AL18" i="22"/>
  <c r="AO18" i="22" s="1"/>
  <c r="AL24" i="22"/>
  <c r="AO24" i="22" s="1"/>
  <c r="AL34" i="22"/>
  <c r="AO34" i="22" s="1"/>
  <c r="AO30" i="22"/>
  <c r="AD29" i="22"/>
  <c r="W31" i="22"/>
  <c r="AD37" i="22"/>
  <c r="Y20" i="22"/>
  <c r="X20" i="22"/>
  <c r="AD23" i="22"/>
  <c r="W50" i="22"/>
  <c r="W62" i="22"/>
  <c r="W56" i="22"/>
  <c r="W55" i="22"/>
  <c r="W49" i="22"/>
  <c r="W61" i="22"/>
  <c r="W54" i="22"/>
  <c r="W43" i="22"/>
  <c r="W41" i="22"/>
  <c r="W53" i="22"/>
  <c r="W38" i="22"/>
  <c r="W32" i="22"/>
  <c r="W36" i="22"/>
  <c r="W24" i="22"/>
  <c r="W35" i="22"/>
  <c r="W30" i="22"/>
  <c r="W17" i="22"/>
  <c r="W23" i="22"/>
  <c r="AL19" i="22"/>
  <c r="AO19" i="22" s="1"/>
  <c r="AO22" i="22"/>
  <c r="AP28" i="22"/>
  <c r="AO29" i="22"/>
  <c r="BA31" i="22"/>
  <c r="W42" i="22"/>
  <c r="AT41" i="22"/>
  <c r="AT53" i="22"/>
  <c r="W60" i="22"/>
  <c r="AD41" i="22"/>
  <c r="AV49" i="22"/>
  <c r="AU49" i="22"/>
  <c r="AT49" i="22"/>
  <c r="W44" i="22"/>
  <c r="AO31" i="22"/>
  <c r="AD32" i="22"/>
  <c r="AO37" i="22"/>
  <c r="AV39" i="22"/>
  <c r="AD61" i="22"/>
  <c r="AO42" i="22"/>
  <c r="AT47" i="22"/>
  <c r="BA35" i="22"/>
  <c r="AP37" i="22"/>
  <c r="AD38" i="22"/>
  <c r="AO39" i="22"/>
  <c r="AP42" i="22"/>
  <c r="AR42" i="22" s="1"/>
  <c r="AO44" i="22"/>
  <c r="AO54" i="22"/>
  <c r="AD36" i="22"/>
  <c r="AO38" i="22"/>
  <c r="AO46" i="22"/>
  <c r="W47" i="22"/>
  <c r="AV48" i="22"/>
  <c r="AU48" i="22"/>
  <c r="AT48" i="22"/>
  <c r="AD50" i="22"/>
  <c r="AO61" i="22"/>
  <c r="AU39" i="22"/>
  <c r="AR62" i="22"/>
  <c r="AR43" i="22"/>
  <c r="AR44" i="22"/>
  <c r="AD49" i="22"/>
  <c r="AV55" i="22"/>
  <c r="AU55" i="22"/>
  <c r="AT55" i="22"/>
  <c r="AO60" i="22"/>
  <c r="AD53" i="22"/>
  <c r="AD55" i="22"/>
  <c r="W59" i="22"/>
  <c r="AR59" i="22"/>
  <c r="AT60" i="22"/>
  <c r="AV60" i="22"/>
  <c r="AT45" i="22"/>
  <c r="AV46" i="22"/>
  <c r="AT46" i="22"/>
  <c r="W48" i="22"/>
  <c r="AR56" i="22"/>
  <c r="AV61" i="22"/>
  <c r="AU61" i="22"/>
  <c r="AT61" i="22"/>
  <c r="AD62" i="22"/>
  <c r="AO47" i="22"/>
  <c r="AV50" i="22"/>
  <c r="AU50" i="22"/>
  <c r="AT50" i="22"/>
  <c r="AV51" i="22"/>
  <c r="AU51" i="22"/>
  <c r="AT51" i="22"/>
  <c r="AV52" i="22"/>
  <c r="AU52" i="22"/>
  <c r="AT52" i="22"/>
  <c r="AO53" i="22"/>
  <c r="AU53" i="22" s="1"/>
  <c r="AV54" i="22"/>
  <c r="AR57" i="22"/>
  <c r="AD54" i="22"/>
  <c r="AV58" i="22"/>
  <c r="AU58" i="22"/>
  <c r="AT58" i="22"/>
  <c r="AU60" i="22"/>
  <c r="AU54" i="22"/>
  <c r="AF17" i="21"/>
  <c r="AE31" i="21"/>
  <c r="AF31" i="21" s="1"/>
  <c r="AE62" i="21"/>
  <c r="AF62" i="21" s="1"/>
  <c r="AE54" i="21"/>
  <c r="AF54" i="21" s="1"/>
  <c r="AE59" i="21"/>
  <c r="AF59" i="21" s="1"/>
  <c r="AE18" i="21"/>
  <c r="AF18" i="21" s="1"/>
  <c r="AE23" i="21"/>
  <c r="AF23" i="21" s="1"/>
  <c r="AE32" i="21"/>
  <c r="AF32" i="21" s="1"/>
  <c r="AE37" i="21"/>
  <c r="AF37" i="21" s="1"/>
  <c r="AE26" i="21"/>
  <c r="AF26" i="21" s="1"/>
  <c r="AF41" i="21"/>
  <c r="AE41" i="21"/>
  <c r="AE55" i="21"/>
  <c r="AF55" i="21" s="1"/>
  <c r="AE19" i="21"/>
  <c r="AF19" i="21" s="1"/>
  <c r="AE24" i="21"/>
  <c r="AF24" i="21" s="1"/>
  <c r="AE29" i="21"/>
  <c r="AF29" i="21" s="1"/>
  <c r="AE38" i="21"/>
  <c r="AF38" i="21" s="1"/>
  <c r="AE36" i="21"/>
  <c r="AF36" i="21"/>
  <c r="AE47" i="21"/>
  <c r="AF47" i="21" s="1"/>
  <c r="AE48" i="21"/>
  <c r="AF48" i="21" s="1"/>
  <c r="AF20" i="21"/>
  <c r="AE20" i="21"/>
  <c r="AE25" i="21"/>
  <c r="AF25" i="21" s="1"/>
  <c r="AF30" i="21"/>
  <c r="AE30" i="21"/>
  <c r="AE35" i="21"/>
  <c r="AF35" i="21" s="1"/>
  <c r="AE61" i="21"/>
  <c r="AF61" i="21" s="1"/>
  <c r="AE44" i="21"/>
  <c r="AF44" i="21"/>
  <c r="AE43" i="21"/>
  <c r="AF43" i="21" s="1"/>
  <c r="AE50" i="21"/>
  <c r="AF50" i="21" s="1"/>
  <c r="AE53" i="21"/>
  <c r="AF53" i="21" s="1"/>
  <c r="AE60" i="21"/>
  <c r="AF60" i="21" s="1"/>
  <c r="AD42" i="21"/>
  <c r="AD49" i="21"/>
  <c r="AD56" i="21"/>
  <c r="W20" i="21"/>
  <c r="X20" i="21" s="1"/>
  <c r="Y20" i="21" s="1"/>
  <c r="W24" i="21"/>
  <c r="X24" i="21" s="1"/>
  <c r="Y24" i="21" s="1"/>
  <c r="W36" i="21"/>
  <c r="W18" i="21"/>
  <c r="W30" i="21"/>
  <c r="X30" i="21" s="1"/>
  <c r="Y30" i="21" s="1"/>
  <c r="W55" i="21"/>
  <c r="U12" i="21"/>
  <c r="AI72" i="21"/>
  <c r="W47" i="21"/>
  <c r="X47" i="21" s="1"/>
  <c r="Y47" i="21" s="1"/>
  <c r="W62" i="21"/>
  <c r="X62" i="21" s="1"/>
  <c r="Y62" i="21" s="1"/>
  <c r="W35" i="21"/>
  <c r="X26" i="21"/>
  <c r="Y26" i="21" s="1"/>
  <c r="X31" i="21"/>
  <c r="Y31" i="21" s="1"/>
  <c r="X36" i="21"/>
  <c r="Y36" i="21" s="1"/>
  <c r="X50" i="21"/>
  <c r="Y50" i="21" s="1"/>
  <c r="X55" i="21"/>
  <c r="Y55" i="21" s="1"/>
  <c r="X25" i="21"/>
  <c r="Y25" i="21" s="1"/>
  <c r="X54" i="21"/>
  <c r="Y54" i="21" s="1"/>
  <c r="X18" i="21"/>
  <c r="Y18" i="21" s="1"/>
  <c r="X32" i="21"/>
  <c r="Y32" i="21" s="1"/>
  <c r="X37" i="21"/>
  <c r="Y37" i="21" s="1"/>
  <c r="X23" i="21"/>
  <c r="Y23" i="21" s="1"/>
  <c r="X29" i="21"/>
  <c r="Y29" i="21" s="1"/>
  <c r="X38" i="21"/>
  <c r="Y38" i="21" s="1"/>
  <c r="X53" i="21"/>
  <c r="Y53" i="21" s="1"/>
  <c r="X44" i="21"/>
  <c r="Y44" i="21" s="1"/>
  <c r="X60" i="21"/>
  <c r="Y60" i="21" s="1"/>
  <c r="W19" i="21"/>
  <c r="W43" i="21"/>
  <c r="W56" i="21"/>
  <c r="W59" i="21"/>
  <c r="W49" i="21"/>
  <c r="W42" i="21"/>
  <c r="W17" i="21"/>
  <c r="W41" i="21"/>
  <c r="W48" i="21"/>
  <c r="W61" i="21"/>
  <c r="AP53" i="21"/>
  <c r="AR53" i="21" s="1"/>
  <c r="AP60" i="21"/>
  <c r="AR60" i="21" s="1"/>
  <c r="AT60" i="21" s="1"/>
  <c r="AP29" i="21"/>
  <c r="BA62" i="21"/>
  <c r="BA18" i="21"/>
  <c r="BA59" i="21"/>
  <c r="BA29" i="21"/>
  <c r="BA28" i="21"/>
  <c r="BA43" i="21"/>
  <c r="AP44" i="21"/>
  <c r="AR44" i="21" s="1"/>
  <c r="AT44" i="21" s="1"/>
  <c r="AP56" i="21"/>
  <c r="AR56" i="21" s="1"/>
  <c r="AT56" i="21" s="1"/>
  <c r="AP58" i="21"/>
  <c r="AR58" i="21" s="1"/>
  <c r="BA48" i="21"/>
  <c r="BA56" i="21"/>
  <c r="BA22" i="21"/>
  <c r="AP43" i="21"/>
  <c r="AR43" i="21" s="1"/>
  <c r="AT43" i="21" s="1"/>
  <c r="BA57" i="21"/>
  <c r="BA24" i="21"/>
  <c r="AP27" i="21"/>
  <c r="BA35" i="21"/>
  <c r="AP20" i="21"/>
  <c r="AP34" i="21"/>
  <c r="AP40" i="21"/>
  <c r="AR40" i="21" s="1"/>
  <c r="AT40" i="21" s="1"/>
  <c r="BA61" i="21"/>
  <c r="BA30" i="21"/>
  <c r="BA32" i="21"/>
  <c r="AO18" i="21"/>
  <c r="AS18" i="21" s="1"/>
  <c r="AT18" i="21" s="1"/>
  <c r="AP24" i="21"/>
  <c r="BA25" i="21"/>
  <c r="AP55" i="21"/>
  <c r="AR55" i="21" s="1"/>
  <c r="AT55" i="21" s="1"/>
  <c r="AP57" i="21"/>
  <c r="AR57" i="21" s="1"/>
  <c r="AT57" i="21" s="1"/>
  <c r="AP19" i="21"/>
  <c r="BA38" i="21"/>
  <c r="AP46" i="21"/>
  <c r="AR46" i="21" s="1"/>
  <c r="BA47" i="21"/>
  <c r="AP48" i="21"/>
  <c r="AR48" i="21" s="1"/>
  <c r="AT48" i="21" s="1"/>
  <c r="AP50" i="21"/>
  <c r="AR50" i="21" s="1"/>
  <c r="AP17" i="21"/>
  <c r="AP52" i="21"/>
  <c r="AR52" i="21" s="1"/>
  <c r="AT52" i="21" s="1"/>
  <c r="BA53" i="21"/>
  <c r="AP54" i="21"/>
  <c r="AR54" i="21" s="1"/>
  <c r="AT54" i="21" s="1"/>
  <c r="BA23" i="21"/>
  <c r="AP47" i="21"/>
  <c r="AR47" i="21" s="1"/>
  <c r="AT47" i="21" s="1"/>
  <c r="AP22" i="21"/>
  <c r="BA34" i="21"/>
  <c r="AP39" i="21"/>
  <c r="AR39" i="21" s="1"/>
  <c r="AP49" i="21"/>
  <c r="AR49" i="21" s="1"/>
  <c r="AT49" i="21" s="1"/>
  <c r="AP62" i="21"/>
  <c r="AR62" i="21" s="1"/>
  <c r="AP16" i="21"/>
  <c r="BA19" i="21"/>
  <c r="AP26" i="21"/>
  <c r="AP35" i="21"/>
  <c r="AP38" i="21"/>
  <c r="BA58" i="21"/>
  <c r="BA36" i="21"/>
  <c r="BA49" i="21"/>
  <c r="BA60" i="21"/>
  <c r="AP61" i="21"/>
  <c r="AR61" i="21" s="1"/>
  <c r="AT61" i="21" s="1"/>
  <c r="AP28" i="21"/>
  <c r="AP32" i="21"/>
  <c r="BA33" i="21"/>
  <c r="AP37" i="21"/>
  <c r="BA41" i="21"/>
  <c r="BA44" i="21"/>
  <c r="AP18" i="21"/>
  <c r="BA21" i="21"/>
  <c r="AP23" i="21"/>
  <c r="AP30" i="21"/>
  <c r="AP36" i="21"/>
  <c r="BA40" i="21"/>
  <c r="AP42" i="21"/>
  <c r="AR42" i="21" s="1"/>
  <c r="BA52" i="21"/>
  <c r="BA55" i="21"/>
  <c r="AP15" i="21"/>
  <c r="BA20" i="21"/>
  <c r="BA26" i="21"/>
  <c r="BA39" i="21"/>
  <c r="BA45" i="21"/>
  <c r="BA51" i="21"/>
  <c r="AP21" i="21"/>
  <c r="AP33" i="21"/>
  <c r="AP41" i="21"/>
  <c r="AR41" i="21" s="1"/>
  <c r="BA42" i="21"/>
  <c r="BA50" i="21"/>
  <c r="BA54" i="21"/>
  <c r="AP59" i="21"/>
  <c r="AR59" i="21" s="1"/>
  <c r="AT59" i="21" s="1"/>
  <c r="BA15" i="21"/>
  <c r="BA16" i="21"/>
  <c r="BA17" i="21"/>
  <c r="AP31" i="21"/>
  <c r="BA37" i="21"/>
  <c r="AP51" i="21"/>
  <c r="AR51" i="21" s="1"/>
  <c r="AT51" i="21" s="1"/>
  <c r="AP25" i="21"/>
  <c r="AL60" i="21"/>
  <c r="AO60" i="21" s="1"/>
  <c r="AL61" i="21"/>
  <c r="AO61" i="21" s="1"/>
  <c r="AL57" i="21"/>
  <c r="AO57" i="21" s="1"/>
  <c r="AL53" i="21"/>
  <c r="AO53" i="21" s="1"/>
  <c r="AL62" i="21"/>
  <c r="AO62" i="21" s="1"/>
  <c r="AL59" i="21"/>
  <c r="AO59" i="21" s="1"/>
  <c r="AL55" i="21"/>
  <c r="AO55" i="21" s="1"/>
  <c r="AL51" i="21"/>
  <c r="AO51" i="21" s="1"/>
  <c r="AL47" i="21"/>
  <c r="AO47" i="21" s="1"/>
  <c r="AL58" i="21"/>
  <c r="AO58" i="21" s="1"/>
  <c r="AL54" i="21"/>
  <c r="AO54" i="21" s="1"/>
  <c r="AL42" i="21"/>
  <c r="AO42" i="21" s="1"/>
  <c r="AL41" i="21"/>
  <c r="AO41" i="21" s="1"/>
  <c r="AL40" i="21"/>
  <c r="AO40" i="21" s="1"/>
  <c r="AL37" i="21"/>
  <c r="AO37" i="21" s="1"/>
  <c r="AL33" i="21"/>
  <c r="AO33" i="21" s="1"/>
  <c r="AL50" i="21"/>
  <c r="AO50" i="21" s="1"/>
  <c r="AL49" i="21"/>
  <c r="AO49" i="21" s="1"/>
  <c r="AL43" i="21"/>
  <c r="AO43" i="21" s="1"/>
  <c r="AL38" i="21"/>
  <c r="AO38" i="21" s="1"/>
  <c r="AL34" i="21"/>
  <c r="AO34" i="21" s="1"/>
  <c r="AL56" i="21"/>
  <c r="AO56" i="21" s="1"/>
  <c r="AL48" i="21"/>
  <c r="AO48" i="21" s="1"/>
  <c r="AL52" i="21"/>
  <c r="AO52" i="21" s="1"/>
  <c r="AU52" i="21" s="1"/>
  <c r="AL46" i="21"/>
  <c r="AO46" i="21" s="1"/>
  <c r="AL44" i="21"/>
  <c r="AO44" i="21" s="1"/>
  <c r="AL27" i="21"/>
  <c r="AO27" i="21" s="1"/>
  <c r="AL35" i="21"/>
  <c r="AO35" i="21" s="1"/>
  <c r="AL23" i="21"/>
  <c r="AO23" i="21" s="1"/>
  <c r="AL19" i="21"/>
  <c r="AO19" i="21" s="1"/>
  <c r="AL21" i="21"/>
  <c r="AO21" i="21" s="1"/>
  <c r="AL29" i="21"/>
  <c r="AO29" i="21" s="1"/>
  <c r="AL25" i="21"/>
  <c r="AO25" i="21" s="1"/>
  <c r="AL15" i="21"/>
  <c r="AO15" i="21" s="1"/>
  <c r="AL45" i="21"/>
  <c r="AO45" i="21" s="1"/>
  <c r="AL24" i="21"/>
  <c r="AO24" i="21" s="1"/>
  <c r="AL20" i="21"/>
  <c r="AO20" i="21" s="1"/>
  <c r="AL16" i="21"/>
  <c r="AO16" i="21" s="1"/>
  <c r="AL26" i="21"/>
  <c r="AO26" i="21" s="1"/>
  <c r="AL17" i="21"/>
  <c r="AO17" i="21" s="1"/>
  <c r="AL31" i="21"/>
  <c r="AO31" i="21" s="1"/>
  <c r="AL39" i="21"/>
  <c r="AO39" i="21" s="1"/>
  <c r="AL22" i="21"/>
  <c r="AO22" i="21" s="1"/>
  <c r="AL32" i="21"/>
  <c r="AO32" i="21" s="1"/>
  <c r="AL30" i="21"/>
  <c r="AO30" i="21" s="1"/>
  <c r="AL28" i="21"/>
  <c r="AO28" i="21" s="1"/>
  <c r="AL36" i="21"/>
  <c r="AO36" i="21" s="1"/>
  <c r="BA27" i="21"/>
  <c r="BA31" i="21"/>
  <c r="AP45" i="21"/>
  <c r="AR45" i="21" s="1"/>
  <c r="BA46" i="21"/>
  <c r="AU16" i="22" l="1"/>
  <c r="AV16" i="22"/>
  <c r="AS34" i="22"/>
  <c r="AT34" i="22" s="1"/>
  <c r="AX34" i="22"/>
  <c r="BB34" i="22" s="1"/>
  <c r="BC34" i="22" s="1"/>
  <c r="AW40" i="22"/>
  <c r="AS26" i="22"/>
  <c r="AT26" i="22" s="1"/>
  <c r="AX26" i="22"/>
  <c r="BB26" i="22" s="1"/>
  <c r="BC26" i="22" s="1"/>
  <c r="AX45" i="22"/>
  <c r="BB45" i="22" s="1"/>
  <c r="BC45" i="22" s="1"/>
  <c r="AU45" i="22"/>
  <c r="AS45" i="22"/>
  <c r="AV45" i="22"/>
  <c r="AS28" i="22"/>
  <c r="AT28" i="22" s="1"/>
  <c r="AX28" i="22"/>
  <c r="BB28" i="22" s="1"/>
  <c r="BC28" i="22" s="1"/>
  <c r="AT42" i="22"/>
  <c r="AV42" i="22"/>
  <c r="AU42" i="22"/>
  <c r="AX23" i="22"/>
  <c r="BB23" i="22" s="1"/>
  <c r="BC23" i="22" s="1"/>
  <c r="AS23" i="22"/>
  <c r="AT23" i="22" s="1"/>
  <c r="AX15" i="22"/>
  <c r="BB15" i="22" s="1"/>
  <c r="BC15" i="22" s="1"/>
  <c r="AS15" i="22"/>
  <c r="AT15" i="22" s="1"/>
  <c r="X42" i="22"/>
  <c r="Y42" i="22" s="1"/>
  <c r="AW52" i="22"/>
  <c r="AX47" i="22"/>
  <c r="BB47" i="22" s="1"/>
  <c r="BC47" i="22" s="1"/>
  <c r="AS47" i="22"/>
  <c r="X48" i="22"/>
  <c r="Y48" i="22" s="1"/>
  <c r="AV59" i="22"/>
  <c r="AU59" i="22"/>
  <c r="AT59" i="22"/>
  <c r="AE38" i="22"/>
  <c r="AF38" i="22" s="1"/>
  <c r="X23" i="22"/>
  <c r="Y23" i="22" s="1"/>
  <c r="X53" i="22"/>
  <c r="Y53" i="22" s="1"/>
  <c r="X62" i="22"/>
  <c r="Y62" i="22" s="1"/>
  <c r="AS30" i="22"/>
  <c r="AT30" i="22" s="1"/>
  <c r="AX30" i="22"/>
  <c r="BB30" i="22" s="1"/>
  <c r="BC30" i="22" s="1"/>
  <c r="AS49" i="22"/>
  <c r="AX49" i="22"/>
  <c r="BB49" i="22" s="1"/>
  <c r="BC49" i="22" s="1"/>
  <c r="AS51" i="22"/>
  <c r="AX51" i="22"/>
  <c r="BB51" i="22" s="1"/>
  <c r="BC51" i="22" s="1"/>
  <c r="AE44" i="22"/>
  <c r="AF44" i="22"/>
  <c r="AV57" i="22"/>
  <c r="AU57" i="22"/>
  <c r="AT57" i="22"/>
  <c r="AF62" i="22"/>
  <c r="AE62" i="22"/>
  <c r="X59" i="22"/>
  <c r="Y59" i="22" s="1"/>
  <c r="AW55" i="22"/>
  <c r="AV44" i="22"/>
  <c r="AU44" i="22"/>
  <c r="AT44" i="22"/>
  <c r="AS54" i="22"/>
  <c r="AX54" i="22"/>
  <c r="BB54" i="22" s="1"/>
  <c r="BC54" i="22" s="1"/>
  <c r="AW39" i="22"/>
  <c r="AV53" i="22"/>
  <c r="X17" i="22"/>
  <c r="Y17" i="22" s="1"/>
  <c r="X41" i="22"/>
  <c r="Y41" i="22" s="1"/>
  <c r="X50" i="22"/>
  <c r="Y50" i="22" s="1"/>
  <c r="AS35" i="22"/>
  <c r="AT35" i="22" s="1"/>
  <c r="AX35" i="22"/>
  <c r="BB35" i="22" s="1"/>
  <c r="BC35" i="22" s="1"/>
  <c r="AX55" i="22"/>
  <c r="BB55" i="22" s="1"/>
  <c r="BC55" i="22" s="1"/>
  <c r="AS55" i="22"/>
  <c r="AS52" i="22"/>
  <c r="AX52" i="22"/>
  <c r="BB52" i="22" s="1"/>
  <c r="BC52" i="22" s="1"/>
  <c r="AS33" i="22"/>
  <c r="AT33" i="22" s="1"/>
  <c r="AX33" i="22"/>
  <c r="BB33" i="22" s="1"/>
  <c r="BC33" i="22" s="1"/>
  <c r="AE47" i="22"/>
  <c r="AF47" i="22" s="1"/>
  <c r="AE35" i="22"/>
  <c r="AF35" i="22" s="1"/>
  <c r="AW48" i="22"/>
  <c r="AS37" i="22"/>
  <c r="AT37" i="22" s="1"/>
  <c r="AX37" i="22"/>
  <c r="BB37" i="22" s="1"/>
  <c r="BC37" i="22" s="1"/>
  <c r="AE48" i="22"/>
  <c r="AF48" i="22" s="1"/>
  <c r="AU40" i="22"/>
  <c r="Y47" i="22"/>
  <c r="X47" i="22"/>
  <c r="AW49" i="22"/>
  <c r="X35" i="22"/>
  <c r="Y35" i="22" s="1"/>
  <c r="X54" i="22"/>
  <c r="Y54" i="22" s="1"/>
  <c r="X31" i="22"/>
  <c r="Y31" i="22" s="1"/>
  <c r="AX24" i="22"/>
  <c r="AS24" i="22"/>
  <c r="AT24" i="22" s="1"/>
  <c r="AS41" i="22"/>
  <c r="AX41" i="22"/>
  <c r="BB41" i="22" s="1"/>
  <c r="BC41" i="22" s="1"/>
  <c r="AX56" i="22"/>
  <c r="BB56" i="22" s="1"/>
  <c r="BC56" i="22" s="1"/>
  <c r="AS56" i="22"/>
  <c r="AE42" i="22"/>
  <c r="AF42" i="22" s="1"/>
  <c r="AE56" i="22"/>
  <c r="AF56" i="22" s="1"/>
  <c r="AS20" i="22"/>
  <c r="AT20" i="22" s="1"/>
  <c r="AX20" i="22"/>
  <c r="BB20" i="22" s="1"/>
  <c r="BC20" i="22" s="1"/>
  <c r="AE26" i="22"/>
  <c r="AF26" i="22" s="1"/>
  <c r="AE55" i="22"/>
  <c r="AF55" i="22" s="1"/>
  <c r="X43" i="22"/>
  <c r="Y43" i="22" s="1"/>
  <c r="AE54" i="22"/>
  <c r="AF54" i="22" s="1"/>
  <c r="AW54" i="22"/>
  <c r="AW61" i="22"/>
  <c r="AE53" i="22"/>
  <c r="AF53" i="22" s="1"/>
  <c r="AV62" i="22"/>
  <c r="AU62" i="22"/>
  <c r="AT62" i="22"/>
  <c r="AX46" i="22"/>
  <c r="BB46" i="22" s="1"/>
  <c r="BC46" i="22" s="1"/>
  <c r="AU46" i="22"/>
  <c r="AS46" i="22"/>
  <c r="AX44" i="22"/>
  <c r="BB44" i="22" s="1"/>
  <c r="BC44" i="22" s="1"/>
  <c r="AS44" i="22"/>
  <c r="AU47" i="22"/>
  <c r="AE61" i="22"/>
  <c r="AF61" i="22" s="1"/>
  <c r="AE41" i="22"/>
  <c r="AF41" i="22" s="1"/>
  <c r="AS22" i="22"/>
  <c r="AT22" i="22" s="1"/>
  <c r="AX22" i="22"/>
  <c r="BB22" i="22" s="1"/>
  <c r="BC22" i="22" s="1"/>
  <c r="X24" i="22"/>
  <c r="Y24" i="22" s="1"/>
  <c r="X61" i="22"/>
  <c r="Y61" i="22" s="1"/>
  <c r="AS18" i="22"/>
  <c r="AT18" i="22" s="1"/>
  <c r="AX18" i="22"/>
  <c r="BB18" i="22" s="1"/>
  <c r="BC18" i="22" s="1"/>
  <c r="AX57" i="22"/>
  <c r="BB57" i="22" s="1"/>
  <c r="BC57" i="22" s="1"/>
  <c r="AS57" i="22"/>
  <c r="AS59" i="22"/>
  <c r="AX59" i="22"/>
  <c r="BB59" i="22" s="1"/>
  <c r="BC59" i="22" s="1"/>
  <c r="AE30" i="22"/>
  <c r="AF30" i="22" s="1"/>
  <c r="AE25" i="22"/>
  <c r="AF25" i="22" s="1"/>
  <c r="AE59" i="22"/>
  <c r="AF59" i="22" s="1"/>
  <c r="AE17" i="22"/>
  <c r="AF17" i="22" s="1"/>
  <c r="AS21" i="22"/>
  <c r="AT21" i="22" s="1"/>
  <c r="AX21" i="22"/>
  <c r="BB21" i="22" s="1"/>
  <c r="BC21" i="22" s="1"/>
  <c r="AX17" i="22"/>
  <c r="BB17" i="22" s="1"/>
  <c r="BC17" i="22" s="1"/>
  <c r="AS17" i="22"/>
  <c r="AT17" i="22" s="1"/>
  <c r="AT43" i="22"/>
  <c r="AV43" i="22"/>
  <c r="AU43" i="22"/>
  <c r="AE37" i="22"/>
  <c r="AF37" i="22" s="1"/>
  <c r="BB24" i="22"/>
  <c r="BC24" i="22" s="1"/>
  <c r="AS53" i="22"/>
  <c r="AX53" i="22"/>
  <c r="BB53" i="22" s="1"/>
  <c r="BC53" i="22" s="1"/>
  <c r="AV56" i="22"/>
  <c r="AU56" i="22"/>
  <c r="AT56" i="22"/>
  <c r="AX61" i="22"/>
  <c r="BB61" i="22" s="1"/>
  <c r="BC61" i="22" s="1"/>
  <c r="AS61" i="22"/>
  <c r="AX38" i="22"/>
  <c r="BB38" i="22" s="1"/>
  <c r="BC38" i="22" s="1"/>
  <c r="AS38" i="22"/>
  <c r="AT38" i="22" s="1"/>
  <c r="AV47" i="22"/>
  <c r="AE32" i="22"/>
  <c r="AF32" i="22" s="1"/>
  <c r="AU41" i="22"/>
  <c r="AX29" i="22"/>
  <c r="BB29" i="22" s="1"/>
  <c r="BC29" i="22" s="1"/>
  <c r="AS29" i="22"/>
  <c r="AT29" i="22" s="1"/>
  <c r="X36" i="22"/>
  <c r="Y36" i="22" s="1"/>
  <c r="X49" i="22"/>
  <c r="Y49" i="22" s="1"/>
  <c r="AE23" i="22"/>
  <c r="AF23" i="22" s="1"/>
  <c r="AE29" i="22"/>
  <c r="AF29" i="22" s="1"/>
  <c r="AX32" i="22"/>
  <c r="BB32" i="22" s="1"/>
  <c r="BC32" i="22" s="1"/>
  <c r="AS32" i="22"/>
  <c r="AT32" i="22" s="1"/>
  <c r="AX58" i="22"/>
  <c r="BB58" i="22" s="1"/>
  <c r="BC58" i="22" s="1"/>
  <c r="AS58" i="22"/>
  <c r="X29" i="22"/>
  <c r="Y29" i="22" s="1"/>
  <c r="AE31" i="22"/>
  <c r="AF31" i="22" s="1"/>
  <c r="X30" i="22"/>
  <c r="Y30" i="22" s="1"/>
  <c r="AX43" i="22"/>
  <c r="BB43" i="22" s="1"/>
  <c r="BC43" i="22" s="1"/>
  <c r="AS43" i="22"/>
  <c r="AE24" i="22"/>
  <c r="AF24" i="22" s="1"/>
  <c r="AS27" i="22"/>
  <c r="AT27" i="22" s="1"/>
  <c r="AX27" i="22"/>
  <c r="BB27" i="22" s="1"/>
  <c r="BC27" i="22" s="1"/>
  <c r="AW51" i="22"/>
  <c r="AW50" i="22"/>
  <c r="AW60" i="22"/>
  <c r="AS60" i="22"/>
  <c r="AX60" i="22"/>
  <c r="BB60" i="22" s="1"/>
  <c r="BC60" i="22" s="1"/>
  <c r="AF49" i="22"/>
  <c r="AE49" i="22"/>
  <c r="AX31" i="22"/>
  <c r="BB31" i="22" s="1"/>
  <c r="BC31" i="22" s="1"/>
  <c r="AS31" i="22"/>
  <c r="AT31" i="22" s="1"/>
  <c r="AV41" i="22"/>
  <c r="X32" i="22"/>
  <c r="Y32" i="22" s="1"/>
  <c r="X55" i="22"/>
  <c r="Y55" i="22" s="1"/>
  <c r="AS25" i="22"/>
  <c r="AT25" i="22" s="1"/>
  <c r="AX25" i="22"/>
  <c r="BB25" i="22" s="1"/>
  <c r="BC25" i="22" s="1"/>
  <c r="AX48" i="22"/>
  <c r="BB48" i="22" s="1"/>
  <c r="BC48" i="22" s="1"/>
  <c r="AS48" i="22"/>
  <c r="AX62" i="22"/>
  <c r="BB62" i="22" s="1"/>
  <c r="BC62" i="22" s="1"/>
  <c r="AS62" i="22"/>
  <c r="X25" i="22"/>
  <c r="Y25" i="22" s="1"/>
  <c r="AE60" i="22"/>
  <c r="AF60" i="22" s="1"/>
  <c r="AW46" i="22"/>
  <c r="AX40" i="22"/>
  <c r="BB40" i="22" s="1"/>
  <c r="BC40" i="22" s="1"/>
  <c r="AS40" i="22"/>
  <c r="AW58" i="22"/>
  <c r="AE50" i="22"/>
  <c r="AF50" i="22" s="1"/>
  <c r="AE36" i="22"/>
  <c r="AF36" i="22" s="1"/>
  <c r="AX39" i="22"/>
  <c r="BB39" i="22" s="1"/>
  <c r="BC39" i="22" s="1"/>
  <c r="AS39" i="22"/>
  <c r="AS42" i="22"/>
  <c r="AX42" i="22"/>
  <c r="BB42" i="22" s="1"/>
  <c r="BC42" i="22" s="1"/>
  <c r="X44" i="22"/>
  <c r="Y44" i="22" s="1"/>
  <c r="X60" i="22"/>
  <c r="Y60" i="22" s="1"/>
  <c r="AS19" i="22"/>
  <c r="AT19" i="22" s="1"/>
  <c r="AX19" i="22"/>
  <c r="BB19" i="22" s="1"/>
  <c r="BC19" i="22" s="1"/>
  <c r="X38" i="22"/>
  <c r="Y38" i="22" s="1"/>
  <c r="X56" i="22"/>
  <c r="Y56" i="22" s="1"/>
  <c r="AS36" i="22"/>
  <c r="AT36" i="22" s="1"/>
  <c r="AX36" i="22"/>
  <c r="BB36" i="22" s="1"/>
  <c r="BC36" i="22" s="1"/>
  <c r="AS50" i="22"/>
  <c r="AX50" i="22"/>
  <c r="BB50" i="22" s="1"/>
  <c r="BC50" i="22" s="1"/>
  <c r="X37" i="22"/>
  <c r="Y37" i="22" s="1"/>
  <c r="AE43" i="22"/>
  <c r="AF43" i="22" s="1"/>
  <c r="AE49" i="21"/>
  <c r="AF49" i="21" s="1"/>
  <c r="AE56" i="21"/>
  <c r="AF56" i="21" s="1"/>
  <c r="AE42" i="21"/>
  <c r="AF42" i="21" s="1"/>
  <c r="X35" i="21"/>
  <c r="Y35" i="21" s="1"/>
  <c r="AV49" i="21"/>
  <c r="X56" i="21"/>
  <c r="Y56" i="21" s="1"/>
  <c r="X43" i="21"/>
  <c r="Y43" i="21" s="1"/>
  <c r="X48" i="21"/>
  <c r="Y48" i="21" s="1"/>
  <c r="X19" i="21"/>
  <c r="Y19" i="21" s="1"/>
  <c r="X41" i="21"/>
  <c r="Y41" i="21" s="1"/>
  <c r="X17" i="21"/>
  <c r="Y17" i="21" s="1"/>
  <c r="X61" i="21"/>
  <c r="Y61" i="21" s="1"/>
  <c r="X42" i="21"/>
  <c r="Y42" i="21" s="1"/>
  <c r="X59" i="21"/>
  <c r="Y59" i="21" s="1"/>
  <c r="X49" i="21"/>
  <c r="Y49" i="21" s="1"/>
  <c r="AU60" i="21"/>
  <c r="AU61" i="21"/>
  <c r="AU53" i="21"/>
  <c r="AT53" i="21"/>
  <c r="AV48" i="21"/>
  <c r="AV18" i="21"/>
  <c r="AT50" i="21"/>
  <c r="AU50" i="21"/>
  <c r="AV50" i="21"/>
  <c r="AW50" i="21" s="1"/>
  <c r="AU39" i="21"/>
  <c r="AU54" i="21"/>
  <c r="AX18" i="21"/>
  <c r="BB18" i="21" s="1"/>
  <c r="BC18" i="21" s="1"/>
  <c r="AV61" i="21"/>
  <c r="AW61" i="21" s="1"/>
  <c r="AU55" i="21"/>
  <c r="AV41" i="21"/>
  <c r="AV60" i="21"/>
  <c r="AW60" i="21" s="1"/>
  <c r="AU49" i="21"/>
  <c r="AV42" i="21"/>
  <c r="AU57" i="21"/>
  <c r="AT39" i="21"/>
  <c r="AV39" i="21"/>
  <c r="AV62" i="21"/>
  <c r="AU62" i="21"/>
  <c r="AT62" i="21"/>
  <c r="AV59" i="21"/>
  <c r="AT41" i="21"/>
  <c r="AU47" i="21"/>
  <c r="AV51" i="21"/>
  <c r="AV54" i="21"/>
  <c r="AW54" i="21" s="1"/>
  <c r="AV44" i="21"/>
  <c r="AU48" i="21"/>
  <c r="AU41" i="21"/>
  <c r="AU42" i="21"/>
  <c r="AV52" i="21"/>
  <c r="AU51" i="21"/>
  <c r="AT42" i="21"/>
  <c r="AW18" i="21"/>
  <c r="AX35" i="21"/>
  <c r="BB35" i="21" s="1"/>
  <c r="BC35" i="21" s="1"/>
  <c r="AS35" i="21"/>
  <c r="AT35" i="21" s="1"/>
  <c r="AS16" i="21"/>
  <c r="AT16" i="21" s="1"/>
  <c r="AX16" i="21"/>
  <c r="BB16" i="21" s="1"/>
  <c r="BC16" i="21" s="1"/>
  <c r="AS19" i="21"/>
  <c r="AT19" i="21" s="1"/>
  <c r="AX19" i="21"/>
  <c r="BB19" i="21" s="1"/>
  <c r="BC19" i="21" s="1"/>
  <c r="AS56" i="21"/>
  <c r="AX56" i="21"/>
  <c r="BB56" i="21" s="1"/>
  <c r="BC56" i="21" s="1"/>
  <c r="AV56" i="21"/>
  <c r="AU56" i="21"/>
  <c r="AS40" i="21"/>
  <c r="AX40" i="21"/>
  <c r="BB40" i="21" s="1"/>
  <c r="BC40" i="21" s="1"/>
  <c r="AV40" i="21"/>
  <c r="AU40" i="21"/>
  <c r="AS32" i="21"/>
  <c r="AT32" i="21" s="1"/>
  <c r="AX32" i="21"/>
  <c r="BB32" i="21" s="1"/>
  <c r="BC32" i="21" s="1"/>
  <c r="AS20" i="21"/>
  <c r="AT20" i="21" s="1"/>
  <c r="AX20" i="21"/>
  <c r="BB20" i="21" s="1"/>
  <c r="BC20" i="21" s="1"/>
  <c r="AS55" i="21"/>
  <c r="AX55" i="21"/>
  <c r="BB55" i="21" s="1"/>
  <c r="BC55" i="21" s="1"/>
  <c r="AS28" i="21"/>
  <c r="AT28" i="21" s="1"/>
  <c r="AX28" i="21"/>
  <c r="BB28" i="21" s="1"/>
  <c r="BC28" i="21" s="1"/>
  <c r="AX24" i="21"/>
  <c r="BB24" i="21" s="1"/>
  <c r="BC24" i="21" s="1"/>
  <c r="AS24" i="21"/>
  <c r="AT24" i="21" s="1"/>
  <c r="AV58" i="21"/>
  <c r="AU58" i="21"/>
  <c r="AT58" i="21"/>
  <c r="AS60" i="21"/>
  <c r="AX60" i="21"/>
  <c r="BB60" i="21" s="1"/>
  <c r="BC60" i="21" s="1"/>
  <c r="AS46" i="21"/>
  <c r="AX46" i="21"/>
  <c r="BB46" i="21" s="1"/>
  <c r="BC46" i="21" s="1"/>
  <c r="AS30" i="21"/>
  <c r="AT30" i="21" s="1"/>
  <c r="AX30" i="21"/>
  <c r="BB30" i="21" s="1"/>
  <c r="BC30" i="21" s="1"/>
  <c r="AS34" i="21"/>
  <c r="AT34" i="21" s="1"/>
  <c r="AX34" i="21"/>
  <c r="BB34" i="21" s="1"/>
  <c r="BC34" i="21" s="1"/>
  <c r="AS41" i="21"/>
  <c r="AX41" i="21"/>
  <c r="BB41" i="21" s="1"/>
  <c r="BC41" i="21" s="1"/>
  <c r="AX62" i="21"/>
  <c r="BB62" i="21" s="1"/>
  <c r="BC62" i="21" s="1"/>
  <c r="AS62" i="21"/>
  <c r="AU46" i="21"/>
  <c r="AT46" i="21"/>
  <c r="AV46" i="21"/>
  <c r="AS53" i="21"/>
  <c r="AX53" i="21"/>
  <c r="BB53" i="21" s="1"/>
  <c r="BC53" i="21" s="1"/>
  <c r="AS27" i="21"/>
  <c r="AT27" i="21" s="1"/>
  <c r="AX27" i="21"/>
  <c r="BB27" i="21" s="1"/>
  <c r="BC27" i="21" s="1"/>
  <c r="AW41" i="21"/>
  <c r="AS22" i="21"/>
  <c r="AT22" i="21" s="1"/>
  <c r="AX22" i="21"/>
  <c r="BB22" i="21" s="1"/>
  <c r="BC22" i="21" s="1"/>
  <c r="AS45" i="21"/>
  <c r="AX45" i="21"/>
  <c r="BB45" i="21" s="1"/>
  <c r="BC45" i="21" s="1"/>
  <c r="AS54" i="21"/>
  <c r="AX54" i="21"/>
  <c r="BB54" i="21" s="1"/>
  <c r="BC54" i="21" s="1"/>
  <c r="AS57" i="21"/>
  <c r="AX57" i="21"/>
  <c r="BB57" i="21" s="1"/>
  <c r="BC57" i="21" s="1"/>
  <c r="AV57" i="21"/>
  <c r="AS38" i="21"/>
  <c r="AT38" i="21" s="1"/>
  <c r="AX38" i="21"/>
  <c r="BB38" i="21" s="1"/>
  <c r="BC38" i="21" s="1"/>
  <c r="AS42" i="21"/>
  <c r="AX42" i="21"/>
  <c r="BB42" i="21" s="1"/>
  <c r="BC42" i="21" s="1"/>
  <c r="AU59" i="21"/>
  <c r="AX44" i="21"/>
  <c r="BB44" i="21" s="1"/>
  <c r="BC44" i="21" s="1"/>
  <c r="AU44" i="21"/>
  <c r="AS44" i="21"/>
  <c r="AS36" i="21"/>
  <c r="AT36" i="21" s="1"/>
  <c r="AX36" i="21"/>
  <c r="BB36" i="21" s="1"/>
  <c r="BC36" i="21" s="1"/>
  <c r="AU18" i="21"/>
  <c r="AS15" i="21"/>
  <c r="AT15" i="21" s="1"/>
  <c r="AX15" i="21"/>
  <c r="BB15" i="21" s="1"/>
  <c r="BC15" i="21" s="1"/>
  <c r="AS49" i="21"/>
  <c r="AX49" i="21"/>
  <c r="BB49" i="21" s="1"/>
  <c r="BC49" i="21" s="1"/>
  <c r="AS58" i="21"/>
  <c r="AX58" i="21"/>
  <c r="BB58" i="21" s="1"/>
  <c r="BC58" i="21" s="1"/>
  <c r="AS61" i="21"/>
  <c r="AX61" i="21"/>
  <c r="BB61" i="21" s="1"/>
  <c r="BC61" i="21" s="1"/>
  <c r="AX43" i="21"/>
  <c r="BB43" i="21" s="1"/>
  <c r="BC43" i="21" s="1"/>
  <c r="AS43" i="21"/>
  <c r="AU45" i="21"/>
  <c r="AT45" i="21"/>
  <c r="AV45" i="21"/>
  <c r="AS39" i="21"/>
  <c r="AX39" i="21"/>
  <c r="BB39" i="21" s="1"/>
  <c r="BC39" i="21" s="1"/>
  <c r="AX51" i="21"/>
  <c r="BB51" i="21" s="1"/>
  <c r="BC51" i="21" s="1"/>
  <c r="AS51" i="21"/>
  <c r="AV53" i="21"/>
  <c r="AX31" i="21"/>
  <c r="BB31" i="21" s="1"/>
  <c r="BC31" i="21" s="1"/>
  <c r="AS31" i="21"/>
  <c r="AT31" i="21" s="1"/>
  <c r="AS25" i="21"/>
  <c r="AT25" i="21" s="1"/>
  <c r="AX25" i="21"/>
  <c r="BB25" i="21" s="1"/>
  <c r="BC25" i="21" s="1"/>
  <c r="AS50" i="21"/>
  <c r="AX50" i="21"/>
  <c r="BB50" i="21" s="1"/>
  <c r="BC50" i="21" s="1"/>
  <c r="AS47" i="21"/>
  <c r="AX47" i="21"/>
  <c r="BB47" i="21" s="1"/>
  <c r="BC47" i="21" s="1"/>
  <c r="AW49" i="21"/>
  <c r="AS52" i="21"/>
  <c r="AX52" i="21"/>
  <c r="BB52" i="21" s="1"/>
  <c r="BC52" i="21" s="1"/>
  <c r="AV55" i="21"/>
  <c r="AV43" i="21"/>
  <c r="AV47" i="21"/>
  <c r="AX17" i="21"/>
  <c r="BB17" i="21" s="1"/>
  <c r="BC17" i="21" s="1"/>
  <c r="AS17" i="21"/>
  <c r="AT17" i="21" s="1"/>
  <c r="AS29" i="21"/>
  <c r="AT29" i="21" s="1"/>
  <c r="AX29" i="21"/>
  <c r="BB29" i="21" s="1"/>
  <c r="BC29" i="21" s="1"/>
  <c r="AS33" i="21"/>
  <c r="AT33" i="21" s="1"/>
  <c r="AX33" i="21"/>
  <c r="BB33" i="21" s="1"/>
  <c r="BC33" i="21" s="1"/>
  <c r="AS59" i="21"/>
  <c r="AX59" i="21"/>
  <c r="BB59" i="21" s="1"/>
  <c r="BC59" i="21" s="1"/>
  <c r="AU43" i="21"/>
  <c r="AX23" i="21"/>
  <c r="BB23" i="21" s="1"/>
  <c r="BC23" i="21" s="1"/>
  <c r="AS23" i="21"/>
  <c r="AT23" i="21" s="1"/>
  <c r="AS26" i="21"/>
  <c r="AT26" i="21" s="1"/>
  <c r="AX26" i="21"/>
  <c r="BB26" i="21" s="1"/>
  <c r="BC26" i="21" s="1"/>
  <c r="AX21" i="21"/>
  <c r="BB21" i="21" s="1"/>
  <c r="BC21" i="21" s="1"/>
  <c r="AS21" i="21"/>
  <c r="AT21" i="21" s="1"/>
  <c r="AS48" i="21"/>
  <c r="AX48" i="21"/>
  <c r="BB48" i="21" s="1"/>
  <c r="BC48" i="21" s="1"/>
  <c r="AS37" i="21"/>
  <c r="AT37" i="21" s="1"/>
  <c r="AX37" i="21"/>
  <c r="BB37" i="21" s="1"/>
  <c r="BC37" i="21" s="1"/>
  <c r="AW56" i="22" l="1"/>
  <c r="AU22" i="22"/>
  <c r="AV22" i="22"/>
  <c r="AW59" i="22"/>
  <c r="AU26" i="22"/>
  <c r="AV26" i="22"/>
  <c r="AV24" i="22"/>
  <c r="AU24" i="22"/>
  <c r="AV36" i="22"/>
  <c r="AU36" i="22"/>
  <c r="AV31" i="22"/>
  <c r="AU31" i="22"/>
  <c r="AV25" i="22"/>
  <c r="AU25" i="22"/>
  <c r="AW47" i="22"/>
  <c r="AV17" i="22"/>
  <c r="AU17" i="22"/>
  <c r="AV18" i="22"/>
  <c r="AU18" i="22"/>
  <c r="AV15" i="22"/>
  <c r="AU15" i="22"/>
  <c r="AW44" i="22"/>
  <c r="AW45" i="22"/>
  <c r="AV32" i="22"/>
  <c r="AU32" i="22"/>
  <c r="AV28" i="22"/>
  <c r="AU28" i="22"/>
  <c r="AV27" i="22"/>
  <c r="AU27" i="22"/>
  <c r="AV29" i="22"/>
  <c r="AU29" i="22"/>
  <c r="AU21" i="22"/>
  <c r="AV21" i="22"/>
  <c r="AW53" i="22"/>
  <c r="AW57" i="22"/>
  <c r="AU30" i="22"/>
  <c r="AV30" i="22"/>
  <c r="AV23" i="22"/>
  <c r="AU23" i="22"/>
  <c r="AU38" i="22"/>
  <c r="AV38" i="22"/>
  <c r="AU19" i="22"/>
  <c r="AV19" i="22"/>
  <c r="AW62" i="22"/>
  <c r="AV20" i="22"/>
  <c r="AU20" i="22"/>
  <c r="AV35" i="22"/>
  <c r="AU35" i="22"/>
  <c r="AV34" i="22"/>
  <c r="AU34" i="22"/>
  <c r="AW16" i="22"/>
  <c r="AW41" i="22"/>
  <c r="AW43" i="22"/>
  <c r="AV37" i="22"/>
  <c r="AU37" i="22"/>
  <c r="AV33" i="22"/>
  <c r="AU33" i="22"/>
  <c r="AW42" i="22"/>
  <c r="AW39" i="21"/>
  <c r="AW48" i="21"/>
  <c r="AW62" i="21"/>
  <c r="AW44" i="21"/>
  <c r="AW51" i="21"/>
  <c r="AW42" i="21"/>
  <c r="AW52" i="21"/>
  <c r="AW59" i="21"/>
  <c r="AU38" i="21"/>
  <c r="AV38" i="21"/>
  <c r="AV24" i="21"/>
  <c r="AU24" i="21"/>
  <c r="AW47" i="21"/>
  <c r="AV25" i="21"/>
  <c r="AU25" i="21"/>
  <c r="AW57" i="21"/>
  <c r="AV22" i="21"/>
  <c r="AU22" i="21"/>
  <c r="AV16" i="21"/>
  <c r="AU16" i="21"/>
  <c r="AV26" i="21"/>
  <c r="AU26" i="21"/>
  <c r="AU23" i="21"/>
  <c r="AV23" i="21"/>
  <c r="AU33" i="21"/>
  <c r="AV33" i="21"/>
  <c r="AV15" i="21"/>
  <c r="AU15" i="21"/>
  <c r="AV28" i="21"/>
  <c r="AU28" i="21"/>
  <c r="AU20" i="21"/>
  <c r="AV20" i="21"/>
  <c r="AW56" i="21"/>
  <c r="AV36" i="21"/>
  <c r="AU36" i="21"/>
  <c r="AU31" i="21"/>
  <c r="AV31" i="21"/>
  <c r="AU30" i="21"/>
  <c r="AV30" i="21"/>
  <c r="AU29" i="21"/>
  <c r="AV29" i="21"/>
  <c r="AW55" i="21"/>
  <c r="AW53" i="21"/>
  <c r="AU27" i="21"/>
  <c r="AV27" i="21"/>
  <c r="AW58" i="21"/>
  <c r="AV32" i="21"/>
  <c r="AU32" i="21"/>
  <c r="AW46" i="21"/>
  <c r="AV17" i="21"/>
  <c r="AU17" i="21"/>
  <c r="AW45" i="21"/>
  <c r="AW43" i="21"/>
  <c r="AU34" i="21"/>
  <c r="AV34" i="21"/>
  <c r="AV35" i="21"/>
  <c r="AU35" i="21"/>
  <c r="AU37" i="21"/>
  <c r="AV37" i="21"/>
  <c r="AU21" i="21"/>
  <c r="AV21" i="21"/>
  <c r="AW40" i="21"/>
  <c r="AV19" i="21"/>
  <c r="AU19" i="21"/>
  <c r="AW37" i="22" l="1"/>
  <c r="AW21" i="22"/>
  <c r="AW24" i="22"/>
  <c r="AW28" i="22"/>
  <c r="AW19" i="22"/>
  <c r="AW23" i="22"/>
  <c r="AW32" i="22"/>
  <c r="AW30" i="22"/>
  <c r="AW25" i="22"/>
  <c r="AW35" i="22"/>
  <c r="AW29" i="22"/>
  <c r="AW15" i="22"/>
  <c r="AW17" i="22"/>
  <c r="AW31" i="22"/>
  <c r="AW26" i="22"/>
  <c r="AW22" i="22"/>
  <c r="AW27" i="22"/>
  <c r="AW34" i="22"/>
  <c r="AW33" i="22"/>
  <c r="AW20" i="22"/>
  <c r="AW38" i="22"/>
  <c r="AW18" i="22"/>
  <c r="AW36" i="22"/>
  <c r="AW23" i="21"/>
  <c r="AW32" i="21"/>
  <c r="AW36" i="21"/>
  <c r="AW22" i="21"/>
  <c r="AW29" i="21"/>
  <c r="AW35" i="21"/>
  <c r="AW34" i="21"/>
  <c r="AW15" i="21"/>
  <c r="AW26" i="21"/>
  <c r="AW24" i="21"/>
  <c r="AW21" i="21"/>
  <c r="AW17" i="21"/>
  <c r="AW30" i="21"/>
  <c r="AW20" i="21"/>
  <c r="AW38" i="21"/>
  <c r="AW19" i="21"/>
  <c r="AW16" i="21"/>
  <c r="AW25" i="21"/>
  <c r="AW27" i="21"/>
  <c r="AW31" i="21"/>
  <c r="AW33" i="21"/>
  <c r="AW37" i="21"/>
  <c r="AW28" i="21"/>
  <c r="E10" i="19" l="1"/>
  <c r="F10" i="19" l="1"/>
  <c r="Z105" i="20" l="1"/>
  <c r="Z106" i="20"/>
  <c r="U106" i="20"/>
  <c r="U112" i="20"/>
  <c r="U111" i="20"/>
  <c r="U110" i="20"/>
  <c r="U109" i="20"/>
  <c r="U108" i="20"/>
  <c r="U107" i="20"/>
  <c r="Y17" i="18"/>
  <c r="X17" i="18"/>
  <c r="W17" i="18"/>
  <c r="S8" i="19"/>
  <c r="S9" i="19" s="1"/>
  <c r="Q8" i="19"/>
  <c r="Q9" i="19" s="1"/>
  <c r="N8" i="19"/>
  <c r="N9" i="19" s="1"/>
  <c r="AG129" i="20"/>
  <c r="AG105" i="20"/>
  <c r="AG80" i="20"/>
  <c r="AG56" i="20"/>
  <c r="AG31" i="20"/>
  <c r="AG7" i="20"/>
  <c r="AG148" i="20"/>
  <c r="AG142" i="20"/>
  <c r="AG136" i="20"/>
  <c r="AG130" i="20"/>
  <c r="AG124" i="20"/>
  <c r="AG118" i="20"/>
  <c r="AG112" i="20"/>
  <c r="AG106" i="20"/>
  <c r="AG99" i="20"/>
  <c r="AG93" i="20"/>
  <c r="AG87" i="20"/>
  <c r="AG81" i="20"/>
  <c r="AG75" i="20"/>
  <c r="AG69" i="20"/>
  <c r="AG63" i="20"/>
  <c r="AG57" i="20"/>
  <c r="AG50" i="20"/>
  <c r="AG44" i="20"/>
  <c r="AG38" i="20"/>
  <c r="AG32" i="20"/>
  <c r="AG26" i="20"/>
  <c r="AG20" i="20"/>
  <c r="AG14" i="20"/>
  <c r="AG8" i="20"/>
  <c r="Z148" i="20"/>
  <c r="Z142" i="20"/>
  <c r="Z136" i="20"/>
  <c r="Z129" i="20"/>
  <c r="Z124" i="20"/>
  <c r="Z130" i="20"/>
  <c r="Z118" i="20"/>
  <c r="Z112" i="20"/>
  <c r="Z99" i="20"/>
  <c r="Z93" i="20"/>
  <c r="Z87" i="20"/>
  <c r="Z80" i="20"/>
  <c r="Z75" i="20"/>
  <c r="Z81" i="20"/>
  <c r="Z69" i="20"/>
  <c r="Z63" i="20"/>
  <c r="Z57" i="20"/>
  <c r="Z56" i="20"/>
  <c r="Z50" i="20"/>
  <c r="Z44" i="20"/>
  <c r="Z38" i="20"/>
  <c r="Z32" i="20"/>
  <c r="Z26" i="20"/>
  <c r="Z20" i="20"/>
  <c r="L8" i="19"/>
  <c r="L9" i="19" s="1"/>
  <c r="J8" i="19"/>
  <c r="J9" i="19" s="1"/>
  <c r="R4" i="19"/>
  <c r="R5" i="19" s="1"/>
  <c r="N4" i="19"/>
  <c r="N5" i="19" s="1"/>
  <c r="L4" i="19"/>
  <c r="L5" i="19" s="1"/>
  <c r="AG9" i="20"/>
  <c r="AB9" i="20"/>
  <c r="AG10" i="20"/>
  <c r="AF17" i="17"/>
  <c r="AG154" i="20"/>
  <c r="AG201" i="20"/>
  <c r="AG200" i="20"/>
  <c r="AG199" i="20"/>
  <c r="AG198" i="20"/>
  <c r="AG197" i="20" s="1"/>
  <c r="AG195" i="20"/>
  <c r="AG194" i="20"/>
  <c r="AG193" i="20"/>
  <c r="AG192" i="20"/>
  <c r="AG191" i="20" s="1"/>
  <c r="AG189" i="20"/>
  <c r="AG188" i="20"/>
  <c r="AG187" i="20"/>
  <c r="AG186" i="20"/>
  <c r="AG185" i="20" s="1"/>
  <c r="AG183" i="20"/>
  <c r="AG182" i="20"/>
  <c r="AG181" i="20"/>
  <c r="AG180" i="20"/>
  <c r="AG179" i="20" s="1"/>
  <c r="AG177" i="20"/>
  <c r="AG176" i="20"/>
  <c r="AG175" i="20"/>
  <c r="AG174" i="20"/>
  <c r="AG173" i="20" s="1"/>
  <c r="AG171" i="20"/>
  <c r="AG170" i="20"/>
  <c r="AG169" i="20"/>
  <c r="AG168" i="20"/>
  <c r="AG167" i="20" s="1"/>
  <c r="AG165" i="20"/>
  <c r="AG164" i="20"/>
  <c r="AG163" i="20"/>
  <c r="AG162" i="20"/>
  <c r="AG161" i="20" s="1"/>
  <c r="AG159" i="20"/>
  <c r="AG158" i="20"/>
  <c r="AG157" i="20"/>
  <c r="AG152" i="20"/>
  <c r="AG151" i="20"/>
  <c r="AG150" i="20"/>
  <c r="AG149" i="20"/>
  <c r="AG146" i="20"/>
  <c r="AG145" i="20"/>
  <c r="AG144" i="20"/>
  <c r="AG143" i="20"/>
  <c r="AG140" i="20"/>
  <c r="AG139" i="20"/>
  <c r="AG138" i="20"/>
  <c r="AG137" i="20"/>
  <c r="AG134" i="20"/>
  <c r="AG133" i="20"/>
  <c r="AG132" i="20"/>
  <c r="AG131" i="20"/>
  <c r="AG128" i="20"/>
  <c r="AG127" i="20"/>
  <c r="AG126" i="20"/>
  <c r="AG125" i="20"/>
  <c r="AG122" i="20"/>
  <c r="AG121" i="20"/>
  <c r="AG120" i="20"/>
  <c r="AG119" i="20"/>
  <c r="AG116" i="20"/>
  <c r="AG115" i="20"/>
  <c r="AG114" i="20"/>
  <c r="AG113" i="20"/>
  <c r="AG110" i="20"/>
  <c r="AG109" i="20"/>
  <c r="AG108" i="20"/>
  <c r="AG107" i="20"/>
  <c r="AG103" i="20"/>
  <c r="AG102" i="20"/>
  <c r="AG101" i="20"/>
  <c r="AG100" i="20"/>
  <c r="AG97" i="20"/>
  <c r="AG96" i="20"/>
  <c r="AG95" i="20"/>
  <c r="AG94" i="20"/>
  <c r="AG91" i="20"/>
  <c r="AG90" i="20"/>
  <c r="AG89" i="20"/>
  <c r="AG88" i="20"/>
  <c r="AG85" i="20"/>
  <c r="AG84" i="20"/>
  <c r="AG83" i="20"/>
  <c r="AG82" i="20"/>
  <c r="AG79" i="20"/>
  <c r="AG78" i="20"/>
  <c r="AG77" i="20"/>
  <c r="AG76" i="20"/>
  <c r="AG73" i="20"/>
  <c r="AG72" i="20"/>
  <c r="AG71" i="20"/>
  <c r="AG70" i="20"/>
  <c r="AG67" i="20"/>
  <c r="AG66" i="20"/>
  <c r="AG65" i="20"/>
  <c r="AG64" i="20"/>
  <c r="AG61" i="20"/>
  <c r="AG60" i="20"/>
  <c r="AG59" i="20"/>
  <c r="AG58" i="20"/>
  <c r="AG54" i="20"/>
  <c r="AG53" i="20"/>
  <c r="AG52" i="20"/>
  <c r="AG51" i="20"/>
  <c r="AG48" i="20"/>
  <c r="AG47" i="20"/>
  <c r="AG46" i="20"/>
  <c r="AG45" i="20"/>
  <c r="AG42" i="20"/>
  <c r="AG41" i="20"/>
  <c r="AG40" i="20"/>
  <c r="AG39" i="20"/>
  <c r="AG36" i="20"/>
  <c r="AG35" i="20"/>
  <c r="AG34" i="20"/>
  <c r="AG33" i="20"/>
  <c r="AG30" i="20"/>
  <c r="AG29" i="20"/>
  <c r="AG28" i="20"/>
  <c r="AG27" i="20"/>
  <c r="AG24" i="20"/>
  <c r="AG23" i="20"/>
  <c r="AG22" i="20"/>
  <c r="AG21" i="20"/>
  <c r="AG18" i="20"/>
  <c r="AG17" i="20"/>
  <c r="AG16" i="20"/>
  <c r="AG15" i="20"/>
  <c r="AG12" i="20"/>
  <c r="AG11" i="20"/>
  <c r="Z10" i="20"/>
  <c r="AB201" i="20"/>
  <c r="AB200" i="20"/>
  <c r="AB199" i="20"/>
  <c r="AB198" i="20"/>
  <c r="AB197" i="20"/>
  <c r="AB196" i="20"/>
  <c r="AB195" i="20"/>
  <c r="AB194" i="20"/>
  <c r="AB193" i="20"/>
  <c r="AB192" i="20"/>
  <c r="AB191" i="20"/>
  <c r="AB190" i="20"/>
  <c r="AB189" i="20"/>
  <c r="AB188" i="20"/>
  <c r="AB187" i="20"/>
  <c r="AB186" i="20"/>
  <c r="AB185" i="20"/>
  <c r="AB184" i="20"/>
  <c r="AB183" i="20"/>
  <c r="AB182" i="20"/>
  <c r="AB181" i="20"/>
  <c r="AB180" i="20"/>
  <c r="AB179" i="20"/>
  <c r="AB178" i="20"/>
  <c r="AB177" i="20"/>
  <c r="AB176" i="20"/>
  <c r="AB175" i="20"/>
  <c r="AB174" i="20"/>
  <c r="AB173" i="20"/>
  <c r="AB172" i="20"/>
  <c r="AB171" i="20"/>
  <c r="AB170" i="20"/>
  <c r="AB169" i="20"/>
  <c r="AB168" i="20"/>
  <c r="AB167" i="20"/>
  <c r="AB166" i="20"/>
  <c r="AB165" i="20"/>
  <c r="AB164" i="20"/>
  <c r="AB163" i="20"/>
  <c r="AB162" i="20"/>
  <c r="AB161" i="20"/>
  <c r="AB160" i="20"/>
  <c r="AB159" i="20"/>
  <c r="AB158" i="20"/>
  <c r="AB157" i="20"/>
  <c r="AB156" i="20"/>
  <c r="AB155" i="20"/>
  <c r="AB154" i="20"/>
  <c r="AB152" i="20"/>
  <c r="AB151" i="20"/>
  <c r="AB150" i="20"/>
  <c r="AB149" i="20"/>
  <c r="AB148" i="20"/>
  <c r="AB147" i="20"/>
  <c r="AB146" i="20"/>
  <c r="AB145" i="20"/>
  <c r="AB144" i="20"/>
  <c r="AB143" i="20"/>
  <c r="AB142" i="20"/>
  <c r="AB141" i="20"/>
  <c r="AB140" i="20"/>
  <c r="AB139" i="20"/>
  <c r="AB138" i="20"/>
  <c r="AB137" i="20"/>
  <c r="AB136" i="20"/>
  <c r="AB135" i="20"/>
  <c r="AB134" i="20"/>
  <c r="AB133" i="20"/>
  <c r="AB132" i="20"/>
  <c r="AB131" i="20"/>
  <c r="AB130" i="20"/>
  <c r="AB129" i="20"/>
  <c r="AB128" i="20"/>
  <c r="AB127" i="20"/>
  <c r="AB126" i="20"/>
  <c r="AB125" i="20"/>
  <c r="AB124" i="20"/>
  <c r="AB123" i="20"/>
  <c r="AB122" i="20"/>
  <c r="AB121" i="20"/>
  <c r="AB120" i="20"/>
  <c r="AB119" i="20"/>
  <c r="AB118" i="20"/>
  <c r="AB117" i="20"/>
  <c r="AB116" i="20"/>
  <c r="AB115" i="20"/>
  <c r="AB114" i="20"/>
  <c r="AB113" i="20"/>
  <c r="AB112" i="20"/>
  <c r="AB111" i="20"/>
  <c r="AB110" i="20"/>
  <c r="AB109" i="20"/>
  <c r="AB108" i="20"/>
  <c r="AB107" i="20"/>
  <c r="AB106" i="20"/>
  <c r="AB105" i="20"/>
  <c r="AB103" i="20"/>
  <c r="AB102" i="20"/>
  <c r="AB101" i="20"/>
  <c r="AB100" i="20"/>
  <c r="AB99" i="20"/>
  <c r="AB98" i="20"/>
  <c r="AB97" i="20"/>
  <c r="AB96" i="20"/>
  <c r="AB95" i="20"/>
  <c r="AB94" i="20"/>
  <c r="AB93" i="20"/>
  <c r="AB92" i="20"/>
  <c r="AB91" i="20"/>
  <c r="AB90" i="20"/>
  <c r="AB89" i="20"/>
  <c r="AB88" i="20"/>
  <c r="AB87" i="20"/>
  <c r="AB86" i="20"/>
  <c r="AB85" i="20"/>
  <c r="AB84" i="20"/>
  <c r="AB83" i="20"/>
  <c r="AB82" i="20"/>
  <c r="AB81" i="20"/>
  <c r="AB80" i="20"/>
  <c r="AB79" i="20"/>
  <c r="AB78" i="20"/>
  <c r="AB77" i="20"/>
  <c r="AB76" i="20"/>
  <c r="AB75" i="20"/>
  <c r="AB74" i="20"/>
  <c r="AB73" i="20"/>
  <c r="AB72" i="20"/>
  <c r="AB71" i="20"/>
  <c r="AB70" i="20"/>
  <c r="AB69" i="20"/>
  <c r="AB68" i="20"/>
  <c r="AB67" i="20"/>
  <c r="AB66" i="20"/>
  <c r="AB65" i="20"/>
  <c r="AB64" i="20"/>
  <c r="AB63" i="20"/>
  <c r="AB62" i="20"/>
  <c r="AB61" i="20"/>
  <c r="AB60" i="20"/>
  <c r="AB59" i="20"/>
  <c r="AB58" i="20"/>
  <c r="AB57" i="20"/>
  <c r="AB56" i="20"/>
  <c r="AB54" i="20"/>
  <c r="AB53" i="20"/>
  <c r="AB52" i="20"/>
  <c r="AB51" i="20"/>
  <c r="AB50" i="20"/>
  <c r="AB49" i="20"/>
  <c r="AB48" i="20"/>
  <c r="AB47" i="20"/>
  <c r="AB46" i="20"/>
  <c r="AB45" i="20"/>
  <c r="AB44" i="20"/>
  <c r="AB43" i="20"/>
  <c r="AB42" i="20"/>
  <c r="AB41" i="20"/>
  <c r="AB40" i="20"/>
  <c r="AB39" i="20"/>
  <c r="AB38" i="20"/>
  <c r="AB37" i="20"/>
  <c r="AB36" i="20"/>
  <c r="AB35" i="20"/>
  <c r="AB34" i="20"/>
  <c r="AB33" i="20"/>
  <c r="AB32" i="20"/>
  <c r="AB31" i="20"/>
  <c r="AB30" i="20"/>
  <c r="AB29" i="20"/>
  <c r="AB28" i="20"/>
  <c r="AB27" i="20"/>
  <c r="AB26" i="20"/>
  <c r="AB25" i="20"/>
  <c r="AB24" i="20"/>
  <c r="AB23" i="20"/>
  <c r="AB22" i="20"/>
  <c r="AB21" i="20"/>
  <c r="AB20" i="20"/>
  <c r="AB19" i="20"/>
  <c r="AB18" i="20"/>
  <c r="AB17" i="20"/>
  <c r="AB16" i="20"/>
  <c r="AB15" i="20"/>
  <c r="AB14" i="20"/>
  <c r="AB13" i="20"/>
  <c r="AB12" i="20"/>
  <c r="AB11" i="20"/>
  <c r="AB10" i="20"/>
  <c r="AB8" i="20"/>
  <c r="AB7" i="20"/>
  <c r="AA6" i="20"/>
  <c r="Z152" i="20"/>
  <c r="Z151" i="20"/>
  <c r="Z150" i="20"/>
  <c r="Z149" i="20"/>
  <c r="Z146" i="20"/>
  <c r="Z145" i="20"/>
  <c r="Z144" i="20"/>
  <c r="Z143" i="20"/>
  <c r="Z140" i="20"/>
  <c r="Z139" i="20"/>
  <c r="Z138" i="20"/>
  <c r="Z137" i="20"/>
  <c r="Z134" i="20"/>
  <c r="Z133" i="20"/>
  <c r="Z132" i="20"/>
  <c r="Z131" i="20"/>
  <c r="Z128" i="20"/>
  <c r="Z127" i="20"/>
  <c r="Z126" i="20"/>
  <c r="Z125" i="20"/>
  <c r="Z122" i="20"/>
  <c r="Z121" i="20"/>
  <c r="Z120" i="20"/>
  <c r="Z119" i="20"/>
  <c r="Z116" i="20"/>
  <c r="Z115" i="20"/>
  <c r="Z114" i="20"/>
  <c r="Z113" i="20"/>
  <c r="Z110" i="20"/>
  <c r="Z109" i="20"/>
  <c r="Z108" i="20"/>
  <c r="Z107" i="20"/>
  <c r="Z103" i="20"/>
  <c r="Z102" i="20"/>
  <c r="Z101" i="20"/>
  <c r="Z100" i="20"/>
  <c r="Z97" i="20"/>
  <c r="Z96" i="20"/>
  <c r="Z95" i="20"/>
  <c r="Z94" i="20"/>
  <c r="Z91" i="20"/>
  <c r="Z90" i="20"/>
  <c r="Z89" i="20"/>
  <c r="Z88" i="20"/>
  <c r="Z85" i="20"/>
  <c r="Z84" i="20"/>
  <c r="Z83" i="20"/>
  <c r="Z82" i="20"/>
  <c r="Z79" i="20"/>
  <c r="Z78" i="20"/>
  <c r="Z77" i="20"/>
  <c r="Z76" i="20"/>
  <c r="Z73" i="20"/>
  <c r="Z72" i="20"/>
  <c r="Z71" i="20"/>
  <c r="Z70" i="20"/>
  <c r="Z67" i="20"/>
  <c r="Z66" i="20"/>
  <c r="Z65" i="20"/>
  <c r="Z64" i="20"/>
  <c r="Z61" i="20"/>
  <c r="Z60" i="20"/>
  <c r="Z59" i="20"/>
  <c r="Z58" i="20"/>
  <c r="Z54" i="20"/>
  <c r="Z53" i="20"/>
  <c r="Z52" i="20"/>
  <c r="Z51" i="20"/>
  <c r="Z48" i="20"/>
  <c r="Z47" i="20"/>
  <c r="Z46" i="20"/>
  <c r="Z45" i="20"/>
  <c r="Z42" i="20"/>
  <c r="Z41" i="20"/>
  <c r="Z40" i="20"/>
  <c r="Z39" i="20"/>
  <c r="Z36" i="20"/>
  <c r="Z35" i="20"/>
  <c r="Z34" i="20"/>
  <c r="Z33" i="20"/>
  <c r="Z30" i="20"/>
  <c r="Z29" i="20"/>
  <c r="Z28" i="20"/>
  <c r="Z27" i="20"/>
  <c r="Z24" i="20"/>
  <c r="Z23" i="20"/>
  <c r="Z22" i="20"/>
  <c r="Z21" i="20"/>
  <c r="Z18" i="20"/>
  <c r="Z17" i="20"/>
  <c r="Z16" i="20"/>
  <c r="Z15" i="20"/>
  <c r="Z12" i="20"/>
  <c r="Z11" i="20"/>
  <c r="U201" i="20"/>
  <c r="Z201" i="20" s="1"/>
  <c r="U200" i="20"/>
  <c r="Z200" i="20" s="1"/>
  <c r="U199" i="20"/>
  <c r="Z199" i="20" s="1"/>
  <c r="U198" i="20"/>
  <c r="Z198" i="20" s="1"/>
  <c r="U197" i="20"/>
  <c r="U196" i="20"/>
  <c r="U195" i="20"/>
  <c r="Z195" i="20" s="1"/>
  <c r="U194" i="20"/>
  <c r="Z194" i="20" s="1"/>
  <c r="U193" i="20"/>
  <c r="Z193" i="20" s="1"/>
  <c r="U192" i="20"/>
  <c r="Z192" i="20" s="1"/>
  <c r="U191" i="20"/>
  <c r="U190" i="20"/>
  <c r="U189" i="20"/>
  <c r="Z189" i="20" s="1"/>
  <c r="U188" i="20"/>
  <c r="Z188" i="20" s="1"/>
  <c r="U187" i="20"/>
  <c r="Z187" i="20" s="1"/>
  <c r="U186" i="20"/>
  <c r="Z186" i="20" s="1"/>
  <c r="Z185" i="20" s="1"/>
  <c r="U185" i="20"/>
  <c r="U184" i="20"/>
  <c r="U183" i="20"/>
  <c r="Z183" i="20" s="1"/>
  <c r="U182" i="20"/>
  <c r="Z182" i="20" s="1"/>
  <c r="U181" i="20"/>
  <c r="Z181" i="20" s="1"/>
  <c r="U180" i="20"/>
  <c r="Z180" i="20" s="1"/>
  <c r="U179" i="20"/>
  <c r="U178" i="20"/>
  <c r="U177" i="20"/>
  <c r="Z177" i="20" s="1"/>
  <c r="U176" i="20"/>
  <c r="Z176" i="20" s="1"/>
  <c r="U175" i="20"/>
  <c r="Z175" i="20" s="1"/>
  <c r="U174" i="20"/>
  <c r="Z174" i="20" s="1"/>
  <c r="U173" i="20"/>
  <c r="U172" i="20"/>
  <c r="U171" i="20"/>
  <c r="Z171" i="20" s="1"/>
  <c r="U170" i="20"/>
  <c r="Z170" i="20" s="1"/>
  <c r="U169" i="20"/>
  <c r="Z169" i="20" s="1"/>
  <c r="U168" i="20"/>
  <c r="Z168" i="20" s="1"/>
  <c r="U167" i="20"/>
  <c r="U166" i="20"/>
  <c r="U165" i="20"/>
  <c r="Z165" i="20" s="1"/>
  <c r="U164" i="20"/>
  <c r="Z164" i="20" s="1"/>
  <c r="U163" i="20"/>
  <c r="Z163" i="20" s="1"/>
  <c r="U162" i="20"/>
  <c r="Z162" i="20" s="1"/>
  <c r="Z161" i="20" s="1"/>
  <c r="U161" i="20"/>
  <c r="U160" i="20"/>
  <c r="U159" i="20"/>
  <c r="Z159" i="20" s="1"/>
  <c r="U158" i="20"/>
  <c r="Z158" i="20" s="1"/>
  <c r="U157" i="20"/>
  <c r="Z157" i="20" s="1"/>
  <c r="U156" i="20"/>
  <c r="Z156" i="20" s="1"/>
  <c r="U155" i="20"/>
  <c r="U154" i="20"/>
  <c r="U152" i="20"/>
  <c r="U151" i="20"/>
  <c r="U150" i="20"/>
  <c r="U149" i="20"/>
  <c r="U148" i="20"/>
  <c r="U147" i="20"/>
  <c r="U146" i="20"/>
  <c r="U145" i="20"/>
  <c r="U144" i="20"/>
  <c r="U143" i="20"/>
  <c r="U142" i="20"/>
  <c r="U141" i="20"/>
  <c r="U140" i="20"/>
  <c r="U139" i="20"/>
  <c r="U138" i="20"/>
  <c r="U137" i="20"/>
  <c r="U136" i="20"/>
  <c r="U135" i="20"/>
  <c r="U134" i="20"/>
  <c r="U133" i="20"/>
  <c r="U132" i="20"/>
  <c r="U131" i="20"/>
  <c r="U130" i="20"/>
  <c r="U129" i="20"/>
  <c r="U128" i="20"/>
  <c r="U127" i="20"/>
  <c r="U126" i="20"/>
  <c r="U125" i="20"/>
  <c r="U124" i="20"/>
  <c r="U123" i="20"/>
  <c r="U122" i="20"/>
  <c r="U121" i="20"/>
  <c r="U120" i="20"/>
  <c r="U119" i="20"/>
  <c r="U118" i="20"/>
  <c r="U117" i="20"/>
  <c r="U116" i="20"/>
  <c r="U115" i="20"/>
  <c r="U114" i="20"/>
  <c r="U113" i="20"/>
  <c r="U105" i="20"/>
  <c r="U103" i="20"/>
  <c r="U102" i="20"/>
  <c r="U101" i="20"/>
  <c r="U100" i="20"/>
  <c r="U99" i="20"/>
  <c r="U98" i="20"/>
  <c r="U97" i="20"/>
  <c r="U96" i="20"/>
  <c r="U95" i="20"/>
  <c r="U94" i="20"/>
  <c r="U93" i="20"/>
  <c r="U92" i="20"/>
  <c r="U91" i="20"/>
  <c r="U90" i="20"/>
  <c r="U89" i="20"/>
  <c r="U88" i="20"/>
  <c r="U87" i="20"/>
  <c r="U86" i="20"/>
  <c r="U85" i="20"/>
  <c r="U84" i="20"/>
  <c r="U83" i="20"/>
  <c r="U82" i="20"/>
  <c r="U81" i="20"/>
  <c r="U80" i="20"/>
  <c r="U79" i="20"/>
  <c r="U78" i="20"/>
  <c r="U77" i="20"/>
  <c r="U76" i="20"/>
  <c r="U75" i="20"/>
  <c r="U74" i="20"/>
  <c r="U73" i="20"/>
  <c r="U72" i="20"/>
  <c r="U71" i="20"/>
  <c r="U70" i="20"/>
  <c r="U69" i="20"/>
  <c r="U68" i="20"/>
  <c r="U67" i="20"/>
  <c r="U66" i="20"/>
  <c r="U65" i="20"/>
  <c r="U64" i="20"/>
  <c r="U63" i="20"/>
  <c r="U62" i="20"/>
  <c r="U61" i="20"/>
  <c r="U60" i="20"/>
  <c r="U59" i="20"/>
  <c r="U58" i="20"/>
  <c r="U57" i="20"/>
  <c r="U56" i="20"/>
  <c r="U54" i="20"/>
  <c r="U53" i="20"/>
  <c r="U52" i="20"/>
  <c r="U51" i="20"/>
  <c r="U50" i="20"/>
  <c r="U49" i="20"/>
  <c r="U48" i="20"/>
  <c r="U47" i="20"/>
  <c r="U46" i="20"/>
  <c r="U45" i="20"/>
  <c r="U44" i="20"/>
  <c r="U43" i="20"/>
  <c r="U42" i="20"/>
  <c r="U41" i="20"/>
  <c r="U40" i="20"/>
  <c r="U39" i="20"/>
  <c r="U38" i="20"/>
  <c r="U37" i="20"/>
  <c r="U36" i="20"/>
  <c r="U35" i="20"/>
  <c r="U34" i="20"/>
  <c r="U33" i="20"/>
  <c r="U32" i="20"/>
  <c r="U31" i="20"/>
  <c r="U30" i="20"/>
  <c r="U29" i="20"/>
  <c r="U28" i="20"/>
  <c r="U27" i="20"/>
  <c r="U26" i="20"/>
  <c r="U25" i="20"/>
  <c r="U24" i="20"/>
  <c r="U23" i="20"/>
  <c r="U22" i="20"/>
  <c r="U21" i="20"/>
  <c r="U20" i="20"/>
  <c r="U19" i="20"/>
  <c r="U18" i="20"/>
  <c r="U17" i="20"/>
  <c r="U16" i="20"/>
  <c r="U15" i="20"/>
  <c r="U14" i="20"/>
  <c r="U13" i="20"/>
  <c r="U12" i="20"/>
  <c r="U11" i="20"/>
  <c r="U10" i="20"/>
  <c r="U8" i="20"/>
  <c r="U7" i="20"/>
  <c r="C6" i="20"/>
  <c r="D6" i="20"/>
  <c r="T6" i="20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B6" i="20"/>
  <c r="AA4" i="20"/>
  <c r="AB4" i="20" s="1"/>
  <c r="T4" i="20"/>
  <c r="AG178" i="20" l="1"/>
  <c r="AG155" i="20"/>
  <c r="Z197" i="20"/>
  <c r="Z173" i="20"/>
  <c r="Z167" i="20"/>
  <c r="Z191" i="20"/>
  <c r="Z155" i="20"/>
  <c r="Z154" i="20"/>
  <c r="Z179" i="20"/>
  <c r="Z178" i="20"/>
  <c r="AF4" i="20"/>
  <c r="AG4" i="20" s="1"/>
  <c r="Y4" i="20"/>
  <c r="Z4" i="20" s="1"/>
  <c r="U4" i="20"/>
  <c r="F91" i="10" l="1"/>
  <c r="E91" i="10"/>
  <c r="F90" i="10"/>
  <c r="E90" i="10"/>
  <c r="F89" i="10"/>
  <c r="E89" i="10"/>
  <c r="F88" i="10"/>
  <c r="E88" i="10"/>
  <c r="F87" i="10"/>
  <c r="E87" i="10"/>
  <c r="F86" i="10"/>
  <c r="E86" i="10"/>
  <c r="F85" i="10"/>
  <c r="E85" i="10"/>
  <c r="F84" i="10"/>
  <c r="E84" i="10"/>
  <c r="F82" i="10"/>
  <c r="E82" i="10"/>
  <c r="F80" i="10"/>
  <c r="E80" i="10"/>
  <c r="D80" i="10"/>
  <c r="G80" i="10" s="1"/>
  <c r="H80" i="10" s="1"/>
  <c r="I80" i="10" s="1"/>
  <c r="C101" i="10"/>
  <c r="D101" i="10" s="1"/>
  <c r="D100" i="10"/>
  <c r="H102" i="10"/>
  <c r="I102" i="10"/>
  <c r="G102" i="10"/>
  <c r="F102" i="10"/>
  <c r="E102" i="10"/>
  <c r="D102" i="10"/>
  <c r="E99" i="10"/>
  <c r="F99" i="10" s="1"/>
  <c r="G99" i="10" s="1"/>
  <c r="H99" i="10" s="1"/>
  <c r="I99" i="10" s="1"/>
  <c r="G84" i="10"/>
  <c r="H84" i="10" s="1"/>
  <c r="I84" i="10" s="1"/>
  <c r="H33" i="10"/>
  <c r="J47" i="10"/>
  <c r="J45" i="10"/>
  <c r="J41" i="10"/>
  <c r="J42" i="10" s="1"/>
  <c r="J43" i="10" s="1"/>
  <c r="J37" i="10"/>
  <c r="J38" i="10" s="1"/>
  <c r="J39" i="10" s="1"/>
  <c r="I33" i="10"/>
  <c r="G33" i="10"/>
  <c r="G82" i="10" l="1"/>
  <c r="H82" i="10" s="1"/>
  <c r="I82" i="10" s="1"/>
  <c r="G100" i="10"/>
  <c r="E100" i="10"/>
  <c r="F100" i="10"/>
  <c r="I100" i="10"/>
  <c r="H100" i="10"/>
  <c r="H101" i="10"/>
  <c r="E101" i="10"/>
  <c r="F101" i="10"/>
  <c r="G101" i="10"/>
  <c r="I101" i="10"/>
  <c r="G85" i="10"/>
  <c r="H85" i="10" s="1"/>
  <c r="I85" i="10" s="1"/>
  <c r="BM17" i="16" s="1"/>
  <c r="BM62" i="17" l="1"/>
  <c r="BM54" i="17"/>
  <c r="BM46" i="17"/>
  <c r="BM38" i="17"/>
  <c r="BM30" i="17"/>
  <c r="BM22" i="17"/>
  <c r="BM62" i="16"/>
  <c r="BM54" i="16"/>
  <c r="BM46" i="16"/>
  <c r="BM38" i="16"/>
  <c r="BM30" i="16"/>
  <c r="BM22" i="16"/>
  <c r="BM61" i="17"/>
  <c r="BM53" i="17"/>
  <c r="BM45" i="17"/>
  <c r="BM37" i="17"/>
  <c r="BM29" i="17"/>
  <c r="BM21" i="17"/>
  <c r="BM61" i="16"/>
  <c r="BM53" i="16"/>
  <c r="BM45" i="16"/>
  <c r="BM37" i="16"/>
  <c r="BM29" i="16"/>
  <c r="BM21" i="16"/>
  <c r="BM60" i="17"/>
  <c r="BM52" i="17"/>
  <c r="BM44" i="17"/>
  <c r="BM36" i="17"/>
  <c r="BM28" i="17"/>
  <c r="BM20" i="17"/>
  <c r="BM60" i="16"/>
  <c r="BM52" i="16"/>
  <c r="BM44" i="16"/>
  <c r="BM36" i="16"/>
  <c r="BM28" i="16"/>
  <c r="BM20" i="16"/>
  <c r="BM59" i="17"/>
  <c r="BM51" i="17"/>
  <c r="BM43" i="17"/>
  <c r="BM35" i="17"/>
  <c r="BM27" i="17"/>
  <c r="BM19" i="17"/>
  <c r="BM59" i="16"/>
  <c r="BM51" i="16"/>
  <c r="BM43" i="16"/>
  <c r="BM35" i="16"/>
  <c r="BM27" i="16"/>
  <c r="BM19" i="16"/>
  <c r="BM58" i="17"/>
  <c r="BM50" i="17"/>
  <c r="BM42" i="17"/>
  <c r="BM34" i="17"/>
  <c r="BM26" i="17"/>
  <c r="BM18" i="17"/>
  <c r="BM58" i="16"/>
  <c r="BM50" i="16"/>
  <c r="BM42" i="16"/>
  <c r="BM34" i="16"/>
  <c r="BM26" i="16"/>
  <c r="BM18" i="16"/>
  <c r="BM57" i="17"/>
  <c r="BM49" i="17"/>
  <c r="BM41" i="17"/>
  <c r="BM33" i="17"/>
  <c r="BM25" i="17"/>
  <c r="BM17" i="17"/>
  <c r="BM57" i="16"/>
  <c r="BM49" i="16"/>
  <c r="BM41" i="16"/>
  <c r="BM33" i="16"/>
  <c r="BM25" i="16"/>
  <c r="BM56" i="17"/>
  <c r="BM48" i="17"/>
  <c r="BM40" i="17"/>
  <c r="BM32" i="17"/>
  <c r="BM24" i="17"/>
  <c r="BM16" i="17"/>
  <c r="BM56" i="16"/>
  <c r="BM48" i="16"/>
  <c r="BM40" i="16"/>
  <c r="BM32" i="16"/>
  <c r="BM24" i="16"/>
  <c r="BM16" i="16"/>
  <c r="BM55" i="17"/>
  <c r="BM47" i="17"/>
  <c r="BM39" i="17"/>
  <c r="BM31" i="17"/>
  <c r="BM23" i="17"/>
  <c r="BM15" i="17"/>
  <c r="BM55" i="16"/>
  <c r="BM47" i="16"/>
  <c r="BM39" i="16"/>
  <c r="BM31" i="16"/>
  <c r="BM23" i="16"/>
  <c r="BM15" i="16"/>
  <c r="BM62" i="15"/>
  <c r="BM54" i="15"/>
  <c r="BM46" i="15"/>
  <c r="BM38" i="15"/>
  <c r="BM30" i="15"/>
  <c r="BM22" i="15"/>
  <c r="BM62" i="18"/>
  <c r="BM54" i="18"/>
  <c r="BM46" i="18"/>
  <c r="BM38" i="18"/>
  <c r="BM30" i="18"/>
  <c r="BM61" i="15"/>
  <c r="BM53" i="15"/>
  <c r="BM45" i="15"/>
  <c r="BM37" i="15"/>
  <c r="BM29" i="15"/>
  <c r="BM21" i="15"/>
  <c r="BM61" i="18"/>
  <c r="BM53" i="18"/>
  <c r="BM45" i="18"/>
  <c r="BM37" i="18"/>
  <c r="BM29" i="18"/>
  <c r="BM21" i="18"/>
  <c r="BM60" i="15"/>
  <c r="BM52" i="15"/>
  <c r="BM44" i="15"/>
  <c r="BM36" i="15"/>
  <c r="BM28" i="15"/>
  <c r="BM20" i="15"/>
  <c r="BM60" i="18"/>
  <c r="BM52" i="18"/>
  <c r="BM44" i="18"/>
  <c r="BM36" i="18"/>
  <c r="BM28" i="18"/>
  <c r="BM20" i="18"/>
  <c r="BM59" i="15"/>
  <c r="BM51" i="15"/>
  <c r="BM43" i="15"/>
  <c r="BM35" i="15"/>
  <c r="BM27" i="15"/>
  <c r="BM19" i="15"/>
  <c r="BM59" i="18"/>
  <c r="BM51" i="18"/>
  <c r="BM43" i="18"/>
  <c r="BM35" i="18"/>
  <c r="BM27" i="18"/>
  <c r="BM19" i="18"/>
  <c r="BM18" i="18"/>
  <c r="BM58" i="15"/>
  <c r="BM50" i="15"/>
  <c r="BM42" i="15"/>
  <c r="BM34" i="15"/>
  <c r="BM26" i="15"/>
  <c r="BM18" i="15"/>
  <c r="BM58" i="18"/>
  <c r="BM50" i="18"/>
  <c r="BM42" i="18"/>
  <c r="BM34" i="18"/>
  <c r="BM26" i="18"/>
  <c r="BM57" i="15"/>
  <c r="BM49" i="15"/>
  <c r="BM41" i="15"/>
  <c r="BM33" i="15"/>
  <c r="BM25" i="15"/>
  <c r="BM17" i="15"/>
  <c r="BM57" i="18"/>
  <c r="BM49" i="18"/>
  <c r="BM41" i="18"/>
  <c r="BM33" i="18"/>
  <c r="BM25" i="18"/>
  <c r="BM17" i="18"/>
  <c r="BM56" i="15"/>
  <c r="BM48" i="15"/>
  <c r="BM40" i="15"/>
  <c r="BM32" i="15"/>
  <c r="BM24" i="15"/>
  <c r="BM16" i="15"/>
  <c r="BM56" i="18"/>
  <c r="BM48" i="18"/>
  <c r="BM40" i="18"/>
  <c r="BM32" i="18"/>
  <c r="BM24" i="18"/>
  <c r="BM16" i="18"/>
  <c r="BM55" i="15"/>
  <c r="BM47" i="15"/>
  <c r="BM39" i="15"/>
  <c r="BM31" i="15"/>
  <c r="BM23" i="15"/>
  <c r="BM15" i="15"/>
  <c r="BM55" i="18"/>
  <c r="BM47" i="18"/>
  <c r="BM39" i="18"/>
  <c r="BM31" i="18"/>
  <c r="BM23" i="18"/>
  <c r="BM22" i="18"/>
  <c r="G87" i="10" l="1"/>
  <c r="H87" i="10" s="1"/>
  <c r="I87" i="10" s="1"/>
  <c r="G88" i="10" l="1"/>
  <c r="H88" i="10" s="1"/>
  <c r="I88" i="10" s="1"/>
  <c r="BM55" i="22" s="1"/>
  <c r="BM23" i="22"/>
  <c r="BM18" i="22"/>
  <c r="BM57" i="22"/>
  <c r="BM29" i="22"/>
  <c r="BM36" i="22"/>
  <c r="BM16" i="22"/>
  <c r="BM46" i="22"/>
  <c r="BM42" i="22"/>
  <c r="BM17" i="22"/>
  <c r="BM46" i="21"/>
  <c r="BM21" i="21"/>
  <c r="BM51" i="22"/>
  <c r="BM32" i="21"/>
  <c r="BM21" i="22"/>
  <c r="BM27" i="22"/>
  <c r="BM28" i="21"/>
  <c r="BM29" i="21"/>
  <c r="BM25" i="21"/>
  <c r="BM50" i="22"/>
  <c r="BM55" i="21"/>
  <c r="BM36" i="21"/>
  <c r="BM26" i="22"/>
  <c r="BM52" i="22"/>
  <c r="BM16" i="21"/>
  <c r="BM24" i="21"/>
  <c r="BM41" i="21"/>
  <c r="BM54" i="21"/>
  <c r="BM33" i="21"/>
  <c r="BM23" i="21"/>
  <c r="BM59" i="21"/>
  <c r="BM31" i="21"/>
  <c r="BM40" i="21"/>
  <c r="BM28" i="22"/>
  <c r="BM61" i="21"/>
  <c r="BM32" i="22"/>
  <c r="BM42" i="21"/>
  <c r="BM18" i="21"/>
  <c r="BM58" i="21"/>
  <c r="BM49" i="21"/>
  <c r="BM27" i="21"/>
  <c r="BM15" i="22"/>
  <c r="BR15" i="22" s="1"/>
  <c r="BM49" i="22"/>
  <c r="BM44" i="21"/>
  <c r="BM37" i="22"/>
  <c r="BM30" i="22"/>
  <c r="BM56" i="21"/>
  <c r="BM39" i="22"/>
  <c r="BM26" i="21"/>
  <c r="BM62" i="21"/>
  <c r="BM57" i="21"/>
  <c r="BM35" i="21"/>
  <c r="BM31" i="22"/>
  <c r="BM61" i="22"/>
  <c r="BM48" i="21"/>
  <c r="BM37" i="21"/>
  <c r="BM15" i="21"/>
  <c r="BR15" i="21" s="1"/>
  <c r="BM34" i="21"/>
  <c r="BM20" i="22"/>
  <c r="BM22" i="21"/>
  <c r="BM39" i="21"/>
  <c r="BM33" i="22"/>
  <c r="BM19" i="21"/>
  <c r="BM52" i="21"/>
  <c r="BM53" i="21"/>
  <c r="BM34" i="22"/>
  <c r="BM54" i="22"/>
  <c r="BM47" i="21"/>
  <c r="BM38" i="21"/>
  <c r="BM22" i="22"/>
  <c r="BM30" i="21"/>
  <c r="BM43" i="21"/>
  <c r="BM35" i="22"/>
  <c r="BM20" i="21"/>
  <c r="BM60" i="21"/>
  <c r="BM50" i="21" l="1"/>
  <c r="BM51" i="21"/>
  <c r="BM60" i="22"/>
  <c r="BM48" i="22"/>
  <c r="BM19" i="22"/>
  <c r="BM25" i="22"/>
  <c r="BM59" i="22"/>
  <c r="BM45" i="22"/>
  <c r="BM53" i="22"/>
  <c r="BM44" i="22"/>
  <c r="BM24" i="22"/>
  <c r="BM47" i="22"/>
  <c r="BM17" i="21"/>
  <c r="BM40" i="22"/>
  <c r="BM45" i="21"/>
  <c r="BM56" i="22"/>
  <c r="BM41" i="22"/>
  <c r="BM38" i="22"/>
  <c r="BM58" i="22"/>
  <c r="BM62" i="22"/>
  <c r="BM43" i="22"/>
  <c r="K79" i="10"/>
  <c r="K80" i="10"/>
  <c r="K84" i="10"/>
  <c r="K82" i="10"/>
  <c r="K85" i="10"/>
  <c r="K86" i="10"/>
  <c r="K88" i="10"/>
  <c r="K87" i="10"/>
  <c r="G90" i="10"/>
  <c r="H90" i="10" s="1"/>
  <c r="I90" i="10" s="1"/>
  <c r="G91" i="10" l="1"/>
  <c r="H91" i="10" s="1"/>
  <c r="I91" i="10" s="1"/>
  <c r="AA76" i="18" l="1"/>
  <c r="D75" i="18"/>
  <c r="AI74" i="18"/>
  <c r="B74" i="18"/>
  <c r="AH73" i="18"/>
  <c r="B73" i="18"/>
  <c r="AH72" i="18"/>
  <c r="B72" i="18"/>
  <c r="AH71" i="18"/>
  <c r="B71" i="18"/>
  <c r="AK70" i="18"/>
  <c r="AH70" i="18"/>
  <c r="B70" i="18"/>
  <c r="AL69" i="18"/>
  <c r="AK69" i="18"/>
  <c r="B69" i="18"/>
  <c r="AI67" i="18"/>
  <c r="AI66" i="18"/>
  <c r="B66" i="18"/>
  <c r="B67" i="18" s="1"/>
  <c r="AI65" i="18"/>
  <c r="B65" i="18"/>
  <c r="AI64" i="18"/>
  <c r="AI72" i="18" s="1"/>
  <c r="D63" i="18"/>
  <c r="C63" i="18"/>
  <c r="B63" i="18"/>
  <c r="BH62" i="18"/>
  <c r="BI62" i="18" s="1"/>
  <c r="BE62" i="18"/>
  <c r="BD62" i="18"/>
  <c r="AZ62" i="18"/>
  <c r="BA62" i="18" s="1"/>
  <c r="AY62" i="18"/>
  <c r="AR62" i="18"/>
  <c r="AQ62" i="18"/>
  <c r="AP62" i="18"/>
  <c r="AN62" i="18"/>
  <c r="AM62" i="18"/>
  <c r="AK62" i="18"/>
  <c r="AC62" i="18"/>
  <c r="V62" i="18"/>
  <c r="J62" i="18"/>
  <c r="BH61" i="18"/>
  <c r="BI61" i="18" s="1"/>
  <c r="BE61" i="18"/>
  <c r="BD61" i="18"/>
  <c r="AZ61" i="18"/>
  <c r="BA61" i="18" s="1"/>
  <c r="AY61" i="18"/>
  <c r="AT61" i="18"/>
  <c r="AR61" i="18"/>
  <c r="AQ61" i="18"/>
  <c r="AP61" i="18"/>
  <c r="AN61" i="18"/>
  <c r="AM61" i="18"/>
  <c r="AK61" i="18"/>
  <c r="AC61" i="18"/>
  <c r="V61" i="18"/>
  <c r="J61" i="18"/>
  <c r="BH60" i="18"/>
  <c r="BI60" i="18" s="1"/>
  <c r="BE60" i="18"/>
  <c r="BD60" i="18"/>
  <c r="AZ60" i="18"/>
  <c r="BA60" i="18" s="1"/>
  <c r="AY60" i="18"/>
  <c r="AQ60" i="18"/>
  <c r="AN60" i="18"/>
  <c r="AP60" i="18" s="1"/>
  <c r="AR60" i="18" s="1"/>
  <c r="AM60" i="18"/>
  <c r="AK60" i="18"/>
  <c r="AC60" i="18"/>
  <c r="V60" i="18"/>
  <c r="J60" i="18"/>
  <c r="BH59" i="18"/>
  <c r="BI59" i="18" s="1"/>
  <c r="BE59" i="18"/>
  <c r="BD59" i="18"/>
  <c r="AZ59" i="18"/>
  <c r="BA59" i="18" s="1"/>
  <c r="AY59" i="18"/>
  <c r="AQ59" i="18"/>
  <c r="AP59" i="18"/>
  <c r="AR59" i="18" s="1"/>
  <c r="AN59" i="18"/>
  <c r="AM59" i="18"/>
  <c r="AK59" i="18"/>
  <c r="AC59" i="18"/>
  <c r="V59" i="18"/>
  <c r="J59" i="18"/>
  <c r="BH58" i="18"/>
  <c r="BI58" i="18" s="1"/>
  <c r="BE58" i="18"/>
  <c r="BD58" i="18"/>
  <c r="AZ58" i="18"/>
  <c r="BA58" i="18" s="1"/>
  <c r="AY58" i="18"/>
  <c r="AR58" i="18"/>
  <c r="AQ58" i="18"/>
  <c r="AP58" i="18"/>
  <c r="AN58" i="18"/>
  <c r="AM58" i="18"/>
  <c r="AK58" i="18"/>
  <c r="J58" i="18"/>
  <c r="BH57" i="18"/>
  <c r="BI57" i="18" s="1"/>
  <c r="BE57" i="18"/>
  <c r="BD57" i="18"/>
  <c r="AZ57" i="18"/>
  <c r="BA57" i="18" s="1"/>
  <c r="AY57" i="18"/>
  <c r="AR57" i="18"/>
  <c r="AQ57" i="18"/>
  <c r="AP57" i="18"/>
  <c r="AN57" i="18"/>
  <c r="AM57" i="18"/>
  <c r="AK57" i="18"/>
  <c r="J57" i="18"/>
  <c r="BH56" i="18"/>
  <c r="BI56" i="18" s="1"/>
  <c r="BE56" i="18"/>
  <c r="BD56" i="18"/>
  <c r="AZ56" i="18"/>
  <c r="BA56" i="18" s="1"/>
  <c r="AY56" i="18"/>
  <c r="AR56" i="18"/>
  <c r="AQ56" i="18"/>
  <c r="AP56" i="18"/>
  <c r="AN56" i="18"/>
  <c r="AM56" i="18"/>
  <c r="AK56" i="18"/>
  <c r="AC56" i="18"/>
  <c r="J56" i="18"/>
  <c r="BH55" i="18"/>
  <c r="BI55" i="18" s="1"/>
  <c r="BE55" i="18"/>
  <c r="BD55" i="18"/>
  <c r="BA55" i="18"/>
  <c r="AZ55" i="18"/>
  <c r="AY55" i="18"/>
  <c r="AQ55" i="18"/>
  <c r="AN55" i="18"/>
  <c r="AM55" i="18"/>
  <c r="AP55" i="18" s="1"/>
  <c r="AK55" i="18"/>
  <c r="AC55" i="18"/>
  <c r="V55" i="18"/>
  <c r="J55" i="18"/>
  <c r="BH54" i="18"/>
  <c r="BI54" i="18" s="1"/>
  <c r="BE54" i="18"/>
  <c r="BD54" i="18"/>
  <c r="BA54" i="18"/>
  <c r="AZ54" i="18"/>
  <c r="AY54" i="18"/>
  <c r="AQ54" i="18"/>
  <c r="AR54" i="18" s="1"/>
  <c r="AN54" i="18"/>
  <c r="AM54" i="18"/>
  <c r="AP54" i="18" s="1"/>
  <c r="AK54" i="18"/>
  <c r="AC54" i="18"/>
  <c r="V54" i="18"/>
  <c r="J54" i="18"/>
  <c r="BH53" i="18"/>
  <c r="BI53" i="18" s="1"/>
  <c r="BE53" i="18"/>
  <c r="BD53" i="18"/>
  <c r="AZ53" i="18"/>
  <c r="AY53" i="18"/>
  <c r="BA53" i="18" s="1"/>
  <c r="AQ53" i="18"/>
  <c r="AR53" i="18" s="1"/>
  <c r="AN53" i="18"/>
  <c r="AM53" i="18"/>
  <c r="AP53" i="18" s="1"/>
  <c r="AK53" i="18"/>
  <c r="AC53" i="18"/>
  <c r="V53" i="18"/>
  <c r="J53" i="18"/>
  <c r="BH52" i="18"/>
  <c r="BI52" i="18" s="1"/>
  <c r="BE52" i="18"/>
  <c r="BD52" i="18"/>
  <c r="AZ52" i="18"/>
  <c r="AY52" i="18"/>
  <c r="BA52" i="18" s="1"/>
  <c r="AQ52" i="18"/>
  <c r="AR52" i="18" s="1"/>
  <c r="AP52" i="18"/>
  <c r="AN52" i="18"/>
  <c r="AM52" i="18"/>
  <c r="AK52" i="18"/>
  <c r="J52" i="18"/>
  <c r="BH51" i="18"/>
  <c r="BI51" i="18" s="1"/>
  <c r="BE51" i="18"/>
  <c r="BD51" i="18"/>
  <c r="AZ51" i="18"/>
  <c r="AY51" i="18"/>
  <c r="BA51" i="18" s="1"/>
  <c r="AQ51" i="18"/>
  <c r="AR51" i="18" s="1"/>
  <c r="AP51" i="18"/>
  <c r="AN51" i="18"/>
  <c r="AM51" i="18"/>
  <c r="AK51" i="18"/>
  <c r="J51" i="18"/>
  <c r="BH50" i="18"/>
  <c r="BI50" i="18" s="1"/>
  <c r="BE50" i="18"/>
  <c r="BD50" i="18"/>
  <c r="AZ50" i="18"/>
  <c r="AY50" i="18"/>
  <c r="BA50" i="18" s="1"/>
  <c r="AQ50" i="18"/>
  <c r="AR50" i="18" s="1"/>
  <c r="AP50" i="18"/>
  <c r="AN50" i="18"/>
  <c r="AM50" i="18"/>
  <c r="AK50" i="18"/>
  <c r="AC50" i="18"/>
  <c r="V50" i="18"/>
  <c r="J50" i="18"/>
  <c r="BH49" i="18"/>
  <c r="BI49" i="18" s="1"/>
  <c r="BE49" i="18"/>
  <c r="BD49" i="18"/>
  <c r="AZ49" i="18"/>
  <c r="AY49" i="18"/>
  <c r="BA49" i="18" s="1"/>
  <c r="AQ49" i="18"/>
  <c r="AN49" i="18"/>
  <c r="AM49" i="18"/>
  <c r="AP49" i="18" s="1"/>
  <c r="AK49" i="18"/>
  <c r="AC49" i="18"/>
  <c r="J49" i="18"/>
  <c r="BH48" i="18"/>
  <c r="BI48" i="18" s="1"/>
  <c r="BE48" i="18"/>
  <c r="BD48" i="18"/>
  <c r="AZ48" i="18"/>
  <c r="BA48" i="18" s="1"/>
  <c r="AY48" i="18"/>
  <c r="AR48" i="18"/>
  <c r="AQ48" i="18"/>
  <c r="AP48" i="18"/>
  <c r="AN48" i="18"/>
  <c r="AM48" i="18"/>
  <c r="AK48" i="18"/>
  <c r="AC48" i="18"/>
  <c r="V48" i="18"/>
  <c r="J48" i="18"/>
  <c r="BH47" i="18"/>
  <c r="BI47" i="18" s="1"/>
  <c r="BE47" i="18"/>
  <c r="BD47" i="18"/>
  <c r="AZ47" i="18"/>
  <c r="BA47" i="18" s="1"/>
  <c r="AY47" i="18"/>
  <c r="AQ47" i="18"/>
  <c r="AP47" i="18"/>
  <c r="AR47" i="18" s="1"/>
  <c r="AN47" i="18"/>
  <c r="AM47" i="18"/>
  <c r="AK47" i="18"/>
  <c r="AC47" i="18"/>
  <c r="V47" i="18"/>
  <c r="J47" i="18"/>
  <c r="BH46" i="18"/>
  <c r="BI46" i="18" s="1"/>
  <c r="BE46" i="18"/>
  <c r="BD46" i="18"/>
  <c r="AZ46" i="18"/>
  <c r="BA46" i="18" s="1"/>
  <c r="AY46" i="18"/>
  <c r="AQ46" i="18"/>
  <c r="AN46" i="18"/>
  <c r="AP46" i="18" s="1"/>
  <c r="AR46" i="18" s="1"/>
  <c r="AM46" i="18"/>
  <c r="AK46" i="18"/>
  <c r="J46" i="18"/>
  <c r="BH45" i="18"/>
  <c r="BI45" i="18" s="1"/>
  <c r="BE45" i="18"/>
  <c r="BD45" i="18"/>
  <c r="AZ45" i="18"/>
  <c r="BA45" i="18" s="1"/>
  <c r="AY45" i="18"/>
  <c r="AT45" i="18"/>
  <c r="AQ45" i="18"/>
  <c r="AN45" i="18"/>
  <c r="AP45" i="18" s="1"/>
  <c r="AR45" i="18" s="1"/>
  <c r="AM45" i="18"/>
  <c r="AK45" i="18"/>
  <c r="J45" i="18"/>
  <c r="BH44" i="18"/>
  <c r="BI44" i="18" s="1"/>
  <c r="BE44" i="18"/>
  <c r="BD44" i="18"/>
  <c r="AZ44" i="18"/>
  <c r="BA44" i="18" s="1"/>
  <c r="AY44" i="18"/>
  <c r="AQ44" i="18"/>
  <c r="AP44" i="18"/>
  <c r="AR44" i="18" s="1"/>
  <c r="AN44" i="18"/>
  <c r="AM44" i="18"/>
  <c r="AK44" i="18"/>
  <c r="AC44" i="18"/>
  <c r="V44" i="18"/>
  <c r="J44" i="18"/>
  <c r="BH43" i="18"/>
  <c r="BI43" i="18" s="1"/>
  <c r="BE43" i="18"/>
  <c r="BD43" i="18"/>
  <c r="AZ43" i="18"/>
  <c r="AY43" i="18"/>
  <c r="AQ43" i="18"/>
  <c r="AN43" i="18"/>
  <c r="AM43" i="18"/>
  <c r="AP43" i="18" s="1"/>
  <c r="AR43" i="18" s="1"/>
  <c r="AK43" i="18"/>
  <c r="AC43" i="18"/>
  <c r="V43" i="18"/>
  <c r="J43" i="18"/>
  <c r="BH42" i="18"/>
  <c r="BI42" i="18" s="1"/>
  <c r="BE42" i="18"/>
  <c r="BD42" i="18"/>
  <c r="AZ42" i="18"/>
  <c r="BA42" i="18" s="1"/>
  <c r="AY42" i="18"/>
  <c r="AQ42" i="18"/>
  <c r="AP42" i="18"/>
  <c r="AR42" i="18" s="1"/>
  <c r="AN42" i="18"/>
  <c r="AM42" i="18"/>
  <c r="AK42" i="18"/>
  <c r="AC42" i="18"/>
  <c r="V42" i="18"/>
  <c r="J42" i="18"/>
  <c r="BH41" i="18"/>
  <c r="BI41" i="18" s="1"/>
  <c r="BE41" i="18"/>
  <c r="BD41" i="18"/>
  <c r="AZ41" i="18"/>
  <c r="BA41" i="18" s="1"/>
  <c r="AY41" i="18"/>
  <c r="AR41" i="18"/>
  <c r="AQ41" i="18"/>
  <c r="AN41" i="18"/>
  <c r="AM41" i="18"/>
  <c r="AP41" i="18" s="1"/>
  <c r="AK41" i="18"/>
  <c r="AC41" i="18"/>
  <c r="V41" i="18"/>
  <c r="J41" i="18"/>
  <c r="BH40" i="18"/>
  <c r="BI40" i="18" s="1"/>
  <c r="BE40" i="18"/>
  <c r="BD40" i="18"/>
  <c r="BA40" i="18"/>
  <c r="AZ40" i="18"/>
  <c r="AY40" i="18"/>
  <c r="AQ40" i="18"/>
  <c r="AP40" i="18"/>
  <c r="AN40" i="18"/>
  <c r="AM40" i="18"/>
  <c r="AK40" i="18"/>
  <c r="J40" i="18"/>
  <c r="BH39" i="18"/>
  <c r="BI39" i="18" s="1"/>
  <c r="BE39" i="18"/>
  <c r="BD39" i="18"/>
  <c r="AZ39" i="18"/>
  <c r="BA39" i="18" s="1"/>
  <c r="AY39" i="18"/>
  <c r="AQ39" i="18"/>
  <c r="AN39" i="18"/>
  <c r="AM39" i="18"/>
  <c r="AK39" i="18"/>
  <c r="J39" i="18"/>
  <c r="BH38" i="18"/>
  <c r="BI38" i="18" s="1"/>
  <c r="BE38" i="18"/>
  <c r="BD38" i="18"/>
  <c r="AZ38" i="18"/>
  <c r="BA38" i="18" s="1"/>
  <c r="AY38" i="18"/>
  <c r="AR38" i="18"/>
  <c r="AQ38" i="18"/>
  <c r="AN38" i="18"/>
  <c r="AM38" i="18"/>
  <c r="AP38" i="18" s="1"/>
  <c r="AK38" i="18"/>
  <c r="AC38" i="18"/>
  <c r="V38" i="18"/>
  <c r="J38" i="18"/>
  <c r="BH37" i="18"/>
  <c r="BI37" i="18" s="1"/>
  <c r="BE37" i="18"/>
  <c r="BD37" i="18"/>
  <c r="AZ37" i="18"/>
  <c r="BA37" i="18" s="1"/>
  <c r="AY37" i="18"/>
  <c r="AR37" i="18"/>
  <c r="AQ37" i="18"/>
  <c r="AP37" i="18"/>
  <c r="AN37" i="18"/>
  <c r="AM37" i="18"/>
  <c r="AK37" i="18"/>
  <c r="AC37" i="18"/>
  <c r="V37" i="18"/>
  <c r="J37" i="18"/>
  <c r="BH36" i="18"/>
  <c r="BI36" i="18" s="1"/>
  <c r="BE36" i="18"/>
  <c r="BD36" i="18"/>
  <c r="AZ36" i="18"/>
  <c r="AY36" i="18"/>
  <c r="AR36" i="18"/>
  <c r="AQ36" i="18"/>
  <c r="AN36" i="18"/>
  <c r="AP36" i="18" s="1"/>
  <c r="AM36" i="18"/>
  <c r="AK36" i="18"/>
  <c r="AC36" i="18"/>
  <c r="V36" i="18"/>
  <c r="J36" i="18"/>
  <c r="BH35" i="18"/>
  <c r="BI35" i="18" s="1"/>
  <c r="BE35" i="18"/>
  <c r="BD35" i="18"/>
  <c r="BA35" i="18"/>
  <c r="AZ35" i="18"/>
  <c r="AY35" i="18"/>
  <c r="AR35" i="18"/>
  <c r="AQ35" i="18"/>
  <c r="AP35" i="18"/>
  <c r="AN35" i="18"/>
  <c r="AM35" i="18"/>
  <c r="AK35" i="18"/>
  <c r="AC35" i="18"/>
  <c r="V35" i="18"/>
  <c r="J35" i="18"/>
  <c r="BH34" i="18"/>
  <c r="BI34" i="18" s="1"/>
  <c r="BE34" i="18"/>
  <c r="BD34" i="18"/>
  <c r="AZ34" i="18"/>
  <c r="BA34" i="18" s="1"/>
  <c r="AY34" i="18"/>
  <c r="AR34" i="18"/>
  <c r="AQ34" i="18"/>
  <c r="AP34" i="18"/>
  <c r="AN34" i="18"/>
  <c r="AM34" i="18"/>
  <c r="AK34" i="18"/>
  <c r="J34" i="18"/>
  <c r="BH33" i="18"/>
  <c r="BI33" i="18" s="1"/>
  <c r="BE33" i="18"/>
  <c r="BD33" i="18"/>
  <c r="AZ33" i="18"/>
  <c r="BA33" i="18" s="1"/>
  <c r="AY33" i="18"/>
  <c r="AR33" i="18"/>
  <c r="AQ33" i="18"/>
  <c r="AP33" i="18"/>
  <c r="AN33" i="18"/>
  <c r="AM33" i="18"/>
  <c r="AK33" i="18"/>
  <c r="J33" i="18"/>
  <c r="BH32" i="18"/>
  <c r="BI32" i="18" s="1"/>
  <c r="BE32" i="18"/>
  <c r="BD32" i="18"/>
  <c r="AZ32" i="18"/>
  <c r="BA32" i="18" s="1"/>
  <c r="AY32" i="18"/>
  <c r="AR32" i="18"/>
  <c r="AQ32" i="18"/>
  <c r="AP32" i="18"/>
  <c r="AN32" i="18"/>
  <c r="AM32" i="18"/>
  <c r="AK32" i="18"/>
  <c r="AD32" i="18"/>
  <c r="AC32" i="18"/>
  <c r="V32" i="18"/>
  <c r="J32" i="18"/>
  <c r="BH31" i="18"/>
  <c r="BI31" i="18" s="1"/>
  <c r="BE31" i="18"/>
  <c r="BD31" i="18"/>
  <c r="AZ31" i="18"/>
  <c r="BA31" i="18" s="1"/>
  <c r="AY31" i="18"/>
  <c r="AR31" i="18"/>
  <c r="AQ31" i="18"/>
  <c r="AP31" i="18"/>
  <c r="AN31" i="18"/>
  <c r="AM31" i="18"/>
  <c r="AK31" i="18"/>
  <c r="AC31" i="18"/>
  <c r="V31" i="18"/>
  <c r="J31" i="18"/>
  <c r="BH30" i="18"/>
  <c r="BI30" i="18" s="1"/>
  <c r="BE30" i="18"/>
  <c r="BD30" i="18"/>
  <c r="AZ30" i="18"/>
  <c r="BA30" i="18" s="1"/>
  <c r="AY30" i="18"/>
  <c r="AR30" i="18"/>
  <c r="AQ30" i="18"/>
  <c r="AP30" i="18"/>
  <c r="AN30" i="18"/>
  <c r="AM30" i="18"/>
  <c r="AK30" i="18"/>
  <c r="AC30" i="18"/>
  <c r="V30" i="18"/>
  <c r="J30" i="18"/>
  <c r="BH29" i="18"/>
  <c r="BI29" i="18" s="1"/>
  <c r="BE29" i="18"/>
  <c r="BD29" i="18"/>
  <c r="AZ29" i="18"/>
  <c r="BA29" i="18" s="1"/>
  <c r="AY29" i="18"/>
  <c r="AQ29" i="18"/>
  <c r="AR29" i="18" s="1"/>
  <c r="AN29" i="18"/>
  <c r="AM29" i="18"/>
  <c r="AP29" i="18" s="1"/>
  <c r="AK29" i="18"/>
  <c r="AC29" i="18"/>
  <c r="V29" i="18"/>
  <c r="J29" i="18"/>
  <c r="BH28" i="18"/>
  <c r="BI28" i="18" s="1"/>
  <c r="BE28" i="18"/>
  <c r="BD28" i="18"/>
  <c r="AZ28" i="18"/>
  <c r="AY28" i="18"/>
  <c r="BA28" i="18" s="1"/>
  <c r="AQ28" i="18"/>
  <c r="AR28" i="18" s="1"/>
  <c r="AN28" i="18"/>
  <c r="AP28" i="18" s="1"/>
  <c r="AM28" i="18"/>
  <c r="AK28" i="18"/>
  <c r="J28" i="18"/>
  <c r="BH27" i="18"/>
  <c r="BI27" i="18" s="1"/>
  <c r="BE27" i="18"/>
  <c r="BD27" i="18"/>
  <c r="AZ27" i="18"/>
  <c r="AY27" i="18"/>
  <c r="BA27" i="18" s="1"/>
  <c r="AQ27" i="18"/>
  <c r="AR27" i="18" s="1"/>
  <c r="AN27" i="18"/>
  <c r="AP27" i="18" s="1"/>
  <c r="AM27" i="18"/>
  <c r="AK27" i="18"/>
  <c r="J27" i="18"/>
  <c r="BH26" i="18"/>
  <c r="BI26" i="18" s="1"/>
  <c r="BE26" i="18"/>
  <c r="BD26" i="18"/>
  <c r="AZ26" i="18"/>
  <c r="AY26" i="18"/>
  <c r="BA26" i="18" s="1"/>
  <c r="AQ26" i="18"/>
  <c r="AR26" i="18" s="1"/>
  <c r="AP26" i="18"/>
  <c r="AN26" i="18"/>
  <c r="AM26" i="18"/>
  <c r="AK26" i="18"/>
  <c r="AC26" i="18"/>
  <c r="V26" i="18"/>
  <c r="J26" i="18"/>
  <c r="BH25" i="18"/>
  <c r="BI25" i="18" s="1"/>
  <c r="BE25" i="18"/>
  <c r="BD25" i="18"/>
  <c r="BA25" i="18"/>
  <c r="AZ25" i="18"/>
  <c r="AY25" i="18"/>
  <c r="AQ25" i="18"/>
  <c r="AR25" i="18" s="1"/>
  <c r="AP25" i="18"/>
  <c r="AN25" i="18"/>
  <c r="AM25" i="18"/>
  <c r="AK25" i="18"/>
  <c r="AC25" i="18"/>
  <c r="V25" i="18"/>
  <c r="J25" i="18"/>
  <c r="BH24" i="18"/>
  <c r="BI24" i="18" s="1"/>
  <c r="BE24" i="18"/>
  <c r="BD24" i="18"/>
  <c r="AZ24" i="18"/>
  <c r="BA24" i="18" s="1"/>
  <c r="AY24" i="18"/>
  <c r="AR24" i="18"/>
  <c r="AQ24" i="18"/>
  <c r="AN24" i="18"/>
  <c r="AM24" i="18"/>
  <c r="AP24" i="18" s="1"/>
  <c r="AK24" i="18"/>
  <c r="AC24" i="18"/>
  <c r="V24" i="18"/>
  <c r="J24" i="18"/>
  <c r="BH23" i="18"/>
  <c r="BI23" i="18" s="1"/>
  <c r="BE23" i="18"/>
  <c r="BD23" i="18"/>
  <c r="AZ23" i="18"/>
  <c r="BA23" i="18" s="1"/>
  <c r="AY23" i="18"/>
  <c r="AR23" i="18"/>
  <c r="AQ23" i="18"/>
  <c r="AN23" i="18"/>
  <c r="AM23" i="18"/>
  <c r="AP23" i="18" s="1"/>
  <c r="AK23" i="18"/>
  <c r="AC23" i="18"/>
  <c r="J23" i="18"/>
  <c r="BH22" i="18"/>
  <c r="BI22" i="18" s="1"/>
  <c r="BE22" i="18"/>
  <c r="BD22" i="18"/>
  <c r="BA22" i="18"/>
  <c r="AZ22" i="18"/>
  <c r="AY22" i="18"/>
  <c r="AR22" i="18"/>
  <c r="AQ22" i="18"/>
  <c r="AP22" i="18"/>
  <c r="AN22" i="18"/>
  <c r="AM22" i="18"/>
  <c r="AK22" i="18"/>
  <c r="J22" i="18"/>
  <c r="BH21" i="18"/>
  <c r="BI21" i="18" s="1"/>
  <c r="BE21" i="18"/>
  <c r="BD21" i="18"/>
  <c r="BA21" i="18"/>
  <c r="AZ21" i="18"/>
  <c r="AY21" i="18"/>
  <c r="AR21" i="18"/>
  <c r="AQ21" i="18"/>
  <c r="AN21" i="18"/>
  <c r="AM21" i="18"/>
  <c r="AP21" i="18" s="1"/>
  <c r="AK21" i="18"/>
  <c r="J21" i="18"/>
  <c r="BH20" i="18"/>
  <c r="BI20" i="18" s="1"/>
  <c r="BE20" i="18"/>
  <c r="BD20" i="18"/>
  <c r="BA20" i="18"/>
  <c r="AZ20" i="18"/>
  <c r="AY20" i="18"/>
  <c r="AR20" i="18"/>
  <c r="AQ20" i="18"/>
  <c r="AP20" i="18"/>
  <c r="AN20" i="18"/>
  <c r="AM20" i="18"/>
  <c r="AK20" i="18"/>
  <c r="AC20" i="18"/>
  <c r="V20" i="18"/>
  <c r="J20" i="18"/>
  <c r="BH19" i="18"/>
  <c r="BI19" i="18" s="1"/>
  <c r="BE19" i="18"/>
  <c r="BD19" i="18"/>
  <c r="AZ19" i="18"/>
  <c r="BA19" i="18" s="1"/>
  <c r="AY19" i="18"/>
  <c r="AR19" i="18"/>
  <c r="AQ19" i="18"/>
  <c r="AP19" i="18"/>
  <c r="AN19" i="18"/>
  <c r="AM19" i="18"/>
  <c r="AL19" i="18"/>
  <c r="AO19" i="18" s="1"/>
  <c r="AK19" i="18"/>
  <c r="AC19" i="18"/>
  <c r="AD19" i="18" s="1"/>
  <c r="V19" i="18"/>
  <c r="J19" i="18"/>
  <c r="BH18" i="18"/>
  <c r="BI18" i="18" s="1"/>
  <c r="BE18" i="18"/>
  <c r="BD18" i="18"/>
  <c r="BA18" i="18"/>
  <c r="AZ18" i="18"/>
  <c r="AY18" i="18"/>
  <c r="AQ18" i="18"/>
  <c r="AR18" i="18" s="1"/>
  <c r="AN18" i="18"/>
  <c r="AP18" i="18" s="1"/>
  <c r="AM18" i="18"/>
  <c r="AL18" i="18"/>
  <c r="AO18" i="18" s="1"/>
  <c r="AK18" i="18"/>
  <c r="AC18" i="18"/>
  <c r="V18" i="18"/>
  <c r="J18" i="18"/>
  <c r="B18" i="18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H17" i="18"/>
  <c r="BI17" i="18" s="1"/>
  <c r="BE17" i="18"/>
  <c r="BD17" i="18"/>
  <c r="AZ17" i="18"/>
  <c r="BA17" i="18" s="1"/>
  <c r="AY17" i="18"/>
  <c r="AQ17" i="18"/>
  <c r="AR17" i="18" s="1"/>
  <c r="AN17" i="18"/>
  <c r="AM17" i="18"/>
  <c r="AP17" i="18" s="1"/>
  <c r="AL17" i="18"/>
  <c r="AO17" i="18" s="1"/>
  <c r="AK17" i="18"/>
  <c r="AD17" i="18"/>
  <c r="J17" i="18"/>
  <c r="B17" i="18"/>
  <c r="BH16" i="18"/>
  <c r="BI16" i="18" s="1"/>
  <c r="BE16" i="18"/>
  <c r="BD16" i="18"/>
  <c r="AZ16" i="18"/>
  <c r="BA16" i="18" s="1"/>
  <c r="AY16" i="18"/>
  <c r="AR16" i="18"/>
  <c r="AQ16" i="18"/>
  <c r="AN16" i="18"/>
  <c r="AM16" i="18"/>
  <c r="AP16" i="18" s="1"/>
  <c r="AK16" i="18"/>
  <c r="J16" i="18"/>
  <c r="B16" i="18"/>
  <c r="BH15" i="18"/>
  <c r="BI15" i="18" s="1"/>
  <c r="BE15" i="18"/>
  <c r="BD15" i="18"/>
  <c r="BM15" i="18" s="1"/>
  <c r="AZ15" i="18"/>
  <c r="BA15" i="18" s="1"/>
  <c r="AY15" i="18"/>
  <c r="AR15" i="18"/>
  <c r="AQ15" i="18"/>
  <c r="AP15" i="18"/>
  <c r="AN15" i="18"/>
  <c r="AM15" i="18"/>
  <c r="AL15" i="18"/>
  <c r="AO15" i="18" s="1"/>
  <c r="AK15" i="18"/>
  <c r="J15" i="18"/>
  <c r="AI14" i="18"/>
  <c r="AH14" i="18"/>
  <c r="AA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AL13" i="18"/>
  <c r="AH12" i="18"/>
  <c r="AA12" i="18"/>
  <c r="AF12" i="18" s="1"/>
  <c r="AG12" i="18" s="1"/>
  <c r="T12" i="18"/>
  <c r="Y12" i="18" s="1"/>
  <c r="Z12" i="18" s="1"/>
  <c r="P12" i="18"/>
  <c r="B12" i="18"/>
  <c r="AD11" i="18"/>
  <c r="W18" i="18"/>
  <c r="AI10" i="18"/>
  <c r="T10" i="18"/>
  <c r="O10" i="18"/>
  <c r="K10" i="18"/>
  <c r="AI7" i="18"/>
  <c r="T7" i="18"/>
  <c r="O7" i="18"/>
  <c r="K7" i="18"/>
  <c r="AH4" i="18"/>
  <c r="T4" i="18"/>
  <c r="R4" i="18"/>
  <c r="AH2" i="18"/>
  <c r="V10" i="6"/>
  <c r="AC62" i="17"/>
  <c r="AC61" i="17"/>
  <c r="AC60" i="17"/>
  <c r="AC59" i="17"/>
  <c r="AD59" i="17" s="1"/>
  <c r="AC56" i="17"/>
  <c r="AC55" i="17"/>
  <c r="AC54" i="17"/>
  <c r="AC53" i="17"/>
  <c r="AD53" i="17" s="1"/>
  <c r="AC50" i="17"/>
  <c r="AC49" i="17"/>
  <c r="AC48" i="17"/>
  <c r="AD48" i="17" s="1"/>
  <c r="AC47" i="17"/>
  <c r="AD47" i="17" s="1"/>
  <c r="AC44" i="17"/>
  <c r="AD44" i="17" s="1"/>
  <c r="AC43" i="17"/>
  <c r="AC42" i="17"/>
  <c r="AC41" i="17"/>
  <c r="AD54" i="17"/>
  <c r="AD41" i="17"/>
  <c r="AC17" i="17"/>
  <c r="AC23" i="17"/>
  <c r="AC29" i="17"/>
  <c r="AC38" i="17"/>
  <c r="AD38" i="17" s="1"/>
  <c r="AC37" i="17"/>
  <c r="AC36" i="17"/>
  <c r="AC35" i="17"/>
  <c r="AC32" i="17"/>
  <c r="AD32" i="17" s="1"/>
  <c r="AC31" i="17"/>
  <c r="AC30" i="17"/>
  <c r="AC26" i="17"/>
  <c r="AC25" i="17"/>
  <c r="AD25" i="17" s="1"/>
  <c r="AC24" i="17"/>
  <c r="AC20" i="17"/>
  <c r="AC19" i="17"/>
  <c r="AC18" i="17"/>
  <c r="AD18" i="17" s="1"/>
  <c r="AC62" i="16"/>
  <c r="AD62" i="16" s="1"/>
  <c r="AC61" i="16"/>
  <c r="AD61" i="16" s="1"/>
  <c r="AC60" i="16"/>
  <c r="AC59" i="16"/>
  <c r="AD59" i="16" s="1"/>
  <c r="AC38" i="16"/>
  <c r="AC37" i="16"/>
  <c r="AC36" i="16"/>
  <c r="AC35" i="16"/>
  <c r="AD35" i="16" s="1"/>
  <c r="AC56" i="16"/>
  <c r="AC55" i="16"/>
  <c r="AD55" i="16" s="1"/>
  <c r="AC54" i="16"/>
  <c r="AC53" i="16"/>
  <c r="AD53" i="16" s="1"/>
  <c r="AC50" i="16"/>
  <c r="AD50" i="16" s="1"/>
  <c r="AC49" i="16"/>
  <c r="AC48" i="16"/>
  <c r="AC47" i="16"/>
  <c r="AD47" i="16" s="1"/>
  <c r="AC32" i="16"/>
  <c r="AD32" i="16" s="1"/>
  <c r="AC31" i="16"/>
  <c r="AC30" i="16"/>
  <c r="AC29" i="16"/>
  <c r="AD29" i="16" s="1"/>
  <c r="AC26" i="16"/>
  <c r="AD26" i="16" s="1"/>
  <c r="AC25" i="16"/>
  <c r="AC24" i="16"/>
  <c r="AC23" i="16"/>
  <c r="AD23" i="16" s="1"/>
  <c r="AC44" i="16"/>
  <c r="AC43" i="16"/>
  <c r="AC42" i="16"/>
  <c r="AC41" i="16"/>
  <c r="AD41" i="16" s="1"/>
  <c r="AC17" i="16"/>
  <c r="AD17" i="16" s="1"/>
  <c r="AC20" i="16"/>
  <c r="AC19" i="16"/>
  <c r="AC18" i="16"/>
  <c r="W20" i="17"/>
  <c r="W11" i="17"/>
  <c r="W17" i="17" s="1"/>
  <c r="AD61" i="17"/>
  <c r="AD26" i="17"/>
  <c r="AF12" i="17"/>
  <c r="AG12" i="17" s="1"/>
  <c r="AD11" i="17"/>
  <c r="AD20" i="17" s="1"/>
  <c r="V60" i="17"/>
  <c r="W60" i="17" s="1"/>
  <c r="V59" i="17"/>
  <c r="W59" i="17" s="1"/>
  <c r="V54" i="17"/>
  <c r="W54" i="17" s="1"/>
  <c r="V53" i="17"/>
  <c r="W53" i="17" s="1"/>
  <c r="V50" i="17"/>
  <c r="W50" i="17" s="1"/>
  <c r="V48" i="17"/>
  <c r="V47" i="17"/>
  <c r="V42" i="17"/>
  <c r="W42" i="17" s="1"/>
  <c r="V41" i="17"/>
  <c r="W41" i="17" s="1"/>
  <c r="V38" i="17"/>
  <c r="W38" i="17" s="1"/>
  <c r="V37" i="17"/>
  <c r="W37" i="17" s="1"/>
  <c r="V36" i="17"/>
  <c r="W36" i="17" s="1"/>
  <c r="V35" i="17"/>
  <c r="W35" i="17" s="1"/>
  <c r="V32" i="17"/>
  <c r="V30" i="17"/>
  <c r="W30" i="17" s="1"/>
  <c r="V29" i="17"/>
  <c r="W29" i="17" s="1"/>
  <c r="V26" i="17"/>
  <c r="W26" i="17" s="1"/>
  <c r="V25" i="17"/>
  <c r="W25" i="17" s="1"/>
  <c r="V23" i="17"/>
  <c r="V20" i="17"/>
  <c r="V19" i="17"/>
  <c r="V18" i="17"/>
  <c r="W56" i="17"/>
  <c r="AD60" i="16"/>
  <c r="AD56" i="16"/>
  <c r="AD54" i="16"/>
  <c r="AD44" i="16"/>
  <c r="AD43" i="16"/>
  <c r="AD42" i="16"/>
  <c r="AD38" i="16"/>
  <c r="AD37" i="16"/>
  <c r="AD31" i="16"/>
  <c r="AD24" i="16"/>
  <c r="AD18" i="16"/>
  <c r="AD11" i="16"/>
  <c r="AD25" i="16" s="1"/>
  <c r="W11" i="16"/>
  <c r="W56" i="16" s="1"/>
  <c r="V62" i="16"/>
  <c r="V61" i="16"/>
  <c r="V60" i="16"/>
  <c r="V59" i="16"/>
  <c r="V55" i="16"/>
  <c r="V54" i="16"/>
  <c r="V53" i="16"/>
  <c r="W53" i="16" s="1"/>
  <c r="V50" i="16"/>
  <c r="V48" i="16"/>
  <c r="V47" i="16"/>
  <c r="V44" i="16"/>
  <c r="V43" i="16"/>
  <c r="V42" i="16"/>
  <c r="V41" i="16"/>
  <c r="V38" i="16"/>
  <c r="W38" i="16" s="1"/>
  <c r="V37" i="16"/>
  <c r="V36" i="16"/>
  <c r="V35" i="16"/>
  <c r="V32" i="16"/>
  <c r="V31" i="16"/>
  <c r="V30" i="16"/>
  <c r="V29" i="16"/>
  <c r="V26" i="16"/>
  <c r="V25" i="16"/>
  <c r="V24" i="16"/>
  <c r="V20" i="16"/>
  <c r="W20" i="16" s="1"/>
  <c r="V19" i="16"/>
  <c r="W19" i="16" s="1"/>
  <c r="V18" i="16"/>
  <c r="W18" i="16" s="1"/>
  <c r="V50" i="15"/>
  <c r="W50" i="15" s="1"/>
  <c r="AC62" i="15"/>
  <c r="AC61" i="15"/>
  <c r="AD61" i="15" s="1"/>
  <c r="AC60" i="15"/>
  <c r="V60" i="15"/>
  <c r="AC56" i="15"/>
  <c r="AC55" i="15"/>
  <c r="AD55" i="15" s="1"/>
  <c r="AC54" i="15"/>
  <c r="V54" i="15"/>
  <c r="AC50" i="15"/>
  <c r="AC49" i="15"/>
  <c r="AD49" i="15" s="1"/>
  <c r="AC48" i="15"/>
  <c r="V48" i="15"/>
  <c r="AC44" i="15"/>
  <c r="AC43" i="15"/>
  <c r="AD43" i="15" s="1"/>
  <c r="AC42" i="15"/>
  <c r="AD42" i="15" s="1"/>
  <c r="V42" i="15"/>
  <c r="AC59" i="15"/>
  <c r="V59" i="15"/>
  <c r="AC53" i="15"/>
  <c r="AD53" i="15" s="1"/>
  <c r="V53" i="15"/>
  <c r="AC47" i="15"/>
  <c r="V47" i="15"/>
  <c r="W47" i="15" s="1"/>
  <c r="AC41" i="15"/>
  <c r="V41" i="15"/>
  <c r="AC38" i="15"/>
  <c r="V38" i="15"/>
  <c r="W38" i="15" s="1"/>
  <c r="AC32" i="15"/>
  <c r="V32" i="15"/>
  <c r="AC26" i="15"/>
  <c r="V26" i="15"/>
  <c r="W26" i="15" s="1"/>
  <c r="AC20" i="15"/>
  <c r="AD20" i="15" s="1"/>
  <c r="AE20" i="15" s="1"/>
  <c r="V20" i="15"/>
  <c r="AC37" i="15"/>
  <c r="V37" i="15"/>
  <c r="W37" i="15" s="1"/>
  <c r="AC31" i="15"/>
  <c r="AC25" i="15"/>
  <c r="V25" i="15"/>
  <c r="AC19" i="15"/>
  <c r="V19" i="15"/>
  <c r="AC36" i="15"/>
  <c r="V36" i="15"/>
  <c r="AC30" i="15"/>
  <c r="AD30" i="15" s="1"/>
  <c r="V30" i="15"/>
  <c r="AC24" i="15"/>
  <c r="AC18" i="15"/>
  <c r="V18" i="15"/>
  <c r="W18" i="15" s="1"/>
  <c r="X18" i="15" s="1"/>
  <c r="AC35" i="15"/>
  <c r="AD35" i="15" s="1"/>
  <c r="V35" i="15"/>
  <c r="AC29" i="15"/>
  <c r="V29" i="15"/>
  <c r="W29" i="15" s="1"/>
  <c r="AC23" i="15"/>
  <c r="AD23" i="15" s="1"/>
  <c r="V23" i="15"/>
  <c r="AC17" i="15"/>
  <c r="AD11" i="15"/>
  <c r="AD38" i="15" s="1"/>
  <c r="W11" i="15"/>
  <c r="W60" i="15" s="1"/>
  <c r="AD17" i="15"/>
  <c r="AE17" i="15" s="1"/>
  <c r="AD56" i="15"/>
  <c r="AD47" i="15"/>
  <c r="AD41" i="15"/>
  <c r="AD32" i="15"/>
  <c r="AD26" i="15"/>
  <c r="AD19" i="15"/>
  <c r="W20" i="15"/>
  <c r="X20" i="15" s="1"/>
  <c r="W17" i="15"/>
  <c r="X17" i="15" s="1"/>
  <c r="W61" i="15"/>
  <c r="W59" i="15"/>
  <c r="W56" i="15"/>
  <c r="W53" i="15"/>
  <c r="W48" i="15"/>
  <c r="W44" i="15"/>
  <c r="W43" i="15"/>
  <c r="W36" i="15"/>
  <c r="W35" i="15"/>
  <c r="W31" i="15"/>
  <c r="W30" i="15"/>
  <c r="W25" i="15"/>
  <c r="W24" i="15"/>
  <c r="W19" i="15"/>
  <c r="X19" i="15" s="1"/>
  <c r="Y12" i="15"/>
  <c r="Z12" i="15" s="1"/>
  <c r="W23" i="15"/>
  <c r="AA76" i="17"/>
  <c r="D75" i="17"/>
  <c r="B75" i="17"/>
  <c r="AI74" i="17"/>
  <c r="B74" i="17"/>
  <c r="AH73" i="17"/>
  <c r="B73" i="17"/>
  <c r="AH72" i="17"/>
  <c r="B72" i="17"/>
  <c r="AH71" i="17"/>
  <c r="B71" i="17"/>
  <c r="AK70" i="17"/>
  <c r="AH70" i="17"/>
  <c r="B70" i="17"/>
  <c r="AL69" i="17"/>
  <c r="AK69" i="17"/>
  <c r="B69" i="17"/>
  <c r="AI67" i="17"/>
  <c r="AI66" i="17"/>
  <c r="AI65" i="17"/>
  <c r="B65" i="17"/>
  <c r="B66" i="17" s="1"/>
  <c r="B67" i="17" s="1"/>
  <c r="AI64" i="17"/>
  <c r="D63" i="17"/>
  <c r="C63" i="17"/>
  <c r="B63" i="17"/>
  <c r="BH62" i="17"/>
  <c r="BI62" i="17" s="1"/>
  <c r="BE62" i="17"/>
  <c r="BD62" i="17"/>
  <c r="AZ62" i="17"/>
  <c r="BA62" i="17" s="1"/>
  <c r="AY62" i="17"/>
  <c r="AQ62" i="17"/>
  <c r="AN62" i="17"/>
  <c r="AM62" i="17"/>
  <c r="AK62" i="17"/>
  <c r="J62" i="17"/>
  <c r="BH61" i="17"/>
  <c r="BI61" i="17" s="1"/>
  <c r="BE61" i="17"/>
  <c r="BD61" i="17"/>
  <c r="AZ61" i="17"/>
  <c r="AY61" i="17"/>
  <c r="AQ61" i="17"/>
  <c r="AN61" i="17"/>
  <c r="AM61" i="17"/>
  <c r="AK61" i="17"/>
  <c r="J61" i="17"/>
  <c r="BH60" i="17"/>
  <c r="BI60" i="17" s="1"/>
  <c r="BE60" i="17"/>
  <c r="BD60" i="17"/>
  <c r="AZ60" i="17"/>
  <c r="BA60" i="17" s="1"/>
  <c r="AY60" i="17"/>
  <c r="AQ60" i="17"/>
  <c r="AN60" i="17"/>
  <c r="AM60" i="17"/>
  <c r="AK60" i="17"/>
  <c r="J60" i="17"/>
  <c r="BH59" i="17"/>
  <c r="BI59" i="17" s="1"/>
  <c r="BE59" i="17"/>
  <c r="BD59" i="17"/>
  <c r="AZ59" i="17"/>
  <c r="BA59" i="17" s="1"/>
  <c r="AY59" i="17"/>
  <c r="AQ59" i="17"/>
  <c r="AN59" i="17"/>
  <c r="AM59" i="17"/>
  <c r="AK59" i="17"/>
  <c r="J59" i="17"/>
  <c r="BH58" i="17"/>
  <c r="BI58" i="17" s="1"/>
  <c r="BE58" i="17"/>
  <c r="BD58" i="17"/>
  <c r="AZ58" i="17"/>
  <c r="AY58" i="17"/>
  <c r="AQ58" i="17"/>
  <c r="AN58" i="17"/>
  <c r="AM58" i="17"/>
  <c r="AK58" i="17"/>
  <c r="J58" i="17"/>
  <c r="BH57" i="17"/>
  <c r="BI57" i="17" s="1"/>
  <c r="BE57" i="17"/>
  <c r="BD57" i="17"/>
  <c r="AZ57" i="17"/>
  <c r="AY57" i="17"/>
  <c r="BA57" i="17" s="1"/>
  <c r="AQ57" i="17"/>
  <c r="AN57" i="17"/>
  <c r="AM57" i="17"/>
  <c r="AP57" i="17" s="1"/>
  <c r="AK57" i="17"/>
  <c r="J57" i="17"/>
  <c r="BH56" i="17"/>
  <c r="BI56" i="17" s="1"/>
  <c r="BE56" i="17"/>
  <c r="BD56" i="17"/>
  <c r="AZ56" i="17"/>
  <c r="BA56" i="17" s="1"/>
  <c r="AY56" i="17"/>
  <c r="AQ56" i="17"/>
  <c r="AN56" i="17"/>
  <c r="AM56" i="17"/>
  <c r="AK56" i="17"/>
  <c r="J56" i="17"/>
  <c r="BH55" i="17"/>
  <c r="BI55" i="17" s="1"/>
  <c r="BE55" i="17"/>
  <c r="BD55" i="17"/>
  <c r="AZ55" i="17"/>
  <c r="AY55" i="17"/>
  <c r="BA55" i="17" s="1"/>
  <c r="AQ55" i="17"/>
  <c r="AN55" i="17"/>
  <c r="AM55" i="17"/>
  <c r="AP55" i="17" s="1"/>
  <c r="AK55" i="17"/>
  <c r="J55" i="17"/>
  <c r="BH54" i="17"/>
  <c r="BI54" i="17" s="1"/>
  <c r="BE54" i="17"/>
  <c r="BD54" i="17"/>
  <c r="AZ54" i="17"/>
  <c r="AY54" i="17"/>
  <c r="AR54" i="17"/>
  <c r="AQ54" i="17"/>
  <c r="AN54" i="17"/>
  <c r="AM54" i="17"/>
  <c r="AP54" i="17" s="1"/>
  <c r="AK54" i="17"/>
  <c r="J54" i="17"/>
  <c r="BH53" i="17"/>
  <c r="BI53" i="17" s="1"/>
  <c r="BE53" i="17"/>
  <c r="BD53" i="17"/>
  <c r="BA53" i="17"/>
  <c r="AZ53" i="17"/>
  <c r="AY53" i="17"/>
  <c r="AQ53" i="17"/>
  <c r="AN53" i="17"/>
  <c r="AM53" i="17"/>
  <c r="AP53" i="17" s="1"/>
  <c r="AK53" i="17"/>
  <c r="J53" i="17"/>
  <c r="BH52" i="17"/>
  <c r="BI52" i="17" s="1"/>
  <c r="BE52" i="17"/>
  <c r="BD52" i="17"/>
  <c r="AZ52" i="17"/>
  <c r="BA52" i="17" s="1"/>
  <c r="AY52" i="17"/>
  <c r="AQ52" i="17"/>
  <c r="AN52" i="17"/>
  <c r="AM52" i="17"/>
  <c r="AK52" i="17"/>
  <c r="J52" i="17"/>
  <c r="BH51" i="17"/>
  <c r="BI51" i="17" s="1"/>
  <c r="BE51" i="17"/>
  <c r="BD51" i="17"/>
  <c r="AZ51" i="17"/>
  <c r="AY51" i="17"/>
  <c r="BA51" i="17" s="1"/>
  <c r="AQ51" i="17"/>
  <c r="AN51" i="17"/>
  <c r="AM51" i="17"/>
  <c r="AK51" i="17"/>
  <c r="J51" i="17"/>
  <c r="BH50" i="17"/>
  <c r="BI50" i="17" s="1"/>
  <c r="BE50" i="17"/>
  <c r="BD50" i="17"/>
  <c r="AZ50" i="17"/>
  <c r="AY50" i="17"/>
  <c r="AQ50" i="17"/>
  <c r="AN50" i="17"/>
  <c r="AM50" i="17"/>
  <c r="AK50" i="17"/>
  <c r="J50" i="17"/>
  <c r="BH49" i="17"/>
  <c r="BI49" i="17" s="1"/>
  <c r="BE49" i="17"/>
  <c r="BD49" i="17"/>
  <c r="AZ49" i="17"/>
  <c r="AY49" i="17"/>
  <c r="BA49" i="17" s="1"/>
  <c r="AQ49" i="17"/>
  <c r="AN49" i="17"/>
  <c r="AM49" i="17"/>
  <c r="AP49" i="17" s="1"/>
  <c r="AK49" i="17"/>
  <c r="J49" i="17"/>
  <c r="BH48" i="17"/>
  <c r="BI48" i="17" s="1"/>
  <c r="BE48" i="17"/>
  <c r="BD48" i="17"/>
  <c r="AZ48" i="17"/>
  <c r="BA48" i="17" s="1"/>
  <c r="AY48" i="17"/>
  <c r="AQ48" i="17"/>
  <c r="AN48" i="17"/>
  <c r="AP48" i="17" s="1"/>
  <c r="AR48" i="17" s="1"/>
  <c r="AM48" i="17"/>
  <c r="AK48" i="17"/>
  <c r="J48" i="17"/>
  <c r="BH47" i="17"/>
  <c r="BI47" i="17" s="1"/>
  <c r="BE47" i="17"/>
  <c r="BD47" i="17"/>
  <c r="AZ47" i="17"/>
  <c r="AY47" i="17"/>
  <c r="AQ47" i="17"/>
  <c r="AN47" i="17"/>
  <c r="AM47" i="17"/>
  <c r="AP47" i="17" s="1"/>
  <c r="AR47" i="17" s="1"/>
  <c r="AK47" i="17"/>
  <c r="J47" i="17"/>
  <c r="BH46" i="17"/>
  <c r="BI46" i="17" s="1"/>
  <c r="BE46" i="17"/>
  <c r="BD46" i="17"/>
  <c r="AZ46" i="17"/>
  <c r="BA46" i="17" s="1"/>
  <c r="AY46" i="17"/>
  <c r="AQ46" i="17"/>
  <c r="AN46" i="17"/>
  <c r="AM46" i="17"/>
  <c r="AP46" i="17" s="1"/>
  <c r="AR46" i="17" s="1"/>
  <c r="AK46" i="17"/>
  <c r="J46" i="17"/>
  <c r="BH45" i="17"/>
  <c r="BI45" i="17" s="1"/>
  <c r="BE45" i="17"/>
  <c r="BD45" i="17"/>
  <c r="AZ45" i="17"/>
  <c r="BA45" i="17" s="1"/>
  <c r="AY45" i="17"/>
  <c r="AQ45" i="17"/>
  <c r="AP45" i="17"/>
  <c r="AR45" i="17" s="1"/>
  <c r="AN45" i="17"/>
  <c r="AM45" i="17"/>
  <c r="AK45" i="17"/>
  <c r="J45" i="17"/>
  <c r="BH44" i="17"/>
  <c r="BI44" i="17" s="1"/>
  <c r="BE44" i="17"/>
  <c r="BD44" i="17"/>
  <c r="AZ44" i="17"/>
  <c r="BA44" i="17" s="1"/>
  <c r="AY44" i="17"/>
  <c r="AQ44" i="17"/>
  <c r="AN44" i="17"/>
  <c r="AP44" i="17" s="1"/>
  <c r="AR44" i="17" s="1"/>
  <c r="AM44" i="17"/>
  <c r="AK44" i="17"/>
  <c r="J44" i="17"/>
  <c r="BH43" i="17"/>
  <c r="BI43" i="17" s="1"/>
  <c r="BE43" i="17"/>
  <c r="BD43" i="17"/>
  <c r="AZ43" i="17"/>
  <c r="AY43" i="17"/>
  <c r="AQ43" i="17"/>
  <c r="AN43" i="17"/>
  <c r="AM43" i="17"/>
  <c r="AP43" i="17" s="1"/>
  <c r="AK43" i="17"/>
  <c r="J43" i="17"/>
  <c r="BH42" i="17"/>
  <c r="BI42" i="17" s="1"/>
  <c r="BE42" i="17"/>
  <c r="BD42" i="17"/>
  <c r="AZ42" i="17"/>
  <c r="BA42" i="17" s="1"/>
  <c r="AY42" i="17"/>
  <c r="AQ42" i="17"/>
  <c r="AP42" i="17"/>
  <c r="AR42" i="17" s="1"/>
  <c r="AN42" i="17"/>
  <c r="AM42" i="17"/>
  <c r="AK42" i="17"/>
  <c r="J42" i="17"/>
  <c r="BH41" i="17"/>
  <c r="BI41" i="17" s="1"/>
  <c r="BE41" i="17"/>
  <c r="BD41" i="17"/>
  <c r="AZ41" i="17"/>
  <c r="AY41" i="17"/>
  <c r="AQ41" i="17"/>
  <c r="AN41" i="17"/>
  <c r="AM41" i="17"/>
  <c r="AP41" i="17" s="1"/>
  <c r="AR41" i="17" s="1"/>
  <c r="AK41" i="17"/>
  <c r="J41" i="17"/>
  <c r="BH40" i="17"/>
  <c r="BI40" i="17" s="1"/>
  <c r="BE40" i="17"/>
  <c r="BD40" i="17"/>
  <c r="AZ40" i="17"/>
  <c r="AY40" i="17"/>
  <c r="BA40" i="17" s="1"/>
  <c r="AQ40" i="17"/>
  <c r="AN40" i="17"/>
  <c r="AM40" i="17"/>
  <c r="AP40" i="17" s="1"/>
  <c r="AR40" i="17" s="1"/>
  <c r="AT40" i="17" s="1"/>
  <c r="AK40" i="17"/>
  <c r="J40" i="17"/>
  <c r="BH39" i="17"/>
  <c r="BI39" i="17" s="1"/>
  <c r="BE39" i="17"/>
  <c r="BD39" i="17"/>
  <c r="AZ39" i="17"/>
  <c r="AY39" i="17"/>
  <c r="AQ39" i="17"/>
  <c r="AN39" i="17"/>
  <c r="AM39" i="17"/>
  <c r="AK39" i="17"/>
  <c r="J39" i="17"/>
  <c r="BH38" i="17"/>
  <c r="BI38" i="17" s="1"/>
  <c r="BE38" i="17"/>
  <c r="BD38" i="17"/>
  <c r="BA38" i="17"/>
  <c r="AZ38" i="17"/>
  <c r="AY38" i="17"/>
  <c r="AR38" i="17"/>
  <c r="AQ38" i="17"/>
  <c r="AN38" i="17"/>
  <c r="AP38" i="17" s="1"/>
  <c r="AM38" i="17"/>
  <c r="AK38" i="17"/>
  <c r="J38" i="17"/>
  <c r="BH37" i="17"/>
  <c r="BI37" i="17" s="1"/>
  <c r="BE37" i="17"/>
  <c r="BD37" i="17"/>
  <c r="AZ37" i="17"/>
  <c r="AY37" i="17"/>
  <c r="AQ37" i="17"/>
  <c r="AR37" i="17" s="1"/>
  <c r="AN37" i="17"/>
  <c r="AP37" i="17" s="1"/>
  <c r="AM37" i="17"/>
  <c r="AK37" i="17"/>
  <c r="J37" i="17"/>
  <c r="BH36" i="17"/>
  <c r="BI36" i="17" s="1"/>
  <c r="BE36" i="17"/>
  <c r="BD36" i="17"/>
  <c r="AZ36" i="17"/>
  <c r="BA36" i="17" s="1"/>
  <c r="AY36" i="17"/>
  <c r="AQ36" i="17"/>
  <c r="AR36" i="17" s="1"/>
  <c r="AN36" i="17"/>
  <c r="AP36" i="17" s="1"/>
  <c r="AM36" i="17"/>
  <c r="AK36" i="17"/>
  <c r="J36" i="17"/>
  <c r="BH35" i="17"/>
  <c r="BI35" i="17" s="1"/>
  <c r="BE35" i="17"/>
  <c r="BD35" i="17"/>
  <c r="AZ35" i="17"/>
  <c r="AY35" i="17"/>
  <c r="AQ35" i="17"/>
  <c r="AR35" i="17" s="1"/>
  <c r="AN35" i="17"/>
  <c r="AM35" i="17"/>
  <c r="AK35" i="17"/>
  <c r="J35" i="17"/>
  <c r="BH34" i="17"/>
  <c r="BI34" i="17" s="1"/>
  <c r="BE34" i="17"/>
  <c r="BD34" i="17"/>
  <c r="AZ34" i="17"/>
  <c r="BA34" i="17" s="1"/>
  <c r="AY34" i="17"/>
  <c r="AQ34" i="17"/>
  <c r="AR34" i="17" s="1"/>
  <c r="AN34" i="17"/>
  <c r="AP34" i="17" s="1"/>
  <c r="AM34" i="17"/>
  <c r="AK34" i="17"/>
  <c r="J34" i="17"/>
  <c r="BH33" i="17"/>
  <c r="BI33" i="17" s="1"/>
  <c r="BE33" i="17"/>
  <c r="BD33" i="17"/>
  <c r="AZ33" i="17"/>
  <c r="AY33" i="17"/>
  <c r="AQ33" i="17"/>
  <c r="AR33" i="17" s="1"/>
  <c r="AN33" i="17"/>
  <c r="AM33" i="17"/>
  <c r="AP33" i="17" s="1"/>
  <c r="AK33" i="17"/>
  <c r="J33" i="17"/>
  <c r="BH32" i="17"/>
  <c r="BI32" i="17" s="1"/>
  <c r="BE32" i="17"/>
  <c r="BD32" i="17"/>
  <c r="AZ32" i="17"/>
  <c r="AY32" i="17"/>
  <c r="AR32" i="17"/>
  <c r="AQ32" i="17"/>
  <c r="AN32" i="17"/>
  <c r="AP32" i="17" s="1"/>
  <c r="AM32" i="17"/>
  <c r="AK32" i="17"/>
  <c r="J32" i="17"/>
  <c r="BH31" i="17"/>
  <c r="BI31" i="17" s="1"/>
  <c r="BE31" i="17"/>
  <c r="BD31" i="17"/>
  <c r="AZ31" i="17"/>
  <c r="AY31" i="17"/>
  <c r="AQ31" i="17"/>
  <c r="AR31" i="17" s="1"/>
  <c r="AN31" i="17"/>
  <c r="AM31" i="17"/>
  <c r="AK31" i="17"/>
  <c r="J31" i="17"/>
  <c r="BH30" i="17"/>
  <c r="BI30" i="17" s="1"/>
  <c r="BE30" i="17"/>
  <c r="BD30" i="17"/>
  <c r="AZ30" i="17"/>
  <c r="BA30" i="17" s="1"/>
  <c r="AY30" i="17"/>
  <c r="AQ30" i="17"/>
  <c r="AR30" i="17" s="1"/>
  <c r="AN30" i="17"/>
  <c r="AM30" i="17"/>
  <c r="AP30" i="17" s="1"/>
  <c r="AK30" i="17"/>
  <c r="J30" i="17"/>
  <c r="BH29" i="17"/>
  <c r="BI29" i="17" s="1"/>
  <c r="BE29" i="17"/>
  <c r="BD29" i="17"/>
  <c r="AZ29" i="17"/>
  <c r="AY29" i="17"/>
  <c r="AQ29" i="17"/>
  <c r="AR29" i="17" s="1"/>
  <c r="AN29" i="17"/>
  <c r="AM29" i="17"/>
  <c r="AK29" i="17"/>
  <c r="J29" i="17"/>
  <c r="BH28" i="17"/>
  <c r="BI28" i="17" s="1"/>
  <c r="BE28" i="17"/>
  <c r="BD28" i="17"/>
  <c r="AZ28" i="17"/>
  <c r="BA28" i="17" s="1"/>
  <c r="AY28" i="17"/>
  <c r="AQ28" i="17"/>
  <c r="AR28" i="17" s="1"/>
  <c r="AN28" i="17"/>
  <c r="AM28" i="17"/>
  <c r="AP28" i="17" s="1"/>
  <c r="AK28" i="17"/>
  <c r="J28" i="17"/>
  <c r="BH27" i="17"/>
  <c r="BI27" i="17" s="1"/>
  <c r="BE27" i="17"/>
  <c r="BD27" i="17"/>
  <c r="AZ27" i="17"/>
  <c r="AY27" i="17"/>
  <c r="AR27" i="17"/>
  <c r="AQ27" i="17"/>
  <c r="AN27" i="17"/>
  <c r="AM27" i="17"/>
  <c r="AP27" i="17" s="1"/>
  <c r="AK27" i="17"/>
  <c r="J27" i="17"/>
  <c r="BH26" i="17"/>
  <c r="BI26" i="17" s="1"/>
  <c r="BE26" i="17"/>
  <c r="BD26" i="17"/>
  <c r="AZ26" i="17"/>
  <c r="BA26" i="17" s="1"/>
  <c r="AY26" i="17"/>
  <c r="AQ26" i="17"/>
  <c r="AR26" i="17" s="1"/>
  <c r="AP26" i="17"/>
  <c r="AN26" i="17"/>
  <c r="AM26" i="17"/>
  <c r="AK26" i="17"/>
  <c r="J26" i="17"/>
  <c r="BH25" i="17"/>
  <c r="BI25" i="17" s="1"/>
  <c r="BE25" i="17"/>
  <c r="BD25" i="17"/>
  <c r="AZ25" i="17"/>
  <c r="BA25" i="17" s="1"/>
  <c r="AY25" i="17"/>
  <c r="AQ25" i="17"/>
  <c r="AR25" i="17" s="1"/>
  <c r="AN25" i="17"/>
  <c r="AM25" i="17"/>
  <c r="AK25" i="17"/>
  <c r="J25" i="17"/>
  <c r="BH24" i="17"/>
  <c r="BI24" i="17" s="1"/>
  <c r="BE24" i="17"/>
  <c r="BD24" i="17"/>
  <c r="BA24" i="17"/>
  <c r="AZ24" i="17"/>
  <c r="AY24" i="17"/>
  <c r="AQ24" i="17"/>
  <c r="AR24" i="17" s="1"/>
  <c r="AP24" i="17"/>
  <c r="AN24" i="17"/>
  <c r="AM24" i="17"/>
  <c r="AK24" i="17"/>
  <c r="J24" i="17"/>
  <c r="BH23" i="17"/>
  <c r="BI23" i="17" s="1"/>
  <c r="BE23" i="17"/>
  <c r="BD23" i="17"/>
  <c r="AZ23" i="17"/>
  <c r="BA23" i="17" s="1"/>
  <c r="AY23" i="17"/>
  <c r="AQ23" i="17"/>
  <c r="AR23" i="17" s="1"/>
  <c r="AN23" i="17"/>
  <c r="AM23" i="17"/>
  <c r="AP23" i="17" s="1"/>
  <c r="AK23" i="17"/>
  <c r="J23" i="17"/>
  <c r="BH22" i="17"/>
  <c r="BI22" i="17" s="1"/>
  <c r="BE22" i="17"/>
  <c r="BD22" i="17"/>
  <c r="BA22" i="17"/>
  <c r="AZ22" i="17"/>
  <c r="AY22" i="17"/>
  <c r="AQ22" i="17"/>
  <c r="AR22" i="17" s="1"/>
  <c r="AP22" i="17"/>
  <c r="AN22" i="17"/>
  <c r="AM22" i="17"/>
  <c r="AK22" i="17"/>
  <c r="J22" i="17"/>
  <c r="BH21" i="17"/>
  <c r="BI21" i="17" s="1"/>
  <c r="BE21" i="17"/>
  <c r="BD21" i="17"/>
  <c r="AZ21" i="17"/>
  <c r="BA21" i="17" s="1"/>
  <c r="AY21" i="17"/>
  <c r="AQ21" i="17"/>
  <c r="AR21" i="17" s="1"/>
  <c r="AN21" i="17"/>
  <c r="AM21" i="17"/>
  <c r="AK21" i="17"/>
  <c r="J21" i="17"/>
  <c r="BH20" i="17"/>
  <c r="BI20" i="17" s="1"/>
  <c r="BE20" i="17"/>
  <c r="BD20" i="17"/>
  <c r="BA20" i="17"/>
  <c r="AZ20" i="17"/>
  <c r="AY20" i="17"/>
  <c r="AQ20" i="17"/>
  <c r="AR20" i="17" s="1"/>
  <c r="AN20" i="17"/>
  <c r="AP20" i="17" s="1"/>
  <c r="AM20" i="17"/>
  <c r="AK20" i="17"/>
  <c r="J20" i="17"/>
  <c r="BH19" i="17"/>
  <c r="BI19" i="17" s="1"/>
  <c r="BE19" i="17"/>
  <c r="BD19" i="17"/>
  <c r="AZ19" i="17"/>
  <c r="BA19" i="17" s="1"/>
  <c r="AY19" i="17"/>
  <c r="AQ19" i="17"/>
  <c r="AR19" i="17" s="1"/>
  <c r="AN19" i="17"/>
  <c r="AM19" i="17"/>
  <c r="AP19" i="17" s="1"/>
  <c r="AK19" i="17"/>
  <c r="J19" i="17"/>
  <c r="BH18" i="17"/>
  <c r="BI18" i="17" s="1"/>
  <c r="BE18" i="17"/>
  <c r="BD18" i="17"/>
  <c r="BA18" i="17"/>
  <c r="AZ18" i="17"/>
  <c r="AY18" i="17"/>
  <c r="AQ18" i="17"/>
  <c r="AR18" i="17" s="1"/>
  <c r="AP18" i="17"/>
  <c r="AN18" i="17"/>
  <c r="AM18" i="17"/>
  <c r="AK18" i="17"/>
  <c r="J18" i="17"/>
  <c r="BH17" i="17"/>
  <c r="BI17" i="17" s="1"/>
  <c r="BE17" i="17"/>
  <c r="BD17" i="17"/>
  <c r="AZ17" i="17"/>
  <c r="AY17" i="17"/>
  <c r="AR17" i="17"/>
  <c r="AQ17" i="17"/>
  <c r="AN17" i="17"/>
  <c r="AM17" i="17"/>
  <c r="AK17" i="17"/>
  <c r="J17" i="17"/>
  <c r="BH16" i="17"/>
  <c r="BI16" i="17" s="1"/>
  <c r="BE16" i="17"/>
  <c r="BD16" i="17"/>
  <c r="AZ16" i="17"/>
  <c r="BA16" i="17" s="1"/>
  <c r="AY16" i="17"/>
  <c r="AR16" i="17"/>
  <c r="AQ16" i="17"/>
  <c r="AN16" i="17"/>
  <c r="AM16" i="17"/>
  <c r="AK16" i="17"/>
  <c r="J16" i="17"/>
  <c r="B16" i="17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H15" i="17"/>
  <c r="BI15" i="17" s="1"/>
  <c r="BE15" i="17"/>
  <c r="BD15" i="17"/>
  <c r="AZ15" i="17"/>
  <c r="BA15" i="17" s="1"/>
  <c r="AY15" i="17"/>
  <c r="AR15" i="17"/>
  <c r="AQ15" i="17"/>
  <c r="AP15" i="17"/>
  <c r="AN15" i="17"/>
  <c r="AM15" i="17"/>
  <c r="AK15" i="17"/>
  <c r="J15" i="17"/>
  <c r="AI14" i="17"/>
  <c r="AH14" i="17"/>
  <c r="AA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L13" i="17"/>
  <c r="AL40" i="17" s="1"/>
  <c r="AH12" i="17"/>
  <c r="P12" i="17"/>
  <c r="AA12" i="17" s="1"/>
  <c r="AB12" i="17" s="1"/>
  <c r="B12" i="17"/>
  <c r="T12" i="17" s="1"/>
  <c r="AI10" i="17"/>
  <c r="T10" i="17"/>
  <c r="O10" i="17"/>
  <c r="K10" i="17"/>
  <c r="AI7" i="17"/>
  <c r="T7" i="17"/>
  <c r="O7" i="17"/>
  <c r="K7" i="17"/>
  <c r="AH4" i="17"/>
  <c r="T4" i="17"/>
  <c r="R4" i="17"/>
  <c r="AH2" i="17"/>
  <c r="AA76" i="16"/>
  <c r="D75" i="16"/>
  <c r="B75" i="16"/>
  <c r="AI74" i="16"/>
  <c r="B74" i="16"/>
  <c r="AH73" i="16"/>
  <c r="B73" i="16"/>
  <c r="AH72" i="16"/>
  <c r="B72" i="16"/>
  <c r="AH71" i="16"/>
  <c r="B71" i="16"/>
  <c r="AK70" i="16"/>
  <c r="AH70" i="16"/>
  <c r="B70" i="16"/>
  <c r="AL69" i="16"/>
  <c r="AK69" i="16"/>
  <c r="B69" i="16"/>
  <c r="AI67" i="16"/>
  <c r="AI66" i="16"/>
  <c r="AI65" i="16"/>
  <c r="B65" i="16"/>
  <c r="B66" i="16" s="1"/>
  <c r="B67" i="16" s="1"/>
  <c r="AI64" i="16"/>
  <c r="D63" i="16"/>
  <c r="C63" i="16"/>
  <c r="B63" i="16"/>
  <c r="BH62" i="16"/>
  <c r="BI62" i="16" s="1"/>
  <c r="BE62" i="16"/>
  <c r="BD62" i="16"/>
  <c r="BA62" i="16"/>
  <c r="AZ62" i="16"/>
  <c r="AY62" i="16"/>
  <c r="AQ62" i="16"/>
  <c r="AN62" i="16"/>
  <c r="AM62" i="16"/>
  <c r="AP62" i="16" s="1"/>
  <c r="AR62" i="16" s="1"/>
  <c r="AT62" i="16" s="1"/>
  <c r="AK62" i="16"/>
  <c r="J62" i="16"/>
  <c r="BH61" i="16"/>
  <c r="BI61" i="16" s="1"/>
  <c r="BE61" i="16"/>
  <c r="BD61" i="16"/>
  <c r="AZ61" i="16"/>
  <c r="BA61" i="16" s="1"/>
  <c r="AY61" i="16"/>
  <c r="AR61" i="16"/>
  <c r="AQ61" i="16"/>
  <c r="AN61" i="16"/>
  <c r="AP61" i="16" s="1"/>
  <c r="AM61" i="16"/>
  <c r="AK61" i="16"/>
  <c r="J61" i="16"/>
  <c r="BH60" i="16"/>
  <c r="BI60" i="16" s="1"/>
  <c r="BE60" i="16"/>
  <c r="BD60" i="16"/>
  <c r="AZ60" i="16"/>
  <c r="BA60" i="16" s="1"/>
  <c r="AY60" i="16"/>
  <c r="AQ60" i="16"/>
  <c r="AN60" i="16"/>
  <c r="AP60" i="16" s="1"/>
  <c r="AR60" i="16" s="1"/>
  <c r="AT60" i="16" s="1"/>
  <c r="AM60" i="16"/>
  <c r="AK60" i="16"/>
  <c r="J60" i="16"/>
  <c r="BH59" i="16"/>
  <c r="BI59" i="16" s="1"/>
  <c r="BE59" i="16"/>
  <c r="BD59" i="16"/>
  <c r="AZ59" i="16"/>
  <c r="AY59" i="16"/>
  <c r="AQ59" i="16"/>
  <c r="AR59" i="16" s="1"/>
  <c r="AN59" i="16"/>
  <c r="AP59" i="16" s="1"/>
  <c r="AM59" i="16"/>
  <c r="AK59" i="16"/>
  <c r="J59" i="16"/>
  <c r="BH58" i="16"/>
  <c r="BI58" i="16" s="1"/>
  <c r="BE58" i="16"/>
  <c r="BD58" i="16"/>
  <c r="AZ58" i="16"/>
  <c r="BA58" i="16" s="1"/>
  <c r="AY58" i="16"/>
  <c r="AQ58" i="16"/>
  <c r="AN58" i="16"/>
  <c r="AM58" i="16"/>
  <c r="AP58" i="16" s="1"/>
  <c r="AR58" i="16" s="1"/>
  <c r="AK58" i="16"/>
  <c r="J58" i="16"/>
  <c r="BH57" i="16"/>
  <c r="BI57" i="16" s="1"/>
  <c r="BE57" i="16"/>
  <c r="BD57" i="16"/>
  <c r="AZ57" i="16"/>
  <c r="AY57" i="16"/>
  <c r="AQ57" i="16"/>
  <c r="AN57" i="16"/>
  <c r="AP57" i="16" s="1"/>
  <c r="AR57" i="16" s="1"/>
  <c r="AM57" i="16"/>
  <c r="AK57" i="16"/>
  <c r="J57" i="16"/>
  <c r="BH56" i="16"/>
  <c r="BI56" i="16" s="1"/>
  <c r="BE56" i="16"/>
  <c r="BD56" i="16"/>
  <c r="AZ56" i="16"/>
  <c r="AY56" i="16"/>
  <c r="AQ56" i="16"/>
  <c r="AP56" i="16"/>
  <c r="AR56" i="16" s="1"/>
  <c r="AN56" i="16"/>
  <c r="AM56" i="16"/>
  <c r="AK56" i="16"/>
  <c r="J56" i="16"/>
  <c r="BH55" i="16"/>
  <c r="BI55" i="16" s="1"/>
  <c r="BE55" i="16"/>
  <c r="BD55" i="16"/>
  <c r="AZ55" i="16"/>
  <c r="BA55" i="16" s="1"/>
  <c r="AY55" i="16"/>
  <c r="AQ55" i="16"/>
  <c r="AN55" i="16"/>
  <c r="AP55" i="16" s="1"/>
  <c r="AR55" i="16" s="1"/>
  <c r="AT55" i="16" s="1"/>
  <c r="AM55" i="16"/>
  <c r="AK55" i="16"/>
  <c r="J55" i="16"/>
  <c r="BH54" i="16"/>
  <c r="BI54" i="16" s="1"/>
  <c r="BE54" i="16"/>
  <c r="BD54" i="16"/>
  <c r="AZ54" i="16"/>
  <c r="AY54" i="16"/>
  <c r="AQ54" i="16"/>
  <c r="AN54" i="16"/>
  <c r="AM54" i="16"/>
  <c r="AK54" i="16"/>
  <c r="J54" i="16"/>
  <c r="BH53" i="16"/>
  <c r="BI53" i="16" s="1"/>
  <c r="BE53" i="16"/>
  <c r="BD53" i="16"/>
  <c r="AZ53" i="16"/>
  <c r="BA53" i="16" s="1"/>
  <c r="AY53" i="16"/>
  <c r="AQ53" i="16"/>
  <c r="AN53" i="16"/>
  <c r="AP53" i="16" s="1"/>
  <c r="AM53" i="16"/>
  <c r="AK53" i="16"/>
  <c r="J53" i="16"/>
  <c r="BH52" i="16"/>
  <c r="BI52" i="16" s="1"/>
  <c r="BE52" i="16"/>
  <c r="BD52" i="16"/>
  <c r="AZ52" i="16"/>
  <c r="BA52" i="16" s="1"/>
  <c r="AY52" i="16"/>
  <c r="AQ52" i="16"/>
  <c r="AN52" i="16"/>
  <c r="AM52" i="16"/>
  <c r="AK52" i="16"/>
  <c r="J52" i="16"/>
  <c r="BH51" i="16"/>
  <c r="BI51" i="16" s="1"/>
  <c r="BE51" i="16"/>
  <c r="BD51" i="16"/>
  <c r="AZ51" i="16"/>
  <c r="BA51" i="16" s="1"/>
  <c r="AY51" i="16"/>
  <c r="AT51" i="16"/>
  <c r="AQ51" i="16"/>
  <c r="AN51" i="16"/>
  <c r="AP51" i="16" s="1"/>
  <c r="AR51" i="16" s="1"/>
  <c r="AM51" i="16"/>
  <c r="AK51" i="16"/>
  <c r="J51" i="16"/>
  <c r="BH50" i="16"/>
  <c r="BI50" i="16" s="1"/>
  <c r="BE50" i="16"/>
  <c r="BD50" i="16"/>
  <c r="AZ50" i="16"/>
  <c r="BA50" i="16" s="1"/>
  <c r="AY50" i="16"/>
  <c r="AQ50" i="16"/>
  <c r="AN50" i="16"/>
  <c r="AP50" i="16" s="1"/>
  <c r="AM50" i="16"/>
  <c r="AK50" i="16"/>
  <c r="J50" i="16"/>
  <c r="BH49" i="16"/>
  <c r="BI49" i="16" s="1"/>
  <c r="BE49" i="16"/>
  <c r="BD49" i="16"/>
  <c r="AZ49" i="16"/>
  <c r="AY49" i="16"/>
  <c r="AQ49" i="16"/>
  <c r="AN49" i="16"/>
  <c r="AM49" i="16"/>
  <c r="AP49" i="16" s="1"/>
  <c r="AK49" i="16"/>
  <c r="J49" i="16"/>
  <c r="BH48" i="16"/>
  <c r="BI48" i="16" s="1"/>
  <c r="BE48" i="16"/>
  <c r="BD48" i="16"/>
  <c r="AZ48" i="16"/>
  <c r="BA48" i="16" s="1"/>
  <c r="AY48" i="16"/>
  <c r="AQ48" i="16"/>
  <c r="AN48" i="16"/>
  <c r="AM48" i="16"/>
  <c r="AP48" i="16" s="1"/>
  <c r="AR48" i="16" s="1"/>
  <c r="AK48" i="16"/>
  <c r="J48" i="16"/>
  <c r="BH47" i="16"/>
  <c r="BI47" i="16" s="1"/>
  <c r="BE47" i="16"/>
  <c r="BD47" i="16"/>
  <c r="AZ47" i="16"/>
  <c r="AY47" i="16"/>
  <c r="AQ47" i="16"/>
  <c r="AN47" i="16"/>
  <c r="AM47" i="16"/>
  <c r="AP47" i="16" s="1"/>
  <c r="AR47" i="16" s="1"/>
  <c r="AT47" i="16" s="1"/>
  <c r="AK47" i="16"/>
  <c r="J47" i="16"/>
  <c r="BH46" i="16"/>
  <c r="BI46" i="16" s="1"/>
  <c r="BE46" i="16"/>
  <c r="BD46" i="16"/>
  <c r="AZ46" i="16"/>
  <c r="AY46" i="16"/>
  <c r="AQ46" i="16"/>
  <c r="AN46" i="16"/>
  <c r="AM46" i="16"/>
  <c r="AP46" i="16" s="1"/>
  <c r="AR46" i="16" s="1"/>
  <c r="AK46" i="16"/>
  <c r="J46" i="16"/>
  <c r="BH45" i="16"/>
  <c r="BI45" i="16" s="1"/>
  <c r="BE45" i="16"/>
  <c r="BD45" i="16"/>
  <c r="AZ45" i="16"/>
  <c r="BA45" i="16" s="1"/>
  <c r="AY45" i="16"/>
  <c r="AQ45" i="16"/>
  <c r="AP45" i="16"/>
  <c r="AN45" i="16"/>
  <c r="AM45" i="16"/>
  <c r="AK45" i="16"/>
  <c r="J45" i="16"/>
  <c r="BH44" i="16"/>
  <c r="BI44" i="16" s="1"/>
  <c r="BE44" i="16"/>
  <c r="BD44" i="16"/>
  <c r="AZ44" i="16"/>
  <c r="BA44" i="16" s="1"/>
  <c r="AY44" i="16"/>
  <c r="AQ44" i="16"/>
  <c r="AP44" i="16"/>
  <c r="AR44" i="16" s="1"/>
  <c r="AN44" i="16"/>
  <c r="AM44" i="16"/>
  <c r="AK44" i="16"/>
  <c r="J44" i="16"/>
  <c r="BH43" i="16"/>
  <c r="BI43" i="16" s="1"/>
  <c r="BE43" i="16"/>
  <c r="BD43" i="16"/>
  <c r="AZ43" i="16"/>
  <c r="BA43" i="16" s="1"/>
  <c r="AY43" i="16"/>
  <c r="AQ43" i="16"/>
  <c r="AN43" i="16"/>
  <c r="AM43" i="16"/>
  <c r="AP43" i="16" s="1"/>
  <c r="AR43" i="16" s="1"/>
  <c r="AK43" i="16"/>
  <c r="J43" i="16"/>
  <c r="BH42" i="16"/>
  <c r="BI42" i="16" s="1"/>
  <c r="BE42" i="16"/>
  <c r="BD42" i="16"/>
  <c r="AZ42" i="16"/>
  <c r="AY42" i="16"/>
  <c r="AQ42" i="16"/>
  <c r="AN42" i="16"/>
  <c r="AM42" i="16"/>
  <c r="AP42" i="16" s="1"/>
  <c r="AR42" i="16" s="1"/>
  <c r="AK42" i="16"/>
  <c r="J42" i="16"/>
  <c r="BH41" i="16"/>
  <c r="BI41" i="16" s="1"/>
  <c r="BE41" i="16"/>
  <c r="BD41" i="16"/>
  <c r="AZ41" i="16"/>
  <c r="BA41" i="16" s="1"/>
  <c r="AY41" i="16"/>
  <c r="AQ41" i="16"/>
  <c r="AN41" i="16"/>
  <c r="AM41" i="16"/>
  <c r="AP41" i="16" s="1"/>
  <c r="AR41" i="16" s="1"/>
  <c r="AK41" i="16"/>
  <c r="J41" i="16"/>
  <c r="BH40" i="16"/>
  <c r="BI40" i="16" s="1"/>
  <c r="BE40" i="16"/>
  <c r="BD40" i="16"/>
  <c r="AZ40" i="16"/>
  <c r="AY40" i="16"/>
  <c r="AQ40" i="16"/>
  <c r="AP40" i="16"/>
  <c r="AR40" i="16" s="1"/>
  <c r="AN40" i="16"/>
  <c r="AM40" i="16"/>
  <c r="AK40" i="16"/>
  <c r="J40" i="16"/>
  <c r="BH39" i="16"/>
  <c r="BI39" i="16" s="1"/>
  <c r="BE39" i="16"/>
  <c r="BD39" i="16"/>
  <c r="AZ39" i="16"/>
  <c r="BA39" i="16" s="1"/>
  <c r="AY39" i="16"/>
  <c r="AQ39" i="16"/>
  <c r="AN39" i="16"/>
  <c r="AM39" i="16"/>
  <c r="AP39" i="16" s="1"/>
  <c r="AR39" i="16" s="1"/>
  <c r="AK39" i="16"/>
  <c r="J39" i="16"/>
  <c r="BH38" i="16"/>
  <c r="BI38" i="16" s="1"/>
  <c r="BE38" i="16"/>
  <c r="BD38" i="16"/>
  <c r="AZ38" i="16"/>
  <c r="AY38" i="16"/>
  <c r="AQ38" i="16"/>
  <c r="AR38" i="16" s="1"/>
  <c r="AN38" i="16"/>
  <c r="AM38" i="16"/>
  <c r="AP38" i="16" s="1"/>
  <c r="AK38" i="16"/>
  <c r="J38" i="16"/>
  <c r="BH37" i="16"/>
  <c r="BI37" i="16" s="1"/>
  <c r="BE37" i="16"/>
  <c r="BD37" i="16"/>
  <c r="AZ37" i="16"/>
  <c r="AY37" i="16"/>
  <c r="AQ37" i="16"/>
  <c r="AR37" i="16" s="1"/>
  <c r="AN37" i="16"/>
  <c r="AP37" i="16" s="1"/>
  <c r="AM37" i="16"/>
  <c r="AK37" i="16"/>
  <c r="J37" i="16"/>
  <c r="BH36" i="16"/>
  <c r="BI36" i="16" s="1"/>
  <c r="BE36" i="16"/>
  <c r="BD36" i="16"/>
  <c r="AZ36" i="16"/>
  <c r="AY36" i="16"/>
  <c r="AQ36" i="16"/>
  <c r="AR36" i="16" s="1"/>
  <c r="AN36" i="16"/>
  <c r="AM36" i="16"/>
  <c r="AP36" i="16" s="1"/>
  <c r="AK36" i="16"/>
  <c r="J36" i="16"/>
  <c r="BH35" i="16"/>
  <c r="BI35" i="16" s="1"/>
  <c r="BE35" i="16"/>
  <c r="BD35" i="16"/>
  <c r="AZ35" i="16"/>
  <c r="AY35" i="16"/>
  <c r="AQ35" i="16"/>
  <c r="AR35" i="16" s="1"/>
  <c r="AN35" i="16"/>
  <c r="AP35" i="16" s="1"/>
  <c r="AM35" i="16"/>
  <c r="AK35" i="16"/>
  <c r="J35" i="16"/>
  <c r="BH34" i="16"/>
  <c r="BI34" i="16" s="1"/>
  <c r="BE34" i="16"/>
  <c r="BD34" i="16"/>
  <c r="AZ34" i="16"/>
  <c r="BA34" i="16" s="1"/>
  <c r="AY34" i="16"/>
  <c r="AR34" i="16"/>
  <c r="AQ34" i="16"/>
  <c r="AN34" i="16"/>
  <c r="AP34" i="16" s="1"/>
  <c r="AM34" i="16"/>
  <c r="AK34" i="16"/>
  <c r="J34" i="16"/>
  <c r="BH33" i="16"/>
  <c r="BI33" i="16" s="1"/>
  <c r="BE33" i="16"/>
  <c r="BD33" i="16"/>
  <c r="AZ33" i="16"/>
  <c r="AY33" i="16"/>
  <c r="AQ33" i="16"/>
  <c r="AR33" i="16" s="1"/>
  <c r="AN33" i="16"/>
  <c r="AM33" i="16"/>
  <c r="AP33" i="16" s="1"/>
  <c r="AK33" i="16"/>
  <c r="J33" i="16"/>
  <c r="BH32" i="16"/>
  <c r="BI32" i="16" s="1"/>
  <c r="BE32" i="16"/>
  <c r="BD32" i="16"/>
  <c r="AZ32" i="16"/>
  <c r="AY32" i="16"/>
  <c r="AR32" i="16"/>
  <c r="AQ32" i="16"/>
  <c r="AN32" i="16"/>
  <c r="AM32" i="16"/>
  <c r="AP32" i="16" s="1"/>
  <c r="AK32" i="16"/>
  <c r="J32" i="16"/>
  <c r="BH31" i="16"/>
  <c r="BI31" i="16" s="1"/>
  <c r="BE31" i="16"/>
  <c r="BD31" i="16"/>
  <c r="AZ31" i="16"/>
  <c r="AY31" i="16"/>
  <c r="BA31" i="16" s="1"/>
  <c r="AQ31" i="16"/>
  <c r="AR31" i="16" s="1"/>
  <c r="AN31" i="16"/>
  <c r="AM31" i="16"/>
  <c r="AP31" i="16" s="1"/>
  <c r="AK31" i="16"/>
  <c r="J31" i="16"/>
  <c r="BH30" i="16"/>
  <c r="BI30" i="16" s="1"/>
  <c r="BE30" i="16"/>
  <c r="BD30" i="16"/>
  <c r="AZ30" i="16"/>
  <c r="AY30" i="16"/>
  <c r="AQ30" i="16"/>
  <c r="AR30" i="16" s="1"/>
  <c r="AN30" i="16"/>
  <c r="AM30" i="16"/>
  <c r="AP30" i="16" s="1"/>
  <c r="AK30" i="16"/>
  <c r="J30" i="16"/>
  <c r="BH29" i="16"/>
  <c r="BI29" i="16" s="1"/>
  <c r="BE29" i="16"/>
  <c r="BD29" i="16"/>
  <c r="AZ29" i="16"/>
  <c r="AY29" i="16"/>
  <c r="BA29" i="16" s="1"/>
  <c r="AQ29" i="16"/>
  <c r="AR29" i="16" s="1"/>
  <c r="AN29" i="16"/>
  <c r="AM29" i="16"/>
  <c r="AP29" i="16" s="1"/>
  <c r="AK29" i="16"/>
  <c r="J29" i="16"/>
  <c r="BH28" i="16"/>
  <c r="BI28" i="16" s="1"/>
  <c r="BE28" i="16"/>
  <c r="BD28" i="16"/>
  <c r="AZ28" i="16"/>
  <c r="AY28" i="16"/>
  <c r="AQ28" i="16"/>
  <c r="AR28" i="16" s="1"/>
  <c r="AN28" i="16"/>
  <c r="AM28" i="16"/>
  <c r="AP28" i="16" s="1"/>
  <c r="AK28" i="16"/>
  <c r="J28" i="16"/>
  <c r="BH27" i="16"/>
  <c r="BI27" i="16" s="1"/>
  <c r="BE27" i="16"/>
  <c r="BD27" i="16"/>
  <c r="AZ27" i="16"/>
  <c r="AY27" i="16"/>
  <c r="BA27" i="16" s="1"/>
  <c r="AQ27" i="16"/>
  <c r="AR27" i="16" s="1"/>
  <c r="AN27" i="16"/>
  <c r="AM27" i="16"/>
  <c r="AP27" i="16" s="1"/>
  <c r="AK27" i="16"/>
  <c r="J27" i="16"/>
  <c r="BH26" i="16"/>
  <c r="BI26" i="16" s="1"/>
  <c r="BE26" i="16"/>
  <c r="BD26" i="16"/>
  <c r="AZ26" i="16"/>
  <c r="AY26" i="16"/>
  <c r="AQ26" i="16"/>
  <c r="AR26" i="16" s="1"/>
  <c r="AN26" i="16"/>
  <c r="AM26" i="16"/>
  <c r="AP26" i="16" s="1"/>
  <c r="AK26" i="16"/>
  <c r="J26" i="16"/>
  <c r="BH25" i="16"/>
  <c r="BI25" i="16" s="1"/>
  <c r="BE25" i="16"/>
  <c r="BD25" i="16"/>
  <c r="AZ25" i="16"/>
  <c r="BA25" i="16" s="1"/>
  <c r="AY25" i="16"/>
  <c r="AQ25" i="16"/>
  <c r="AR25" i="16" s="1"/>
  <c r="AN25" i="16"/>
  <c r="AM25" i="16"/>
  <c r="AP25" i="16" s="1"/>
  <c r="AK25" i="16"/>
  <c r="J25" i="16"/>
  <c r="BH24" i="16"/>
  <c r="BI24" i="16" s="1"/>
  <c r="BE24" i="16"/>
  <c r="BD24" i="16"/>
  <c r="AZ24" i="16"/>
  <c r="AY24" i="16"/>
  <c r="AQ24" i="16"/>
  <c r="AR24" i="16" s="1"/>
  <c r="AN24" i="16"/>
  <c r="AM24" i="16"/>
  <c r="AP24" i="16" s="1"/>
  <c r="AK24" i="16"/>
  <c r="J24" i="16"/>
  <c r="BH23" i="16"/>
  <c r="BI23" i="16" s="1"/>
  <c r="BE23" i="16"/>
  <c r="BD23" i="16"/>
  <c r="AZ23" i="16"/>
  <c r="BA23" i="16" s="1"/>
  <c r="AY23" i="16"/>
  <c r="AQ23" i="16"/>
  <c r="AR23" i="16" s="1"/>
  <c r="AN23" i="16"/>
  <c r="AM23" i="16"/>
  <c r="AP23" i="16" s="1"/>
  <c r="AK23" i="16"/>
  <c r="J23" i="16"/>
  <c r="BH22" i="16"/>
  <c r="BI22" i="16" s="1"/>
  <c r="BE22" i="16"/>
  <c r="BD22" i="16"/>
  <c r="AZ22" i="16"/>
  <c r="AY22" i="16"/>
  <c r="AQ22" i="16"/>
  <c r="AR22" i="16" s="1"/>
  <c r="AN22" i="16"/>
  <c r="AM22" i="16"/>
  <c r="AP22" i="16" s="1"/>
  <c r="AK22" i="16"/>
  <c r="J22" i="16"/>
  <c r="BH21" i="16"/>
  <c r="BI21" i="16" s="1"/>
  <c r="BE21" i="16"/>
  <c r="BD21" i="16"/>
  <c r="AZ21" i="16"/>
  <c r="BA21" i="16" s="1"/>
  <c r="AY21" i="16"/>
  <c r="AQ21" i="16"/>
  <c r="AR21" i="16" s="1"/>
  <c r="AN21" i="16"/>
  <c r="AM21" i="16"/>
  <c r="AP21" i="16" s="1"/>
  <c r="AK21" i="16"/>
  <c r="J21" i="16"/>
  <c r="BH20" i="16"/>
  <c r="BI20" i="16" s="1"/>
  <c r="BE20" i="16"/>
  <c r="BD20" i="16"/>
  <c r="AZ20" i="16"/>
  <c r="AY20" i="16"/>
  <c r="AQ20" i="16"/>
  <c r="AR20" i="16" s="1"/>
  <c r="AN20" i="16"/>
  <c r="AM20" i="16"/>
  <c r="AP20" i="16" s="1"/>
  <c r="AK20" i="16"/>
  <c r="J20" i="16"/>
  <c r="BH19" i="16"/>
  <c r="BI19" i="16" s="1"/>
  <c r="BE19" i="16"/>
  <c r="BD19" i="16"/>
  <c r="AZ19" i="16"/>
  <c r="BA19" i="16" s="1"/>
  <c r="AY19" i="16"/>
  <c r="AQ19" i="16"/>
  <c r="AR19" i="16" s="1"/>
  <c r="AN19" i="16"/>
  <c r="AM19" i="16"/>
  <c r="AP19" i="16" s="1"/>
  <c r="AK19" i="16"/>
  <c r="J19" i="16"/>
  <c r="BH18" i="16"/>
  <c r="BI18" i="16" s="1"/>
  <c r="BE18" i="16"/>
  <c r="BD18" i="16"/>
  <c r="AZ18" i="16"/>
  <c r="AY18" i="16"/>
  <c r="AQ18" i="16"/>
  <c r="AR18" i="16" s="1"/>
  <c r="AN18" i="16"/>
  <c r="AM18" i="16"/>
  <c r="AP18" i="16" s="1"/>
  <c r="AK18" i="16"/>
  <c r="J18" i="16"/>
  <c r="BH17" i="16"/>
  <c r="BI17" i="16" s="1"/>
  <c r="BE17" i="16"/>
  <c r="BD17" i="16"/>
  <c r="AZ17" i="16"/>
  <c r="BA17" i="16" s="1"/>
  <c r="AY17" i="16"/>
  <c r="AQ17" i="16"/>
  <c r="AR17" i="16" s="1"/>
  <c r="AN17" i="16"/>
  <c r="AM17" i="16"/>
  <c r="AP17" i="16" s="1"/>
  <c r="AK17" i="16"/>
  <c r="J17" i="16"/>
  <c r="BH16" i="16"/>
  <c r="BI16" i="16" s="1"/>
  <c r="BE16" i="16"/>
  <c r="BD16" i="16"/>
  <c r="AZ16" i="16"/>
  <c r="AY16" i="16"/>
  <c r="AQ16" i="16"/>
  <c r="AR16" i="16" s="1"/>
  <c r="AN16" i="16"/>
  <c r="AM16" i="16"/>
  <c r="AP16" i="16" s="1"/>
  <c r="AK16" i="16"/>
  <c r="J16" i="16"/>
  <c r="B16" i="16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H15" i="16"/>
  <c r="BI15" i="16" s="1"/>
  <c r="BE15" i="16"/>
  <c r="BD15" i="16"/>
  <c r="AZ15" i="16"/>
  <c r="BA15" i="16" s="1"/>
  <c r="AY15" i="16"/>
  <c r="AQ15" i="16"/>
  <c r="AR15" i="16" s="1"/>
  <c r="AN15" i="16"/>
  <c r="AP15" i="16" s="1"/>
  <c r="AM15" i="16"/>
  <c r="AK15" i="16"/>
  <c r="J15" i="16"/>
  <c r="AI14" i="16"/>
  <c r="AH14" i="16"/>
  <c r="AA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AL13" i="16"/>
  <c r="AL30" i="16" s="1"/>
  <c r="AH12" i="16"/>
  <c r="P12" i="16"/>
  <c r="AA12" i="16" s="1"/>
  <c r="AB12" i="16" s="1"/>
  <c r="B12" i="16"/>
  <c r="T12" i="16" s="1"/>
  <c r="AI10" i="16"/>
  <c r="T10" i="16"/>
  <c r="O10" i="16"/>
  <c r="K10" i="16"/>
  <c r="AI7" i="16"/>
  <c r="T7" i="16"/>
  <c r="O7" i="16"/>
  <c r="K7" i="16"/>
  <c r="AH4" i="16"/>
  <c r="T4" i="16"/>
  <c r="R4" i="16"/>
  <c r="AH2" i="16"/>
  <c r="AA76" i="15"/>
  <c r="D75" i="15"/>
  <c r="B75" i="15"/>
  <c r="AI74" i="15"/>
  <c r="B74" i="15"/>
  <c r="AH73" i="15"/>
  <c r="B73" i="15"/>
  <c r="AH72" i="15"/>
  <c r="B72" i="15"/>
  <c r="AH71" i="15"/>
  <c r="B71" i="15"/>
  <c r="AK70" i="15"/>
  <c r="AH70" i="15"/>
  <c r="B70" i="15"/>
  <c r="AL69" i="15"/>
  <c r="AK69" i="15"/>
  <c r="B69" i="15"/>
  <c r="AI67" i="15"/>
  <c r="AI66" i="15"/>
  <c r="AI65" i="15"/>
  <c r="B65" i="15"/>
  <c r="B66" i="15" s="1"/>
  <c r="B67" i="15" s="1"/>
  <c r="AI64" i="15"/>
  <c r="D63" i="15"/>
  <c r="C63" i="15"/>
  <c r="B63" i="15"/>
  <c r="BH62" i="15"/>
  <c r="BI62" i="15" s="1"/>
  <c r="BE62" i="15"/>
  <c r="BD62" i="15"/>
  <c r="AZ62" i="15"/>
  <c r="BA62" i="15" s="1"/>
  <c r="AY62" i="15"/>
  <c r="AR62" i="15"/>
  <c r="AQ62" i="15"/>
  <c r="AN62" i="15"/>
  <c r="AP62" i="15" s="1"/>
  <c r="AM62" i="15"/>
  <c r="AK62" i="15"/>
  <c r="J62" i="15"/>
  <c r="BH61" i="15"/>
  <c r="BI61" i="15" s="1"/>
  <c r="BE61" i="15"/>
  <c r="BD61" i="15"/>
  <c r="AZ61" i="15"/>
  <c r="AY61" i="15"/>
  <c r="AQ61" i="15"/>
  <c r="AN61" i="15"/>
  <c r="AM61" i="15"/>
  <c r="AP61" i="15" s="1"/>
  <c r="AK61" i="15"/>
  <c r="J61" i="15"/>
  <c r="BH60" i="15"/>
  <c r="BI60" i="15" s="1"/>
  <c r="BE60" i="15"/>
  <c r="BD60" i="15"/>
  <c r="AZ60" i="15"/>
  <c r="BA60" i="15" s="1"/>
  <c r="AY60" i="15"/>
  <c r="AR60" i="15"/>
  <c r="AQ60" i="15"/>
  <c r="AN60" i="15"/>
  <c r="AP60" i="15" s="1"/>
  <c r="AM60" i="15"/>
  <c r="AK60" i="15"/>
  <c r="J60" i="15"/>
  <c r="BH59" i="15"/>
  <c r="BI59" i="15" s="1"/>
  <c r="BE59" i="15"/>
  <c r="BD59" i="15"/>
  <c r="AZ59" i="15"/>
  <c r="AY59" i="15"/>
  <c r="AQ59" i="15"/>
  <c r="AN59" i="15"/>
  <c r="AM59" i="15"/>
  <c r="AP59" i="15" s="1"/>
  <c r="AK59" i="15"/>
  <c r="J59" i="15"/>
  <c r="BH58" i="15"/>
  <c r="BI58" i="15" s="1"/>
  <c r="BE58" i="15"/>
  <c r="BD58" i="15"/>
  <c r="AZ58" i="15"/>
  <c r="BA58" i="15" s="1"/>
  <c r="AY58" i="15"/>
  <c r="AQ58" i="15"/>
  <c r="AN58" i="15"/>
  <c r="AM58" i="15"/>
  <c r="AK58" i="15"/>
  <c r="J58" i="15"/>
  <c r="BH57" i="15"/>
  <c r="BI57" i="15" s="1"/>
  <c r="BE57" i="15"/>
  <c r="BD57" i="15"/>
  <c r="AZ57" i="15"/>
  <c r="AY57" i="15"/>
  <c r="AQ57" i="15"/>
  <c r="AN57" i="15"/>
  <c r="AM57" i="15"/>
  <c r="AP57" i="15" s="1"/>
  <c r="AK57" i="15"/>
  <c r="J57" i="15"/>
  <c r="BH56" i="15"/>
  <c r="BI56" i="15" s="1"/>
  <c r="BE56" i="15"/>
  <c r="BD56" i="15"/>
  <c r="BA56" i="15"/>
  <c r="AZ56" i="15"/>
  <c r="AY56" i="15"/>
  <c r="AQ56" i="15"/>
  <c r="AN56" i="15"/>
  <c r="AM56" i="15"/>
  <c r="AK56" i="15"/>
  <c r="J56" i="15"/>
  <c r="BH55" i="15"/>
  <c r="BI55" i="15" s="1"/>
  <c r="BE55" i="15"/>
  <c r="BD55" i="15"/>
  <c r="AZ55" i="15"/>
  <c r="BA55" i="15" s="1"/>
  <c r="AY55" i="15"/>
  <c r="AQ55" i="15"/>
  <c r="AN55" i="15"/>
  <c r="AP55" i="15" s="1"/>
  <c r="AM55" i="15"/>
  <c r="AK55" i="15"/>
  <c r="J55" i="15"/>
  <c r="BH54" i="15"/>
  <c r="BI54" i="15" s="1"/>
  <c r="BE54" i="15"/>
  <c r="BD54" i="15"/>
  <c r="AZ54" i="15"/>
  <c r="AY54" i="15"/>
  <c r="AQ54" i="15"/>
  <c r="AN54" i="15"/>
  <c r="AM54" i="15"/>
  <c r="AP54" i="15" s="1"/>
  <c r="AR54" i="15" s="1"/>
  <c r="AT54" i="15" s="1"/>
  <c r="AK54" i="15"/>
  <c r="J54" i="15"/>
  <c r="BH53" i="15"/>
  <c r="BI53" i="15" s="1"/>
  <c r="BE53" i="15"/>
  <c r="BD53" i="15"/>
  <c r="AZ53" i="15"/>
  <c r="AY53" i="15"/>
  <c r="AQ53" i="15"/>
  <c r="AN53" i="15"/>
  <c r="AM53" i="15"/>
  <c r="AK53" i="15"/>
  <c r="J53" i="15"/>
  <c r="BH52" i="15"/>
  <c r="BI52" i="15" s="1"/>
  <c r="BE52" i="15"/>
  <c r="BD52" i="15"/>
  <c r="AZ52" i="15"/>
  <c r="AY52" i="15"/>
  <c r="AQ52" i="15"/>
  <c r="AN52" i="15"/>
  <c r="AM52" i="15"/>
  <c r="AK52" i="15"/>
  <c r="J52" i="15"/>
  <c r="BH51" i="15"/>
  <c r="BI51" i="15" s="1"/>
  <c r="BE51" i="15"/>
  <c r="BD51" i="15"/>
  <c r="AZ51" i="15"/>
  <c r="BA51" i="15" s="1"/>
  <c r="AY51" i="15"/>
  <c r="AQ51" i="15"/>
  <c r="AN51" i="15"/>
  <c r="AM51" i="15"/>
  <c r="AP51" i="15" s="1"/>
  <c r="AK51" i="15"/>
  <c r="J51" i="15"/>
  <c r="BH50" i="15"/>
  <c r="BI50" i="15" s="1"/>
  <c r="BE50" i="15"/>
  <c r="BD50" i="15"/>
  <c r="AZ50" i="15"/>
  <c r="AY50" i="15"/>
  <c r="AQ50" i="15"/>
  <c r="AN50" i="15"/>
  <c r="AM50" i="15"/>
  <c r="AK50" i="15"/>
  <c r="J50" i="15"/>
  <c r="BH49" i="15"/>
  <c r="BI49" i="15" s="1"/>
  <c r="BE49" i="15"/>
  <c r="BD49" i="15"/>
  <c r="AZ49" i="15"/>
  <c r="BA49" i="15" s="1"/>
  <c r="AY49" i="15"/>
  <c r="AQ49" i="15"/>
  <c r="AN49" i="15"/>
  <c r="AP49" i="15" s="1"/>
  <c r="AM49" i="15"/>
  <c r="AK49" i="15"/>
  <c r="J49" i="15"/>
  <c r="BH48" i="15"/>
  <c r="BI48" i="15" s="1"/>
  <c r="BE48" i="15"/>
  <c r="BD48" i="15"/>
  <c r="AZ48" i="15"/>
  <c r="BA48" i="15" s="1"/>
  <c r="AY48" i="15"/>
  <c r="AQ48" i="15"/>
  <c r="AR48" i="15" s="1"/>
  <c r="AN48" i="15"/>
  <c r="AM48" i="15"/>
  <c r="AP48" i="15" s="1"/>
  <c r="AK48" i="15"/>
  <c r="J48" i="15"/>
  <c r="BH47" i="15"/>
  <c r="BI47" i="15" s="1"/>
  <c r="BE47" i="15"/>
  <c r="BD47" i="15"/>
  <c r="AZ47" i="15"/>
  <c r="BA47" i="15" s="1"/>
  <c r="AY47" i="15"/>
  <c r="AQ47" i="15"/>
  <c r="AP47" i="15"/>
  <c r="AN47" i="15"/>
  <c r="AM47" i="15"/>
  <c r="AK47" i="15"/>
  <c r="J47" i="15"/>
  <c r="BH46" i="15"/>
  <c r="BI46" i="15" s="1"/>
  <c r="BE46" i="15"/>
  <c r="BD46" i="15"/>
  <c r="AZ46" i="15"/>
  <c r="BA46" i="15" s="1"/>
  <c r="AY46" i="15"/>
  <c r="AQ46" i="15"/>
  <c r="AN46" i="15"/>
  <c r="AM46" i="15"/>
  <c r="AK46" i="15"/>
  <c r="J46" i="15"/>
  <c r="BH45" i="15"/>
  <c r="BI45" i="15" s="1"/>
  <c r="BE45" i="15"/>
  <c r="BD45" i="15"/>
  <c r="AZ45" i="15"/>
  <c r="BA45" i="15" s="1"/>
  <c r="AY45" i="15"/>
  <c r="AQ45" i="15"/>
  <c r="AN45" i="15"/>
  <c r="AM45" i="15"/>
  <c r="AP45" i="15" s="1"/>
  <c r="AK45" i="15"/>
  <c r="J45" i="15"/>
  <c r="BH44" i="15"/>
  <c r="BI44" i="15" s="1"/>
  <c r="BE44" i="15"/>
  <c r="BD44" i="15"/>
  <c r="AZ44" i="15"/>
  <c r="AY44" i="15"/>
  <c r="AQ44" i="15"/>
  <c r="AN44" i="15"/>
  <c r="AM44" i="15"/>
  <c r="AK44" i="15"/>
  <c r="J44" i="15"/>
  <c r="BH43" i="15"/>
  <c r="BI43" i="15" s="1"/>
  <c r="BE43" i="15"/>
  <c r="BD43" i="15"/>
  <c r="AZ43" i="15"/>
  <c r="BA43" i="15" s="1"/>
  <c r="AY43" i="15"/>
  <c r="AQ43" i="15"/>
  <c r="AN43" i="15"/>
  <c r="AM43" i="15"/>
  <c r="AP43" i="15" s="1"/>
  <c r="AK43" i="15"/>
  <c r="J43" i="15"/>
  <c r="BH42" i="15"/>
  <c r="BI42" i="15" s="1"/>
  <c r="BE42" i="15"/>
  <c r="BD42" i="15"/>
  <c r="AZ42" i="15"/>
  <c r="BA42" i="15" s="1"/>
  <c r="AY42" i="15"/>
  <c r="AQ42" i="15"/>
  <c r="AR42" i="15" s="1"/>
  <c r="AN42" i="15"/>
  <c r="AP42" i="15" s="1"/>
  <c r="AM42" i="15"/>
  <c r="AK42" i="15"/>
  <c r="J42" i="15"/>
  <c r="BH41" i="15"/>
  <c r="BI41" i="15" s="1"/>
  <c r="BE41" i="15"/>
  <c r="BD41" i="15"/>
  <c r="AZ41" i="15"/>
  <c r="AY41" i="15"/>
  <c r="AQ41" i="15"/>
  <c r="AN41" i="15"/>
  <c r="AP41" i="15" s="1"/>
  <c r="AR41" i="15" s="1"/>
  <c r="AT41" i="15" s="1"/>
  <c r="AM41" i="15"/>
  <c r="AK41" i="15"/>
  <c r="J41" i="15"/>
  <c r="BH40" i="15"/>
  <c r="BI40" i="15" s="1"/>
  <c r="BE40" i="15"/>
  <c r="BD40" i="15"/>
  <c r="AZ40" i="15"/>
  <c r="BA40" i="15" s="1"/>
  <c r="AY40" i="15"/>
  <c r="AQ40" i="15"/>
  <c r="AN40" i="15"/>
  <c r="AM40" i="15"/>
  <c r="AK40" i="15"/>
  <c r="J40" i="15"/>
  <c r="BH39" i="15"/>
  <c r="BI39" i="15" s="1"/>
  <c r="BE39" i="15"/>
  <c r="BD39" i="15"/>
  <c r="AZ39" i="15"/>
  <c r="AY39" i="15"/>
  <c r="AQ39" i="15"/>
  <c r="AP39" i="15"/>
  <c r="AR39" i="15" s="1"/>
  <c r="AN39" i="15"/>
  <c r="AM39" i="15"/>
  <c r="AK39" i="15"/>
  <c r="J39" i="15"/>
  <c r="BH38" i="15"/>
  <c r="BI38" i="15" s="1"/>
  <c r="BE38" i="15"/>
  <c r="BD38" i="15"/>
  <c r="AZ38" i="15"/>
  <c r="BA38" i="15" s="1"/>
  <c r="AY38" i="15"/>
  <c r="AQ38" i="15"/>
  <c r="AR38" i="15" s="1"/>
  <c r="AN38" i="15"/>
  <c r="AM38" i="15"/>
  <c r="AP38" i="15" s="1"/>
  <c r="AK38" i="15"/>
  <c r="J38" i="15"/>
  <c r="BH37" i="15"/>
  <c r="BI37" i="15" s="1"/>
  <c r="BE37" i="15"/>
  <c r="BD37" i="15"/>
  <c r="AZ37" i="15"/>
  <c r="BA37" i="15" s="1"/>
  <c r="AY37" i="15"/>
  <c r="AQ37" i="15"/>
  <c r="AR37" i="15" s="1"/>
  <c r="AN37" i="15"/>
  <c r="AM37" i="15"/>
  <c r="AK37" i="15"/>
  <c r="J37" i="15"/>
  <c r="BH36" i="15"/>
  <c r="BI36" i="15" s="1"/>
  <c r="BE36" i="15"/>
  <c r="BD36" i="15"/>
  <c r="AZ36" i="15"/>
  <c r="AY36" i="15"/>
  <c r="AQ36" i="15"/>
  <c r="AR36" i="15" s="1"/>
  <c r="AN36" i="15"/>
  <c r="AP36" i="15" s="1"/>
  <c r="AM36" i="15"/>
  <c r="AK36" i="15"/>
  <c r="J36" i="15"/>
  <c r="BH35" i="15"/>
  <c r="BI35" i="15" s="1"/>
  <c r="BE35" i="15"/>
  <c r="BD35" i="15"/>
  <c r="AZ35" i="15"/>
  <c r="BA35" i="15" s="1"/>
  <c r="AY35" i="15"/>
  <c r="AR35" i="15"/>
  <c r="AQ35" i="15"/>
  <c r="AN35" i="15"/>
  <c r="AM35" i="15"/>
  <c r="AP35" i="15" s="1"/>
  <c r="AK35" i="15"/>
  <c r="J35" i="15"/>
  <c r="BH34" i="15"/>
  <c r="BI34" i="15" s="1"/>
  <c r="BE34" i="15"/>
  <c r="BD34" i="15"/>
  <c r="AZ34" i="15"/>
  <c r="AY34" i="15"/>
  <c r="AR34" i="15"/>
  <c r="AQ34" i="15"/>
  <c r="AP34" i="15"/>
  <c r="AN34" i="15"/>
  <c r="AM34" i="15"/>
  <c r="AK34" i="15"/>
  <c r="J34" i="15"/>
  <c r="BH33" i="15"/>
  <c r="BI33" i="15" s="1"/>
  <c r="BE33" i="15"/>
  <c r="BD33" i="15"/>
  <c r="AZ33" i="15"/>
  <c r="BA33" i="15" s="1"/>
  <c r="AY33" i="15"/>
  <c r="AQ33" i="15"/>
  <c r="AR33" i="15" s="1"/>
  <c r="AN33" i="15"/>
  <c r="AM33" i="15"/>
  <c r="AP33" i="15" s="1"/>
  <c r="AK33" i="15"/>
  <c r="J33" i="15"/>
  <c r="BH32" i="15"/>
  <c r="BI32" i="15" s="1"/>
  <c r="BE32" i="15"/>
  <c r="BD32" i="15"/>
  <c r="AZ32" i="15"/>
  <c r="AY32" i="15"/>
  <c r="AQ32" i="15"/>
  <c r="AR32" i="15" s="1"/>
  <c r="AN32" i="15"/>
  <c r="AM32" i="15"/>
  <c r="AK32" i="15"/>
  <c r="J32" i="15"/>
  <c r="BH31" i="15"/>
  <c r="BI31" i="15" s="1"/>
  <c r="BE31" i="15"/>
  <c r="BD31" i="15"/>
  <c r="AZ31" i="15"/>
  <c r="BA31" i="15" s="1"/>
  <c r="AY31" i="15"/>
  <c r="AR31" i="15"/>
  <c r="AQ31" i="15"/>
  <c r="AN31" i="15"/>
  <c r="AM31" i="15"/>
  <c r="AP31" i="15" s="1"/>
  <c r="AK31" i="15"/>
  <c r="J31" i="15"/>
  <c r="BH30" i="15"/>
  <c r="BI30" i="15" s="1"/>
  <c r="BE30" i="15"/>
  <c r="BD30" i="15"/>
  <c r="AZ30" i="15"/>
  <c r="BA30" i="15" s="1"/>
  <c r="AY30" i="15"/>
  <c r="AQ30" i="15"/>
  <c r="AR30" i="15" s="1"/>
  <c r="AN30" i="15"/>
  <c r="AM30" i="15"/>
  <c r="AP30" i="15" s="1"/>
  <c r="AK30" i="15"/>
  <c r="J30" i="15"/>
  <c r="BH29" i="15"/>
  <c r="BI29" i="15" s="1"/>
  <c r="BE29" i="15"/>
  <c r="BD29" i="15"/>
  <c r="AZ29" i="15"/>
  <c r="AY29" i="15"/>
  <c r="BA29" i="15" s="1"/>
  <c r="AQ29" i="15"/>
  <c r="AR29" i="15" s="1"/>
  <c r="AN29" i="15"/>
  <c r="AM29" i="15"/>
  <c r="AP29" i="15" s="1"/>
  <c r="AK29" i="15"/>
  <c r="J29" i="15"/>
  <c r="BH28" i="15"/>
  <c r="BI28" i="15" s="1"/>
  <c r="BE28" i="15"/>
  <c r="BD28" i="15"/>
  <c r="BA28" i="15"/>
  <c r="AZ28" i="15"/>
  <c r="AY28" i="15"/>
  <c r="AQ28" i="15"/>
  <c r="AR28" i="15" s="1"/>
  <c r="AN28" i="15"/>
  <c r="AM28" i="15"/>
  <c r="AK28" i="15"/>
  <c r="J28" i="15"/>
  <c r="BH27" i="15"/>
  <c r="BI27" i="15" s="1"/>
  <c r="BE27" i="15"/>
  <c r="BD27" i="15"/>
  <c r="AZ27" i="15"/>
  <c r="AY27" i="15"/>
  <c r="BA27" i="15" s="1"/>
  <c r="AQ27" i="15"/>
  <c r="AR27" i="15" s="1"/>
  <c r="AN27" i="15"/>
  <c r="AM27" i="15"/>
  <c r="AP27" i="15" s="1"/>
  <c r="AK27" i="15"/>
  <c r="J27" i="15"/>
  <c r="BH26" i="15"/>
  <c r="BI26" i="15" s="1"/>
  <c r="BE26" i="15"/>
  <c r="BD26" i="15"/>
  <c r="AZ26" i="15"/>
  <c r="BA26" i="15" s="1"/>
  <c r="AY26" i="15"/>
  <c r="AQ26" i="15"/>
  <c r="AR26" i="15" s="1"/>
  <c r="AN26" i="15"/>
  <c r="AM26" i="15"/>
  <c r="AP26" i="15" s="1"/>
  <c r="AK26" i="15"/>
  <c r="J26" i="15"/>
  <c r="BH25" i="15"/>
  <c r="BI25" i="15" s="1"/>
  <c r="BE25" i="15"/>
  <c r="BD25" i="15"/>
  <c r="AZ25" i="15"/>
  <c r="AY25" i="15"/>
  <c r="AQ25" i="15"/>
  <c r="AR25" i="15" s="1"/>
  <c r="AN25" i="15"/>
  <c r="AM25" i="15"/>
  <c r="AP25" i="15" s="1"/>
  <c r="AK25" i="15"/>
  <c r="J25" i="15"/>
  <c r="BH24" i="15"/>
  <c r="BI24" i="15" s="1"/>
  <c r="BE24" i="15"/>
  <c r="BD24" i="15"/>
  <c r="BA24" i="15"/>
  <c r="AZ24" i="15"/>
  <c r="AY24" i="15"/>
  <c r="AQ24" i="15"/>
  <c r="AR24" i="15" s="1"/>
  <c r="AN24" i="15"/>
  <c r="AM24" i="15"/>
  <c r="AP24" i="15" s="1"/>
  <c r="AK24" i="15"/>
  <c r="J24" i="15"/>
  <c r="BH23" i="15"/>
  <c r="BI23" i="15" s="1"/>
  <c r="BE23" i="15"/>
  <c r="BD23" i="15"/>
  <c r="AZ23" i="15"/>
  <c r="AY23" i="15"/>
  <c r="BA23" i="15" s="1"/>
  <c r="AQ23" i="15"/>
  <c r="AR23" i="15" s="1"/>
  <c r="AN23" i="15"/>
  <c r="AM23" i="15"/>
  <c r="AK23" i="15"/>
  <c r="J23" i="15"/>
  <c r="BH22" i="15"/>
  <c r="BI22" i="15" s="1"/>
  <c r="BE22" i="15"/>
  <c r="BD22" i="15"/>
  <c r="AZ22" i="15"/>
  <c r="BA22" i="15" s="1"/>
  <c r="AY22" i="15"/>
  <c r="AQ22" i="15"/>
  <c r="AR22" i="15" s="1"/>
  <c r="AN22" i="15"/>
  <c r="AM22" i="15"/>
  <c r="AP22" i="15" s="1"/>
  <c r="AK22" i="15"/>
  <c r="J22" i="15"/>
  <c r="BH21" i="15"/>
  <c r="BI21" i="15" s="1"/>
  <c r="BE21" i="15"/>
  <c r="BD21" i="15"/>
  <c r="AZ21" i="15"/>
  <c r="AY21" i="15"/>
  <c r="AQ21" i="15"/>
  <c r="AR21" i="15" s="1"/>
  <c r="AN21" i="15"/>
  <c r="AM21" i="15"/>
  <c r="AP21" i="15" s="1"/>
  <c r="AK21" i="15"/>
  <c r="J21" i="15"/>
  <c r="BH20" i="15"/>
  <c r="BI20" i="15" s="1"/>
  <c r="BE20" i="15"/>
  <c r="BD20" i="15"/>
  <c r="AZ20" i="15"/>
  <c r="AY20" i="15"/>
  <c r="BA20" i="15" s="1"/>
  <c r="AQ20" i="15"/>
  <c r="AR20" i="15" s="1"/>
  <c r="AP20" i="15"/>
  <c r="AN20" i="15"/>
  <c r="AM20" i="15"/>
  <c r="AK20" i="15"/>
  <c r="J20" i="15"/>
  <c r="BH19" i="15"/>
  <c r="BI19" i="15" s="1"/>
  <c r="BE19" i="15"/>
  <c r="BD19" i="15"/>
  <c r="AZ19" i="15"/>
  <c r="AY19" i="15"/>
  <c r="AQ19" i="15"/>
  <c r="AR19" i="15" s="1"/>
  <c r="AN19" i="15"/>
  <c r="AM19" i="15"/>
  <c r="AP19" i="15" s="1"/>
  <c r="AK19" i="15"/>
  <c r="J19" i="15"/>
  <c r="B19" i="15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H18" i="15"/>
  <c r="BI18" i="15" s="1"/>
  <c r="BE18" i="15"/>
  <c r="BD18" i="15"/>
  <c r="AZ18" i="15"/>
  <c r="BA18" i="15" s="1"/>
  <c r="AY18" i="15"/>
  <c r="AQ18" i="15"/>
  <c r="AR18" i="15" s="1"/>
  <c r="AN18" i="15"/>
  <c r="AP18" i="15" s="1"/>
  <c r="AM18" i="15"/>
  <c r="AK18" i="15"/>
  <c r="J18" i="15"/>
  <c r="BH17" i="15"/>
  <c r="BI17" i="15" s="1"/>
  <c r="BE17" i="15"/>
  <c r="BD17" i="15"/>
  <c r="AZ17" i="15"/>
  <c r="AY17" i="15"/>
  <c r="AQ17" i="15"/>
  <c r="AR17" i="15" s="1"/>
  <c r="AN17" i="15"/>
  <c r="AM17" i="15"/>
  <c r="AK17" i="15"/>
  <c r="J17" i="15"/>
  <c r="B17" i="15"/>
  <c r="B18" i="15" s="1"/>
  <c r="BH16" i="15"/>
  <c r="BI16" i="15" s="1"/>
  <c r="BE16" i="15"/>
  <c r="BD16" i="15"/>
  <c r="BA16" i="15"/>
  <c r="AZ16" i="15"/>
  <c r="AY16" i="15"/>
  <c r="AQ16" i="15"/>
  <c r="AR16" i="15" s="1"/>
  <c r="AN16" i="15"/>
  <c r="AP16" i="15" s="1"/>
  <c r="AM16" i="15"/>
  <c r="AK16" i="15"/>
  <c r="J16" i="15"/>
  <c r="B16" i="15"/>
  <c r="BH15" i="15"/>
  <c r="BI15" i="15" s="1"/>
  <c r="BE15" i="15"/>
  <c r="BD15" i="15"/>
  <c r="AZ15" i="15"/>
  <c r="BA15" i="15" s="1"/>
  <c r="AY15" i="15"/>
  <c r="AQ15" i="15"/>
  <c r="AR15" i="15" s="1"/>
  <c r="AN15" i="15"/>
  <c r="AM15" i="15"/>
  <c r="AK15" i="15"/>
  <c r="J15" i="15"/>
  <c r="AI14" i="15"/>
  <c r="AH14" i="15"/>
  <c r="AA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AL13" i="15"/>
  <c r="AL39" i="15" s="1"/>
  <c r="AH12" i="15"/>
  <c r="P12" i="15"/>
  <c r="AA12" i="15" s="1"/>
  <c r="B12" i="15"/>
  <c r="T12" i="15" s="1"/>
  <c r="U12" i="15" s="1"/>
  <c r="AI10" i="15"/>
  <c r="T10" i="15"/>
  <c r="O10" i="15"/>
  <c r="K10" i="15"/>
  <c r="AI7" i="15"/>
  <c r="T7" i="15"/>
  <c r="O7" i="15"/>
  <c r="K7" i="15"/>
  <c r="AH4" i="15"/>
  <c r="T4" i="15"/>
  <c r="R4" i="15"/>
  <c r="AH2" i="15"/>
  <c r="X18" i="18" l="1"/>
  <c r="Y18" i="18" s="1"/>
  <c r="AS15" i="18"/>
  <c r="AT15" i="18" s="1"/>
  <c r="AV15" i="18" s="1"/>
  <c r="AX15" i="18"/>
  <c r="BB15" i="18" s="1"/>
  <c r="BC15" i="18" s="1"/>
  <c r="AF17" i="18"/>
  <c r="AU18" i="18"/>
  <c r="AT18" i="18"/>
  <c r="AV18" i="18" s="1"/>
  <c r="AS17" i="18"/>
  <c r="AX17" i="18"/>
  <c r="BB17" i="18" s="1"/>
  <c r="BC17" i="18" s="1"/>
  <c r="AE19" i="18"/>
  <c r="AF19" i="18" s="1"/>
  <c r="AX18" i="18"/>
  <c r="BB18" i="18" s="1"/>
  <c r="BC18" i="18" s="1"/>
  <c r="AS18" i="18"/>
  <c r="BB19" i="18"/>
  <c r="BC19" i="18" s="1"/>
  <c r="AS19" i="18"/>
  <c r="AX19" i="18"/>
  <c r="AT17" i="18"/>
  <c r="AU17" i="18" s="1"/>
  <c r="W19" i="18"/>
  <c r="AF32" i="18"/>
  <c r="AE32" i="18"/>
  <c r="AD53" i="18"/>
  <c r="AD50" i="18"/>
  <c r="AD55" i="18"/>
  <c r="AD49" i="18"/>
  <c r="AD43" i="18"/>
  <c r="AD54" i="18"/>
  <c r="AD25" i="18"/>
  <c r="AD38" i="18"/>
  <c r="AB12" i="18"/>
  <c r="AE17" i="18"/>
  <c r="AD29" i="18"/>
  <c r="W59" i="18"/>
  <c r="W62" i="18"/>
  <c r="W56" i="18"/>
  <c r="W49" i="18"/>
  <c r="W61" i="18"/>
  <c r="W48" i="18"/>
  <c r="W47" i="18"/>
  <c r="W37" i="18"/>
  <c r="W60" i="18"/>
  <c r="W41" i="18"/>
  <c r="W44" i="18"/>
  <c r="W23" i="18"/>
  <c r="W26" i="18"/>
  <c r="W36" i="18"/>
  <c r="W35" i="18"/>
  <c r="W25" i="18"/>
  <c r="W43" i="18"/>
  <c r="AO22" i="18"/>
  <c r="W31" i="18"/>
  <c r="AT19" i="18"/>
  <c r="AU19" i="18" s="1"/>
  <c r="AD23" i="18"/>
  <c r="AD26" i="18"/>
  <c r="W30" i="18"/>
  <c r="U12" i="18"/>
  <c r="AL54" i="18"/>
  <c r="AL60" i="18"/>
  <c r="AL53" i="18"/>
  <c r="AO53" i="18" s="1"/>
  <c r="AL59" i="18"/>
  <c r="AO59" i="18" s="1"/>
  <c r="AL52" i="18"/>
  <c r="AO52" i="18" s="1"/>
  <c r="AL51" i="18"/>
  <c r="AO51" i="18" s="1"/>
  <c r="AL50" i="18"/>
  <c r="AO50" i="18" s="1"/>
  <c r="AL62" i="18"/>
  <c r="AO62" i="18" s="1"/>
  <c r="AL58" i="18"/>
  <c r="AO58" i="18" s="1"/>
  <c r="AL57" i="18"/>
  <c r="AO57" i="18" s="1"/>
  <c r="AL56" i="18"/>
  <c r="AO56" i="18" s="1"/>
  <c r="AL55" i="18"/>
  <c r="AL49" i="18"/>
  <c r="AO49" i="18" s="1"/>
  <c r="AL46" i="18"/>
  <c r="AO46" i="18" s="1"/>
  <c r="AV46" i="18" s="1"/>
  <c r="AL43" i="18"/>
  <c r="AL39" i="18"/>
  <c r="AL38" i="18"/>
  <c r="AO38" i="18" s="1"/>
  <c r="AL34" i="18"/>
  <c r="AO34" i="18" s="1"/>
  <c r="AL33" i="18"/>
  <c r="AO33" i="18" s="1"/>
  <c r="AL48" i="18"/>
  <c r="AL47" i="18"/>
  <c r="AO47" i="18" s="1"/>
  <c r="AL44" i="18"/>
  <c r="AO44" i="18" s="1"/>
  <c r="AV44" i="18" s="1"/>
  <c r="AL42" i="18"/>
  <c r="AO42" i="18" s="1"/>
  <c r="AL61" i="18"/>
  <c r="AL41" i="18"/>
  <c r="AO41" i="18" s="1"/>
  <c r="AV41" i="18" s="1"/>
  <c r="AL45" i="18"/>
  <c r="AO45" i="18" s="1"/>
  <c r="AL24" i="18"/>
  <c r="AL32" i="18"/>
  <c r="AO32" i="18" s="1"/>
  <c r="AL29" i="18"/>
  <c r="AO29" i="18" s="1"/>
  <c r="AL23" i="18"/>
  <c r="AO23" i="18" s="1"/>
  <c r="AL36" i="18"/>
  <c r="AO36" i="18" s="1"/>
  <c r="AL22" i="18"/>
  <c r="AL21" i="18"/>
  <c r="AO21" i="18" s="1"/>
  <c r="AL20" i="18"/>
  <c r="AO20" i="18" s="1"/>
  <c r="AL40" i="18"/>
  <c r="AO40" i="18" s="1"/>
  <c r="AL30" i="18"/>
  <c r="AL28" i="18"/>
  <c r="AO28" i="18" s="1"/>
  <c r="AL27" i="18"/>
  <c r="AO27" i="18" s="1"/>
  <c r="AL26" i="18"/>
  <c r="AO26" i="18" s="1"/>
  <c r="AL35" i="18"/>
  <c r="AL31" i="18"/>
  <c r="AO31" i="18" s="1"/>
  <c r="AL25" i="18"/>
  <c r="AD20" i="18"/>
  <c r="W24" i="18"/>
  <c r="W32" i="18"/>
  <c r="AO24" i="18"/>
  <c r="AO60" i="18"/>
  <c r="AL16" i="18"/>
  <c r="AO16" i="18" s="1"/>
  <c r="AD18" i="18"/>
  <c r="AL37" i="18"/>
  <c r="AO37" i="18" s="1"/>
  <c r="W20" i="18"/>
  <c r="AD24" i="18"/>
  <c r="AO25" i="18"/>
  <c r="W29" i="18"/>
  <c r="W38" i="18"/>
  <c r="AO35" i="18"/>
  <c r="AO30" i="18"/>
  <c r="AT41" i="18"/>
  <c r="AU44" i="18"/>
  <c r="AT44" i="18"/>
  <c r="AD47" i="18"/>
  <c r="AT54" i="18"/>
  <c r="AO39" i="18"/>
  <c r="AD41" i="18"/>
  <c r="AV42" i="18"/>
  <c r="AU42" i="18"/>
  <c r="AT42" i="18"/>
  <c r="AV59" i="18"/>
  <c r="AU59" i="18"/>
  <c r="AT59" i="18"/>
  <c r="AD31" i="18"/>
  <c r="BA36" i="18"/>
  <c r="AD37" i="18"/>
  <c r="AP39" i="18"/>
  <c r="AR39" i="18" s="1"/>
  <c r="W42" i="18"/>
  <c r="AO43" i="18"/>
  <c r="AV61" i="18"/>
  <c r="AD30" i="18"/>
  <c r="AT43" i="18"/>
  <c r="AU46" i="18"/>
  <c r="AT46" i="18"/>
  <c r="AD35" i="18"/>
  <c r="AD42" i="18"/>
  <c r="W55" i="18"/>
  <c r="AD36" i="18"/>
  <c r="AR40" i="18"/>
  <c r="AU45" i="18"/>
  <c r="AV45" i="18"/>
  <c r="AT47" i="18"/>
  <c r="AT52" i="18"/>
  <c r="AD61" i="18"/>
  <c r="AD48" i="18"/>
  <c r="W54" i="18"/>
  <c r="AU60" i="18"/>
  <c r="AT60" i="18"/>
  <c r="AO61" i="18"/>
  <c r="BA43" i="18"/>
  <c r="AT48" i="18"/>
  <c r="AO55" i="18"/>
  <c r="AD59" i="18"/>
  <c r="AO48" i="18"/>
  <c r="AV56" i="18"/>
  <c r="AU56" i="18"/>
  <c r="AT56" i="18"/>
  <c r="AV62" i="18"/>
  <c r="AU62" i="18"/>
  <c r="AT62" i="18"/>
  <c r="W50" i="18"/>
  <c r="AV50" i="18"/>
  <c r="AU50" i="18"/>
  <c r="AT50" i="18"/>
  <c r="AO54" i="18"/>
  <c r="AV54" i="18" s="1"/>
  <c r="AD56" i="18"/>
  <c r="AV57" i="18"/>
  <c r="AU57" i="18"/>
  <c r="AT57" i="18"/>
  <c r="AD62" i="18"/>
  <c r="AD44" i="18"/>
  <c r="AR49" i="18"/>
  <c r="W53" i="18"/>
  <c r="AV53" i="18"/>
  <c r="AU53" i="18"/>
  <c r="AT53" i="18"/>
  <c r="AR55" i="18"/>
  <c r="AV58" i="18"/>
  <c r="AU58" i="18"/>
  <c r="AT58" i="18"/>
  <c r="AD60" i="18"/>
  <c r="AV51" i="18"/>
  <c r="AU51" i="18"/>
  <c r="AT51" i="18"/>
  <c r="AU61" i="18"/>
  <c r="Y12" i="17"/>
  <c r="Z12" i="17" s="1"/>
  <c r="U12" i="17"/>
  <c r="AB12" i="15"/>
  <c r="AF12" i="15"/>
  <c r="AG12" i="15" s="1"/>
  <c r="U12" i="16"/>
  <c r="Y12" i="16"/>
  <c r="Z12" i="16" s="1"/>
  <c r="AP17" i="15"/>
  <c r="BA21" i="15"/>
  <c r="BA61" i="15"/>
  <c r="AO15" i="16"/>
  <c r="AS15" i="16" s="1"/>
  <c r="AT15" i="16" s="1"/>
  <c r="AU15" i="16" s="1"/>
  <c r="BA35" i="16"/>
  <c r="BA37" i="16"/>
  <c r="BA42" i="16"/>
  <c r="AP54" i="16"/>
  <c r="AR54" i="16" s="1"/>
  <c r="AT54" i="16" s="1"/>
  <c r="AP17" i="17"/>
  <c r="BA32" i="17"/>
  <c r="AP39" i="17"/>
  <c r="BA43" i="17"/>
  <c r="AP51" i="17"/>
  <c r="W54" i="15"/>
  <c r="AD29" i="15"/>
  <c r="AE29" i="15" s="1"/>
  <c r="AF29" i="15" s="1"/>
  <c r="AD59" i="15"/>
  <c r="W29" i="16"/>
  <c r="W35" i="16"/>
  <c r="W47" i="16"/>
  <c r="W60" i="16"/>
  <c r="AD19" i="16"/>
  <c r="AD49" i="16"/>
  <c r="AD29" i="17"/>
  <c r="AE29" i="17" s="1"/>
  <c r="AF29" i="17" s="1"/>
  <c r="AD48" i="16"/>
  <c r="AD36" i="16"/>
  <c r="AD42" i="17"/>
  <c r="AP44" i="15"/>
  <c r="AR44" i="15" s="1"/>
  <c r="AL15" i="16"/>
  <c r="AO25" i="16"/>
  <c r="AS25" i="16" s="1"/>
  <c r="AT25" i="16" s="1"/>
  <c r="AL19" i="17"/>
  <c r="AP61" i="17"/>
  <c r="W42" i="15"/>
  <c r="W55" i="15"/>
  <c r="W24" i="16"/>
  <c r="W36" i="16"/>
  <c r="W48" i="16"/>
  <c r="W61" i="16"/>
  <c r="AD20" i="16"/>
  <c r="AE20" i="16" s="1"/>
  <c r="AF20" i="16" s="1"/>
  <c r="AD36" i="17"/>
  <c r="AP23" i="15"/>
  <c r="BA25" i="15"/>
  <c r="AP32" i="15"/>
  <c r="AP37" i="15"/>
  <c r="AP52" i="15"/>
  <c r="AR52" i="15" s="1"/>
  <c r="AT52" i="15" s="1"/>
  <c r="AL17" i="16"/>
  <c r="AO17" i="16" s="1"/>
  <c r="AL19" i="16"/>
  <c r="AO19" i="16" s="1"/>
  <c r="AL21" i="16"/>
  <c r="AL23" i="16"/>
  <c r="AO23" i="16" s="1"/>
  <c r="AL25" i="16"/>
  <c r="AL27" i="16"/>
  <c r="AL29" i="16"/>
  <c r="AL31" i="16"/>
  <c r="AO31" i="16" s="1"/>
  <c r="BA40" i="16"/>
  <c r="AL47" i="16"/>
  <c r="AL49" i="16"/>
  <c r="BA56" i="16"/>
  <c r="BA59" i="16"/>
  <c r="AL30" i="17"/>
  <c r="AR39" i="17"/>
  <c r="AT39" i="17" s="1"/>
  <c r="AR51" i="17"/>
  <c r="AP58" i="17"/>
  <c r="AR58" i="17" s="1"/>
  <c r="AD18" i="15"/>
  <c r="AD31" i="15"/>
  <c r="AD44" i="15"/>
  <c r="AD62" i="15"/>
  <c r="AD48" i="15"/>
  <c r="AD60" i="15"/>
  <c r="W17" i="16"/>
  <c r="X17" i="16" s="1"/>
  <c r="Y17" i="16" s="1"/>
  <c r="W25" i="16"/>
  <c r="W37" i="16"/>
  <c r="W50" i="16"/>
  <c r="W62" i="16"/>
  <c r="AD35" i="17"/>
  <c r="AD24" i="17"/>
  <c r="AD37" i="17"/>
  <c r="AD56" i="17"/>
  <c r="AE56" i="17" s="1"/>
  <c r="AF56" i="17" s="1"/>
  <c r="BA17" i="15"/>
  <c r="BA36" i="15"/>
  <c r="BA41" i="15"/>
  <c r="BA54" i="15"/>
  <c r="AP58" i="15"/>
  <c r="AR58" i="15" s="1"/>
  <c r="BA16" i="16"/>
  <c r="BA18" i="16"/>
  <c r="BA20" i="16"/>
  <c r="BA22" i="16"/>
  <c r="BA24" i="16"/>
  <c r="BA26" i="16"/>
  <c r="BA28" i="16"/>
  <c r="BA30" i="16"/>
  <c r="BA36" i="16"/>
  <c r="BA38" i="16"/>
  <c r="BA46" i="16"/>
  <c r="AP52" i="16"/>
  <c r="AR52" i="16" s="1"/>
  <c r="BA54" i="16"/>
  <c r="BA57" i="16"/>
  <c r="AL15" i="17"/>
  <c r="BA29" i="17"/>
  <c r="BA31" i="17"/>
  <c r="BA47" i="17"/>
  <c r="AP59" i="17"/>
  <c r="AR59" i="17" s="1"/>
  <c r="AT59" i="17" s="1"/>
  <c r="BA61" i="17"/>
  <c r="AP62" i="17"/>
  <c r="AR62" i="17" s="1"/>
  <c r="W32" i="15"/>
  <c r="AD50" i="15"/>
  <c r="W41" i="16"/>
  <c r="W54" i="16"/>
  <c r="AD43" i="17"/>
  <c r="AE43" i="17" s="1"/>
  <c r="AF43" i="17" s="1"/>
  <c r="AD30" i="16"/>
  <c r="AD60" i="17"/>
  <c r="AL18" i="17"/>
  <c r="BA34" i="15"/>
  <c r="AP40" i="15"/>
  <c r="AR40" i="15" s="1"/>
  <c r="BA44" i="15"/>
  <c r="BA57" i="15"/>
  <c r="BA32" i="16"/>
  <c r="AR49" i="16"/>
  <c r="BA27" i="17"/>
  <c r="AR55" i="17"/>
  <c r="AT55" i="17" s="1"/>
  <c r="AD24" i="15"/>
  <c r="AD37" i="15"/>
  <c r="AE37" i="15" s="1"/>
  <c r="AF37" i="15" s="1"/>
  <c r="AD36" i="15"/>
  <c r="W41" i="15"/>
  <c r="W30" i="16"/>
  <c r="W42" i="16"/>
  <c r="W55" i="16"/>
  <c r="AF12" i="16"/>
  <c r="AG12" i="16" s="1"/>
  <c r="AD19" i="17"/>
  <c r="AD49" i="17"/>
  <c r="AE49" i="17" s="1"/>
  <c r="AF49" i="17" s="1"/>
  <c r="AD17" i="17"/>
  <c r="AD30" i="17"/>
  <c r="AD62" i="17"/>
  <c r="AP28" i="15"/>
  <c r="BA32" i="15"/>
  <c r="BA39" i="15"/>
  <c r="BA52" i="15"/>
  <c r="AP56" i="15"/>
  <c r="AR56" i="15" s="1"/>
  <c r="AT56" i="15" s="1"/>
  <c r="AR45" i="16"/>
  <c r="AR50" i="16"/>
  <c r="AR53" i="16"/>
  <c r="AT53" i="16" s="1"/>
  <c r="AP50" i="17"/>
  <c r="AR50" i="17" s="1"/>
  <c r="Y17" i="15"/>
  <c r="AD25" i="15"/>
  <c r="AD54" i="15"/>
  <c r="W31" i="16"/>
  <c r="W43" i="16"/>
  <c r="AD23" i="17"/>
  <c r="AD55" i="17"/>
  <c r="AD31" i="17"/>
  <c r="AD50" i="17"/>
  <c r="AE50" i="17" s="1"/>
  <c r="AF50" i="17" s="1"/>
  <c r="AP46" i="15"/>
  <c r="AR46" i="15" s="1"/>
  <c r="AT46" i="15" s="1"/>
  <c r="AI72" i="17"/>
  <c r="W32" i="16"/>
  <c r="W44" i="16"/>
  <c r="W59" i="16"/>
  <c r="AE20" i="17"/>
  <c r="AF20" i="17" s="1"/>
  <c r="AE53" i="17"/>
  <c r="AF53" i="17" s="1"/>
  <c r="AE54" i="17"/>
  <c r="AF54" i="17" s="1"/>
  <c r="AE19" i="17"/>
  <c r="AF19" i="17" s="1"/>
  <c r="AE25" i="17"/>
  <c r="AF25" i="17" s="1"/>
  <c r="AE31" i="17"/>
  <c r="AF31" i="17" s="1"/>
  <c r="AE37" i="17"/>
  <c r="AF37" i="17" s="1"/>
  <c r="AE55" i="17"/>
  <c r="AF55" i="17" s="1"/>
  <c r="AE61" i="17"/>
  <c r="AF61" i="17" s="1"/>
  <c r="AE17" i="17"/>
  <c r="AE23" i="17"/>
  <c r="AF23" i="17" s="1"/>
  <c r="AE35" i="17"/>
  <c r="AF35" i="17" s="1"/>
  <c r="AE41" i="17"/>
  <c r="AF41" i="17" s="1"/>
  <c r="AE47" i="17"/>
  <c r="AF47" i="17" s="1"/>
  <c r="AE59" i="17"/>
  <c r="AF59" i="17" s="1"/>
  <c r="AE18" i="17"/>
  <c r="AF18" i="17" s="1"/>
  <c r="AE24" i="17"/>
  <c r="AF24" i="17" s="1"/>
  <c r="AE30" i="17"/>
  <c r="AF30" i="17" s="1"/>
  <c r="AE36" i="17"/>
  <c r="AF36" i="17" s="1"/>
  <c r="AE42" i="17"/>
  <c r="AF42" i="17" s="1"/>
  <c r="AE48" i="17"/>
  <c r="AF48" i="17" s="1"/>
  <c r="AE60" i="17"/>
  <c r="AF60" i="17" s="1"/>
  <c r="AE26" i="17"/>
  <c r="AF26" i="17" s="1"/>
  <c r="AE32" i="17"/>
  <c r="AF32" i="17" s="1"/>
  <c r="AE38" i="17"/>
  <c r="AF38" i="17" s="1"/>
  <c r="AE44" i="17"/>
  <c r="AF44" i="17" s="1"/>
  <c r="AE62" i="17"/>
  <c r="AF62" i="17" s="1"/>
  <c r="X56" i="17"/>
  <c r="Y56" i="17" s="1"/>
  <c r="X29" i="17"/>
  <c r="Y29" i="17" s="1"/>
  <c r="X36" i="17"/>
  <c r="Y36" i="17" s="1"/>
  <c r="X42" i="17"/>
  <c r="Y42" i="17" s="1"/>
  <c r="X53" i="17"/>
  <c r="Y53" i="17" s="1"/>
  <c r="X30" i="17"/>
  <c r="Y30" i="17" s="1"/>
  <c r="X37" i="17"/>
  <c r="Y37" i="17" s="1"/>
  <c r="X54" i="17"/>
  <c r="Y54" i="17" s="1"/>
  <c r="X25" i="17"/>
  <c r="Y25" i="17" s="1"/>
  <c r="X38" i="17"/>
  <c r="Y38" i="17" s="1"/>
  <c r="X59" i="17"/>
  <c r="Y59" i="17" s="1"/>
  <c r="X26" i="17"/>
  <c r="Y26" i="17" s="1"/>
  <c r="X35" i="17"/>
  <c r="Y35" i="17" s="1"/>
  <c r="X41" i="17"/>
  <c r="Y41" i="17" s="1"/>
  <c r="X50" i="17"/>
  <c r="Y50" i="17" s="1"/>
  <c r="X60" i="17"/>
  <c r="Y60" i="17" s="1"/>
  <c r="W31" i="17"/>
  <c r="W32" i="17"/>
  <c r="W55" i="17"/>
  <c r="W24" i="17"/>
  <c r="W49" i="17"/>
  <c r="W62" i="17"/>
  <c r="W18" i="17"/>
  <c r="W19" i="17"/>
  <c r="X19" i="17" s="1"/>
  <c r="W23" i="17"/>
  <c r="W44" i="17"/>
  <c r="W47" i="17"/>
  <c r="W48" i="17"/>
  <c r="W61" i="17"/>
  <c r="W43" i="17"/>
  <c r="AE17" i="16"/>
  <c r="AF17" i="16" s="1"/>
  <c r="AE23" i="16"/>
  <c r="AF23" i="16" s="1"/>
  <c r="AE29" i="16"/>
  <c r="AF29" i="16" s="1"/>
  <c r="AE35" i="16"/>
  <c r="AF35" i="16" s="1"/>
  <c r="AE41" i="16"/>
  <c r="AF41" i="16" s="1"/>
  <c r="AE47" i="16"/>
  <c r="AF47" i="16" s="1"/>
  <c r="AE59" i="16"/>
  <c r="AF59" i="16" s="1"/>
  <c r="AE18" i="16"/>
  <c r="AF18" i="16" s="1"/>
  <c r="AE24" i="16"/>
  <c r="AF24" i="16" s="1"/>
  <c r="AE30" i="16"/>
  <c r="AF30" i="16" s="1"/>
  <c r="AE36" i="16"/>
  <c r="AF36" i="16" s="1"/>
  <c r="AE42" i="16"/>
  <c r="AF42" i="16" s="1"/>
  <c r="AE48" i="16"/>
  <c r="AF48" i="16" s="1"/>
  <c r="AE60" i="16"/>
  <c r="AF60" i="16" s="1"/>
  <c r="AE19" i="16"/>
  <c r="AF19" i="16" s="1"/>
  <c r="AE25" i="16"/>
  <c r="AF25" i="16" s="1"/>
  <c r="AE31" i="16"/>
  <c r="AF31" i="16" s="1"/>
  <c r="AE37" i="16"/>
  <c r="AF37" i="16" s="1"/>
  <c r="AE43" i="16"/>
  <c r="AF43" i="16" s="1"/>
  <c r="AE49" i="16"/>
  <c r="AF49" i="16" s="1"/>
  <c r="AE55" i="16"/>
  <c r="AF55" i="16" s="1"/>
  <c r="AE61" i="16"/>
  <c r="AF61" i="16" s="1"/>
  <c r="AE53" i="16"/>
  <c r="AF53" i="16" s="1"/>
  <c r="AE54" i="16"/>
  <c r="AF54" i="16" s="1"/>
  <c r="AE26" i="16"/>
  <c r="AF26" i="16" s="1"/>
  <c r="AE32" i="16"/>
  <c r="AF32" i="16" s="1"/>
  <c r="AE38" i="16"/>
  <c r="AF38" i="16" s="1"/>
  <c r="AE44" i="16"/>
  <c r="AF44" i="16" s="1"/>
  <c r="AE50" i="16"/>
  <c r="AF50" i="16" s="1"/>
  <c r="AE56" i="16"/>
  <c r="AF56" i="16" s="1"/>
  <c r="AE62" i="16"/>
  <c r="AF62" i="16" s="1"/>
  <c r="X44" i="16"/>
  <c r="Y44" i="16" s="1"/>
  <c r="X29" i="16"/>
  <c r="Y29" i="16" s="1"/>
  <c r="X35" i="16"/>
  <c r="Y35" i="16" s="1"/>
  <c r="X41" i="16"/>
  <c r="Y41" i="16" s="1"/>
  <c r="X47" i="16"/>
  <c r="Y47" i="16" s="1"/>
  <c r="X54" i="16"/>
  <c r="Y54" i="16"/>
  <c r="X60" i="16"/>
  <c r="Y60" i="16" s="1"/>
  <c r="X53" i="16"/>
  <c r="Y53" i="16" s="1"/>
  <c r="X24" i="16"/>
  <c r="Y24" i="16" s="1"/>
  <c r="X30" i="16"/>
  <c r="Y30" i="16" s="1"/>
  <c r="X36" i="16"/>
  <c r="Y36" i="16" s="1"/>
  <c r="X42" i="16"/>
  <c r="Y42" i="16" s="1"/>
  <c r="X48" i="16"/>
  <c r="Y48" i="16" s="1"/>
  <c r="X55" i="16"/>
  <c r="Y55" i="16" s="1"/>
  <c r="X61" i="16"/>
  <c r="Y61" i="16" s="1"/>
  <c r="X32" i="16"/>
  <c r="Y32" i="16" s="1"/>
  <c r="X38" i="16"/>
  <c r="Y38" i="16" s="1"/>
  <c r="X59" i="16"/>
  <c r="Y59" i="16" s="1"/>
  <c r="X25" i="16"/>
  <c r="Y25" i="16" s="1"/>
  <c r="X31" i="16"/>
  <c r="Y31" i="16" s="1"/>
  <c r="X37" i="16"/>
  <c r="Y37" i="16" s="1"/>
  <c r="X43" i="16"/>
  <c r="Y43" i="16" s="1"/>
  <c r="X50" i="16"/>
  <c r="Y50" i="16" s="1"/>
  <c r="X62" i="16"/>
  <c r="Y62" i="16" s="1"/>
  <c r="X18" i="16"/>
  <c r="Y18" i="16" s="1"/>
  <c r="X19" i="16"/>
  <c r="Y19" i="16" s="1"/>
  <c r="X20" i="16"/>
  <c r="Y20" i="16" s="1"/>
  <c r="W49" i="16"/>
  <c r="X56" i="16"/>
  <c r="Y56" i="16" s="1"/>
  <c r="W23" i="16"/>
  <c r="W26" i="16"/>
  <c r="AF17" i="15"/>
  <c r="AE54" i="15"/>
  <c r="AF54" i="15" s="1"/>
  <c r="AE19" i="15"/>
  <c r="AF19" i="15" s="1"/>
  <c r="AE25" i="15"/>
  <c r="AF25" i="15" s="1"/>
  <c r="AE31" i="15"/>
  <c r="AF31" i="15" s="1"/>
  <c r="AE43" i="15"/>
  <c r="AF43" i="15" s="1"/>
  <c r="AE49" i="15"/>
  <c r="AF49" i="15" s="1"/>
  <c r="AE60" i="15"/>
  <c r="AF60" i="15" s="1"/>
  <c r="AF20" i="15"/>
  <c r="AE26" i="15"/>
  <c r="AF26" i="15" s="1"/>
  <c r="AE32" i="15"/>
  <c r="AF32" i="15" s="1"/>
  <c r="AE38" i="15"/>
  <c r="AF38" i="15" s="1"/>
  <c r="AE44" i="15"/>
  <c r="AF44" i="15" s="1"/>
  <c r="AE50" i="15"/>
  <c r="AF50" i="15" s="1"/>
  <c r="AE61" i="15"/>
  <c r="AF61" i="15" s="1"/>
  <c r="AE18" i="15"/>
  <c r="AF18" i="15" s="1"/>
  <c r="AE24" i="15"/>
  <c r="AF24" i="15" s="1"/>
  <c r="AE30" i="15"/>
  <c r="AF30" i="15" s="1"/>
  <c r="AE36" i="15"/>
  <c r="AF36" i="15" s="1"/>
  <c r="AE42" i="15"/>
  <c r="AF42" i="15" s="1"/>
  <c r="AE48" i="15"/>
  <c r="AF48" i="15" s="1"/>
  <c r="AE59" i="15"/>
  <c r="AF59" i="15" s="1"/>
  <c r="AE55" i="15"/>
  <c r="AF55" i="15" s="1"/>
  <c r="AE23" i="15"/>
  <c r="AF23" i="15" s="1"/>
  <c r="AE35" i="15"/>
  <c r="AF35" i="15" s="1"/>
  <c r="AE41" i="15"/>
  <c r="AF41" i="15" s="1"/>
  <c r="AE47" i="15"/>
  <c r="AF47" i="15" s="1"/>
  <c r="AE53" i="15"/>
  <c r="AF53" i="15" s="1"/>
  <c r="AE62" i="15"/>
  <c r="AF62" i="15" s="1"/>
  <c r="AE56" i="15"/>
  <c r="AF56" i="15" s="1"/>
  <c r="W62" i="15"/>
  <c r="X26" i="15"/>
  <c r="Y26" i="15" s="1"/>
  <c r="X32" i="15"/>
  <c r="Y32" i="15" s="1"/>
  <c r="X38" i="15"/>
  <c r="Y38" i="15" s="1"/>
  <c r="X44" i="15"/>
  <c r="Y44" i="15" s="1"/>
  <c r="X53" i="15"/>
  <c r="Y53" i="15" s="1"/>
  <c r="X59" i="15"/>
  <c r="Y59" i="15" s="1"/>
  <c r="X23" i="15"/>
  <c r="Y23" i="15" s="1"/>
  <c r="X29" i="15"/>
  <c r="Y29" i="15" s="1"/>
  <c r="X35" i="15"/>
  <c r="Y35" i="15" s="1"/>
  <c r="X41" i="15"/>
  <c r="Y41" i="15" s="1"/>
  <c r="X47" i="15"/>
  <c r="Y47" i="15" s="1"/>
  <c r="X54" i="15"/>
  <c r="Y54" i="15" s="1"/>
  <c r="X60" i="15"/>
  <c r="Y60" i="15" s="1"/>
  <c r="X24" i="15"/>
  <c r="Y24" i="15" s="1"/>
  <c r="X30" i="15"/>
  <c r="Y30" i="15" s="1"/>
  <c r="X36" i="15"/>
  <c r="Y36" i="15" s="1"/>
  <c r="X42" i="15"/>
  <c r="Y42" i="15" s="1"/>
  <c r="X48" i="15"/>
  <c r="Y48" i="15" s="1"/>
  <c r="X55" i="15"/>
  <c r="Y55" i="15" s="1"/>
  <c r="X61" i="15"/>
  <c r="Y61" i="15" s="1"/>
  <c r="X25" i="15"/>
  <c r="Y25" i="15" s="1"/>
  <c r="X31" i="15"/>
  <c r="Y31" i="15" s="1"/>
  <c r="X37" i="15"/>
  <c r="Y37" i="15" s="1"/>
  <c r="X43" i="15"/>
  <c r="Y43" i="15" s="1"/>
  <c r="X50" i="15"/>
  <c r="Y50" i="15" s="1"/>
  <c r="X62" i="15"/>
  <c r="Y62" i="15" s="1"/>
  <c r="Y18" i="15"/>
  <c r="Y19" i="15"/>
  <c r="Y20" i="15"/>
  <c r="W49" i="15"/>
  <c r="X56" i="15"/>
  <c r="Y56" i="15" s="1"/>
  <c r="AO15" i="17"/>
  <c r="AS15" i="17" s="1"/>
  <c r="AT15" i="17" s="1"/>
  <c r="AV15" i="17" s="1"/>
  <c r="AO21" i="16"/>
  <c r="AO29" i="16"/>
  <c r="AO27" i="16"/>
  <c r="AS27" i="16" s="1"/>
  <c r="AT27" i="16" s="1"/>
  <c r="AT39" i="16"/>
  <c r="AT43" i="16"/>
  <c r="AT50" i="16"/>
  <c r="AS21" i="16"/>
  <c r="AT21" i="16" s="1"/>
  <c r="AX21" i="16"/>
  <c r="BB21" i="16" s="1"/>
  <c r="BC21" i="16" s="1"/>
  <c r="AS29" i="16"/>
  <c r="AX29" i="16"/>
  <c r="BB29" i="16" s="1"/>
  <c r="BC29" i="16" s="1"/>
  <c r="AX25" i="16"/>
  <c r="BB25" i="16" s="1"/>
  <c r="BC25" i="16" s="1"/>
  <c r="AO30" i="16"/>
  <c r="AT41" i="16"/>
  <c r="AT45" i="16"/>
  <c r="AV29" i="16"/>
  <c r="AT29" i="16"/>
  <c r="AU29" i="16" s="1"/>
  <c r="AT40" i="16"/>
  <c r="AT42" i="16"/>
  <c r="AT44" i="16"/>
  <c r="AT46" i="16"/>
  <c r="AL34" i="16"/>
  <c r="AO34" i="16" s="1"/>
  <c r="AL35" i="16"/>
  <c r="AO35" i="16" s="1"/>
  <c r="AL36" i="16"/>
  <c r="AO36" i="16" s="1"/>
  <c r="AL37" i="16"/>
  <c r="AL38" i="16"/>
  <c r="AL39" i="16"/>
  <c r="AO39" i="16" s="1"/>
  <c r="AL40" i="16"/>
  <c r="AL41" i="16"/>
  <c r="AL42" i="16"/>
  <c r="AO42" i="16" s="1"/>
  <c r="AL43" i="16"/>
  <c r="AO43" i="16" s="1"/>
  <c r="AL44" i="16"/>
  <c r="AO44" i="16" s="1"/>
  <c r="AL45" i="16"/>
  <c r="AO45" i="16" s="1"/>
  <c r="AU45" i="16" s="1"/>
  <c r="AL46" i="16"/>
  <c r="AO46" i="16" s="1"/>
  <c r="AL48" i="16"/>
  <c r="AO48" i="16" s="1"/>
  <c r="AT57" i="16"/>
  <c r="AL62" i="16"/>
  <c r="AO37" i="16"/>
  <c r="AO38" i="16"/>
  <c r="AO41" i="16"/>
  <c r="AU41" i="16" s="1"/>
  <c r="AT56" i="16"/>
  <c r="AT41" i="17"/>
  <c r="AL16" i="16"/>
  <c r="AO16" i="16" s="1"/>
  <c r="AL18" i="16"/>
  <c r="AO18" i="16" s="1"/>
  <c r="AL20" i="16"/>
  <c r="AO20" i="16" s="1"/>
  <c r="AL22" i="16"/>
  <c r="AO22" i="16" s="1"/>
  <c r="AL24" i="16"/>
  <c r="AO24" i="16" s="1"/>
  <c r="AL26" i="16"/>
  <c r="AO26" i="16" s="1"/>
  <c r="AL28" i="16"/>
  <c r="AO28" i="16" s="1"/>
  <c r="AO33" i="16"/>
  <c r="BA33" i="16"/>
  <c r="AT48" i="16"/>
  <c r="AT52" i="16"/>
  <c r="AT59" i="16"/>
  <c r="AO40" i="16"/>
  <c r="AL61" i="16"/>
  <c r="AO61" i="16" s="1"/>
  <c r="AL59" i="16"/>
  <c r="AO59" i="16" s="1"/>
  <c r="AV59" i="16" s="1"/>
  <c r="AL57" i="16"/>
  <c r="AO57" i="16" s="1"/>
  <c r="AL60" i="16"/>
  <c r="AO60" i="16" s="1"/>
  <c r="AL58" i="16"/>
  <c r="AO58" i="16" s="1"/>
  <c r="AL55" i="16"/>
  <c r="AL54" i="16"/>
  <c r="AO54" i="16" s="1"/>
  <c r="AU54" i="16" s="1"/>
  <c r="AL53" i="16"/>
  <c r="AO53" i="16" s="1"/>
  <c r="AL52" i="16"/>
  <c r="AO52" i="16" s="1"/>
  <c r="AL51" i="16"/>
  <c r="AL50" i="16"/>
  <c r="AO50" i="16" s="1"/>
  <c r="AL56" i="16"/>
  <c r="AO56" i="16" s="1"/>
  <c r="AL32" i="16"/>
  <c r="AO32" i="16" s="1"/>
  <c r="AL33" i="16"/>
  <c r="AO47" i="16"/>
  <c r="AV47" i="16" s="1"/>
  <c r="AT49" i="16"/>
  <c r="BA47" i="16"/>
  <c r="AO51" i="16"/>
  <c r="AO55" i="16"/>
  <c r="AU55" i="16" s="1"/>
  <c r="AT61" i="16"/>
  <c r="AO18" i="17"/>
  <c r="AO28" i="17"/>
  <c r="AI72" i="16"/>
  <c r="AX15" i="17"/>
  <c r="BB15" i="17" s="1"/>
  <c r="BC15" i="17" s="1"/>
  <c r="AO49" i="16"/>
  <c r="BA49" i="16"/>
  <c r="AT58" i="16"/>
  <c r="AO62" i="16"/>
  <c r="AU62" i="16" s="1"/>
  <c r="AP16" i="17"/>
  <c r="AU15" i="17"/>
  <c r="BA17" i="17"/>
  <c r="AL22" i="17"/>
  <c r="AO22" i="17" s="1"/>
  <c r="AP25" i="17"/>
  <c r="AL28" i="17"/>
  <c r="AL16" i="17"/>
  <c r="AO16" i="17" s="1"/>
  <c r="AL17" i="17"/>
  <c r="AO17" i="17" s="1"/>
  <c r="AL20" i="17"/>
  <c r="AO20" i="17" s="1"/>
  <c r="AL24" i="17"/>
  <c r="AO24" i="17" s="1"/>
  <c r="AL26" i="17"/>
  <c r="AO26" i="17" s="1"/>
  <c r="AP31" i="17"/>
  <c r="AL62" i="17"/>
  <c r="AO62" i="17" s="1"/>
  <c r="AU62" i="17" s="1"/>
  <c r="AL60" i="17"/>
  <c r="AO60" i="17" s="1"/>
  <c r="AL58" i="17"/>
  <c r="AO58" i="17" s="1"/>
  <c r="AV58" i="17" s="1"/>
  <c r="AL56" i="17"/>
  <c r="AO56" i="17" s="1"/>
  <c r="AL54" i="17"/>
  <c r="AO54" i="17" s="1"/>
  <c r="AL52" i="17"/>
  <c r="AO52" i="17" s="1"/>
  <c r="AL50" i="17"/>
  <c r="AO50" i="17" s="1"/>
  <c r="AV50" i="17" s="1"/>
  <c r="AL61" i="17"/>
  <c r="AL59" i="17"/>
  <c r="AO59" i="17" s="1"/>
  <c r="AL57" i="17"/>
  <c r="AO57" i="17" s="1"/>
  <c r="AL55" i="17"/>
  <c r="AL53" i="17"/>
  <c r="AO53" i="17" s="1"/>
  <c r="AL51" i="17"/>
  <c r="AO51" i="17" s="1"/>
  <c r="AV51" i="17" s="1"/>
  <c r="AL49" i="17"/>
  <c r="AO49" i="17" s="1"/>
  <c r="AL47" i="17"/>
  <c r="AL46" i="17"/>
  <c r="AL48" i="17"/>
  <c r="AL45" i="17"/>
  <c r="AL44" i="17"/>
  <c r="AO44" i="17" s="1"/>
  <c r="AU44" i="17" s="1"/>
  <c r="AL41" i="17"/>
  <c r="AL43" i="17"/>
  <c r="AO43" i="17" s="1"/>
  <c r="AL39" i="17"/>
  <c r="AO39" i="17" s="1"/>
  <c r="AL42" i="17"/>
  <c r="AO42" i="17" s="1"/>
  <c r="AL38" i="17"/>
  <c r="AL32" i="17"/>
  <c r="AO32" i="17" s="1"/>
  <c r="AL37" i="17"/>
  <c r="AO37" i="17" s="1"/>
  <c r="AL36" i="17"/>
  <c r="AO36" i="17" s="1"/>
  <c r="AL34" i="17"/>
  <c r="AL31" i="17"/>
  <c r="AO31" i="17" s="1"/>
  <c r="AL29" i="17"/>
  <c r="AO29" i="17" s="1"/>
  <c r="AL27" i="17"/>
  <c r="AL25" i="17"/>
  <c r="AO25" i="17" s="1"/>
  <c r="AL23" i="17"/>
  <c r="AO23" i="17" s="1"/>
  <c r="AL21" i="17"/>
  <c r="AO21" i="17" s="1"/>
  <c r="AL35" i="17"/>
  <c r="AO35" i="17" s="1"/>
  <c r="AL33" i="17"/>
  <c r="AO33" i="17" s="1"/>
  <c r="AO19" i="17"/>
  <c r="AP21" i="17"/>
  <c r="AO27" i="17"/>
  <c r="AP29" i="17"/>
  <c r="AO30" i="17"/>
  <c r="AO34" i="17"/>
  <c r="BA33" i="17"/>
  <c r="AP35" i="17"/>
  <c r="AO38" i="17"/>
  <c r="AR43" i="17"/>
  <c r="AT45" i="17"/>
  <c r="AO46" i="17"/>
  <c r="AV46" i="17" s="1"/>
  <c r="AO40" i="17"/>
  <c r="AU40" i="17" s="1"/>
  <c r="AT47" i="17"/>
  <c r="AO48" i="17"/>
  <c r="AU48" i="17" s="1"/>
  <c r="AO45" i="17"/>
  <c r="AV45" i="17" s="1"/>
  <c r="AT51" i="17"/>
  <c r="AT58" i="17"/>
  <c r="AU58" i="17"/>
  <c r="BA35" i="17"/>
  <c r="BA39" i="17"/>
  <c r="BA41" i="17"/>
  <c r="AT44" i="17"/>
  <c r="AU46" i="17"/>
  <c r="AT46" i="17"/>
  <c r="AT48" i="17"/>
  <c r="AT50" i="17"/>
  <c r="AT54" i="17"/>
  <c r="AO55" i="17"/>
  <c r="AO61" i="17"/>
  <c r="BA37" i="17"/>
  <c r="AO41" i="17"/>
  <c r="AV41" i="17" s="1"/>
  <c r="AT42" i="17"/>
  <c r="AO47" i="17"/>
  <c r="AU47" i="17" s="1"/>
  <c r="AR53" i="17"/>
  <c r="BA54" i="17"/>
  <c r="AP56" i="17"/>
  <c r="AR56" i="17" s="1"/>
  <c r="AR49" i="17"/>
  <c r="BA50" i="17"/>
  <c r="AP52" i="17"/>
  <c r="AR52" i="17" s="1"/>
  <c r="AR57" i="17"/>
  <c r="BA58" i="17"/>
  <c r="AT62" i="17"/>
  <c r="AV62" i="17"/>
  <c r="AP60" i="17"/>
  <c r="AR60" i="17" s="1"/>
  <c r="AR61" i="17"/>
  <c r="BA19" i="15"/>
  <c r="AT39" i="15"/>
  <c r="AT40" i="15"/>
  <c r="AO39" i="15"/>
  <c r="AV39" i="15" s="1"/>
  <c r="AP15" i="15"/>
  <c r="AU39" i="15"/>
  <c r="AT48" i="15"/>
  <c r="AT58" i="15"/>
  <c r="AL16" i="15"/>
  <c r="AO16" i="15" s="1"/>
  <c r="AL18" i="15"/>
  <c r="AO18" i="15" s="1"/>
  <c r="AL20" i="15"/>
  <c r="AO20" i="15" s="1"/>
  <c r="AL22" i="15"/>
  <c r="AO22" i="15" s="1"/>
  <c r="AL24" i="15"/>
  <c r="AO24" i="15" s="1"/>
  <c r="AL26" i="15"/>
  <c r="AO26" i="15" s="1"/>
  <c r="AL28" i="15"/>
  <c r="AO28" i="15" s="1"/>
  <c r="AL30" i="15"/>
  <c r="AO30" i="15" s="1"/>
  <c r="AL31" i="15"/>
  <c r="AO31" i="15" s="1"/>
  <c r="AL34" i="15"/>
  <c r="AO34" i="15" s="1"/>
  <c r="AL35" i="15"/>
  <c r="AO35" i="15" s="1"/>
  <c r="AL38" i="15"/>
  <c r="AO38" i="15" s="1"/>
  <c r="AT42" i="15"/>
  <c r="AT44" i="15"/>
  <c r="AL62" i="15"/>
  <c r="AO62" i="15" s="1"/>
  <c r="AU62" i="15" s="1"/>
  <c r="AL60" i="15"/>
  <c r="AL58" i="15"/>
  <c r="AO58" i="15" s="1"/>
  <c r="AU58" i="15" s="1"/>
  <c r="AL61" i="15"/>
  <c r="AO61" i="15" s="1"/>
  <c r="AL57" i="15"/>
  <c r="AO57" i="15" s="1"/>
  <c r="AL56" i="15"/>
  <c r="AO56" i="15" s="1"/>
  <c r="AL53" i="15"/>
  <c r="AL52" i="15"/>
  <c r="AO52" i="15" s="1"/>
  <c r="AL50" i="15"/>
  <c r="AO50" i="15" s="1"/>
  <c r="AL48" i="15"/>
  <c r="AO48" i="15" s="1"/>
  <c r="AL54" i="15"/>
  <c r="AO54" i="15" s="1"/>
  <c r="AL55" i="15"/>
  <c r="AO55" i="15" s="1"/>
  <c r="AL51" i="15"/>
  <c r="AL47" i="15"/>
  <c r="AO47" i="15" s="1"/>
  <c r="AL46" i="15"/>
  <c r="AO46" i="15" s="1"/>
  <c r="AL44" i="15"/>
  <c r="AO44" i="15" s="1"/>
  <c r="AL42" i="15"/>
  <c r="AO42" i="15" s="1"/>
  <c r="AL59" i="15"/>
  <c r="AO59" i="15" s="1"/>
  <c r="AT62" i="15"/>
  <c r="AL15" i="15"/>
  <c r="AO15" i="15" s="1"/>
  <c r="AL17" i="15"/>
  <c r="AO17" i="15" s="1"/>
  <c r="AL19" i="15"/>
  <c r="AO19" i="15" s="1"/>
  <c r="AL21" i="15"/>
  <c r="AO21" i="15" s="1"/>
  <c r="AL23" i="15"/>
  <c r="AO23" i="15" s="1"/>
  <c r="AL25" i="15"/>
  <c r="AO25" i="15" s="1"/>
  <c r="AL27" i="15"/>
  <c r="AO27" i="15" s="1"/>
  <c r="AL29" i="15"/>
  <c r="AO29" i="15" s="1"/>
  <c r="AL32" i="15"/>
  <c r="AO32" i="15" s="1"/>
  <c r="AL33" i="15"/>
  <c r="AO33" i="15" s="1"/>
  <c r="AL36" i="15"/>
  <c r="AO36" i="15" s="1"/>
  <c r="AL37" i="15"/>
  <c r="AO37" i="15" s="1"/>
  <c r="AL40" i="15"/>
  <c r="AO40" i="15" s="1"/>
  <c r="AL41" i="15"/>
  <c r="AO41" i="15" s="1"/>
  <c r="AL43" i="15"/>
  <c r="AO43" i="15" s="1"/>
  <c r="AR43" i="15"/>
  <c r="AL45" i="15"/>
  <c r="AO45" i="15" s="1"/>
  <c r="AR45" i="15"/>
  <c r="AL49" i="15"/>
  <c r="AO49" i="15" s="1"/>
  <c r="AO60" i="15"/>
  <c r="AU60" i="15" s="1"/>
  <c r="AR49" i="15"/>
  <c r="AO51" i="15"/>
  <c r="AR59" i="15"/>
  <c r="BA50" i="15"/>
  <c r="AR51" i="15"/>
  <c r="AR55" i="15"/>
  <c r="AR47" i="15"/>
  <c r="AP50" i="15"/>
  <c r="AR50" i="15" s="1"/>
  <c r="AP53" i="15"/>
  <c r="AR53" i="15" s="1"/>
  <c r="AO53" i="15"/>
  <c r="BA53" i="15"/>
  <c r="BA59" i="15"/>
  <c r="AT60" i="15"/>
  <c r="AR57" i="15"/>
  <c r="AR61" i="15"/>
  <c r="AI72" i="15"/>
  <c r="D63" i="10"/>
  <c r="D62" i="10"/>
  <c r="A49" i="10"/>
  <c r="A50" i="10" s="1"/>
  <c r="A51" i="10" s="1"/>
  <c r="A37" i="10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E37" i="10"/>
  <c r="F37" i="10" s="1"/>
  <c r="G37" i="10" s="1"/>
  <c r="H37" i="10" s="1"/>
  <c r="F36" i="10"/>
  <c r="G36" i="10" s="1"/>
  <c r="H36" i="10" s="1"/>
  <c r="AU15" i="18" l="1"/>
  <c r="AW44" i="18"/>
  <c r="AW46" i="18"/>
  <c r="AS47" i="18"/>
  <c r="AX47" i="18"/>
  <c r="BB47" i="18" s="1"/>
  <c r="BC47" i="18" s="1"/>
  <c r="AU47" i="18"/>
  <c r="AV47" i="18"/>
  <c r="AX49" i="18"/>
  <c r="BB49" i="18" s="1"/>
  <c r="BC49" i="18" s="1"/>
  <c r="AS49" i="18"/>
  <c r="AW18" i="18"/>
  <c r="AX40" i="18"/>
  <c r="BB40" i="18" s="1"/>
  <c r="BC40" i="18" s="1"/>
  <c r="AS40" i="18"/>
  <c r="AS20" i="18"/>
  <c r="AT20" i="18" s="1"/>
  <c r="AX20" i="18"/>
  <c r="BB20" i="18" s="1"/>
  <c r="BC20" i="18" s="1"/>
  <c r="AS16" i="18"/>
  <c r="AT16" i="18" s="1"/>
  <c r="AX16" i="18"/>
  <c r="BB16" i="18" s="1"/>
  <c r="BC16" i="18" s="1"/>
  <c r="AS21" i="18"/>
  <c r="AT21" i="18" s="1"/>
  <c r="AX21" i="18"/>
  <c r="BB21" i="18" s="1"/>
  <c r="BC21" i="18" s="1"/>
  <c r="AW41" i="18"/>
  <c r="AW15" i="18"/>
  <c r="AW54" i="18"/>
  <c r="AS48" i="18"/>
  <c r="AX48" i="18"/>
  <c r="BB48" i="18" s="1"/>
  <c r="BC48" i="18" s="1"/>
  <c r="AE31" i="18"/>
  <c r="AF31" i="18" s="1"/>
  <c r="X20" i="18"/>
  <c r="Y20" i="18" s="1"/>
  <c r="AS29" i="18"/>
  <c r="AT29" i="18" s="1"/>
  <c r="AX29" i="18"/>
  <c r="BB29" i="18" s="1"/>
  <c r="BC29" i="18" s="1"/>
  <c r="AX52" i="18"/>
  <c r="BB52" i="18" s="1"/>
  <c r="BC52" i="18" s="1"/>
  <c r="AS52" i="18"/>
  <c r="X36" i="18"/>
  <c r="Y36" i="18" s="1"/>
  <c r="Y48" i="18"/>
  <c r="X48" i="18"/>
  <c r="AF54" i="18"/>
  <c r="AE54" i="18"/>
  <c r="AF60" i="18"/>
  <c r="AE60" i="18"/>
  <c r="AW53" i="18"/>
  <c r="AW62" i="18"/>
  <c r="X54" i="18"/>
  <c r="Y54" i="18" s="1"/>
  <c r="AV40" i="18"/>
  <c r="AU40" i="18"/>
  <c r="AT40" i="18"/>
  <c r="AF30" i="18"/>
  <c r="AE30" i="18"/>
  <c r="AT39" i="18"/>
  <c r="AV39" i="18"/>
  <c r="AU39" i="18"/>
  <c r="AW42" i="18"/>
  <c r="AU41" i="18"/>
  <c r="AE20" i="18"/>
  <c r="AF20" i="18" s="1"/>
  <c r="AS32" i="18"/>
  <c r="AT32" i="18" s="1"/>
  <c r="AX32" i="18"/>
  <c r="BB32" i="18" s="1"/>
  <c r="BC32" i="18" s="1"/>
  <c r="AS59" i="18"/>
  <c r="AX59" i="18"/>
  <c r="BB59" i="18" s="1"/>
  <c r="BC59" i="18" s="1"/>
  <c r="X31" i="18"/>
  <c r="Y31" i="18" s="1"/>
  <c r="Y26" i="18"/>
  <c r="X26" i="18"/>
  <c r="Y61" i="18"/>
  <c r="X61" i="18"/>
  <c r="AF43" i="18"/>
  <c r="AE43" i="18"/>
  <c r="AE61" i="18"/>
  <c r="AF61" i="18" s="1"/>
  <c r="AX28" i="18"/>
  <c r="BB28" i="18" s="1"/>
  <c r="BC28" i="18" s="1"/>
  <c r="AS28" i="18"/>
  <c r="AT28" i="18" s="1"/>
  <c r="Y19" i="18"/>
  <c r="X19" i="18"/>
  <c r="Y53" i="18"/>
  <c r="X53" i="18"/>
  <c r="AE36" i="18"/>
  <c r="AF36" i="18" s="1"/>
  <c r="AF42" i="18"/>
  <c r="AE42" i="18"/>
  <c r="AW61" i="18"/>
  <c r="AF41" i="18"/>
  <c r="AE41" i="18"/>
  <c r="AX35" i="18"/>
  <c r="BB35" i="18" s="1"/>
  <c r="BC35" i="18" s="1"/>
  <c r="AS35" i="18"/>
  <c r="AT35" i="18" s="1"/>
  <c r="AS33" i="18"/>
  <c r="AT33" i="18" s="1"/>
  <c r="AX33" i="18"/>
  <c r="BB33" i="18" s="1"/>
  <c r="BC33" i="18" s="1"/>
  <c r="AX56" i="18"/>
  <c r="BB56" i="18" s="1"/>
  <c r="BC56" i="18" s="1"/>
  <c r="AS56" i="18"/>
  <c r="AS53" i="18"/>
  <c r="AX53" i="18"/>
  <c r="BB53" i="18" s="1"/>
  <c r="BC53" i="18" s="1"/>
  <c r="AE23" i="18"/>
  <c r="AF23" i="18"/>
  <c r="Y23" i="18"/>
  <c r="X23" i="18"/>
  <c r="Y49" i="18"/>
  <c r="X49" i="18"/>
  <c r="AF49" i="18"/>
  <c r="AE49" i="18"/>
  <c r="AV17" i="18"/>
  <c r="X55" i="18"/>
  <c r="Y55" i="18" s="1"/>
  <c r="AW50" i="18"/>
  <c r="AE59" i="18"/>
  <c r="AF59" i="18" s="1"/>
  <c r="AU48" i="18"/>
  <c r="AU52" i="18"/>
  <c r="AE37" i="18"/>
  <c r="AF37" i="18"/>
  <c r="X29" i="18"/>
  <c r="Y29" i="18" s="1"/>
  <c r="AS60" i="18"/>
  <c r="AX60" i="18"/>
  <c r="BB60" i="18" s="1"/>
  <c r="BC60" i="18" s="1"/>
  <c r="AV60" i="18"/>
  <c r="X32" i="18"/>
  <c r="Y32" i="18"/>
  <c r="AS45" i="18"/>
  <c r="AX45" i="18"/>
  <c r="BB45" i="18" s="1"/>
  <c r="BC45" i="18" s="1"/>
  <c r="AS34" i="18"/>
  <c r="AT34" i="18" s="1"/>
  <c r="AX34" i="18"/>
  <c r="BB34" i="18" s="1"/>
  <c r="BC34" i="18" s="1"/>
  <c r="AX57" i="18"/>
  <c r="BB57" i="18" s="1"/>
  <c r="BC57" i="18" s="1"/>
  <c r="AS57" i="18"/>
  <c r="AV19" i="18"/>
  <c r="X44" i="18"/>
  <c r="Y44" i="18" s="1"/>
  <c r="X56" i="18"/>
  <c r="Y56" i="18" s="1"/>
  <c r="AE55" i="18"/>
  <c r="AF55" i="18" s="1"/>
  <c r="AE18" i="18"/>
  <c r="AF18" i="18" s="1"/>
  <c r="AW51" i="18"/>
  <c r="AV48" i="18"/>
  <c r="AV52" i="18"/>
  <c r="AS43" i="18"/>
  <c r="AX43" i="18"/>
  <c r="BB43" i="18" s="1"/>
  <c r="BC43" i="18" s="1"/>
  <c r="AW59" i="18"/>
  <c r="AS39" i="18"/>
  <c r="AX39" i="18"/>
  <c r="BB39" i="18" s="1"/>
  <c r="BC39" i="18" s="1"/>
  <c r="AE47" i="18"/>
  <c r="AF47" i="18" s="1"/>
  <c r="AS37" i="18"/>
  <c r="AT37" i="18" s="1"/>
  <c r="AX37" i="18"/>
  <c r="BB37" i="18" s="1"/>
  <c r="BC37" i="18" s="1"/>
  <c r="X24" i="18"/>
  <c r="Y24" i="18" s="1"/>
  <c r="AS31" i="18"/>
  <c r="AT31" i="18" s="1"/>
  <c r="AX31" i="18"/>
  <c r="BB31" i="18" s="1"/>
  <c r="BC31" i="18" s="1"/>
  <c r="AX41" i="18"/>
  <c r="BB41" i="18" s="1"/>
  <c r="BC41" i="18" s="1"/>
  <c r="AS41" i="18"/>
  <c r="AS38" i="18"/>
  <c r="AT38" i="18" s="1"/>
  <c r="AX38" i="18"/>
  <c r="BB38" i="18" s="1"/>
  <c r="BC38" i="18" s="1"/>
  <c r="AX58" i="18"/>
  <c r="BB58" i="18" s="1"/>
  <c r="BC58" i="18" s="1"/>
  <c r="AS58" i="18"/>
  <c r="AS22" i="18"/>
  <c r="AT22" i="18" s="1"/>
  <c r="AX22" i="18"/>
  <c r="BB22" i="18" s="1"/>
  <c r="BC22" i="18" s="1"/>
  <c r="X41" i="18"/>
  <c r="Y41" i="18" s="1"/>
  <c r="Y62" i="18"/>
  <c r="X62" i="18"/>
  <c r="AE50" i="18"/>
  <c r="AF50" i="18" s="1"/>
  <c r="AS54" i="18"/>
  <c r="AX54" i="18"/>
  <c r="BB54" i="18" s="1"/>
  <c r="BC54" i="18" s="1"/>
  <c r="AV49" i="18"/>
  <c r="AU49" i="18"/>
  <c r="AT49" i="18"/>
  <c r="AW57" i="18"/>
  <c r="AX55" i="18"/>
  <c r="BB55" i="18" s="1"/>
  <c r="BC55" i="18" s="1"/>
  <c r="AS55" i="18"/>
  <c r="AS61" i="18"/>
  <c r="AX61" i="18"/>
  <c r="BB61" i="18" s="1"/>
  <c r="BC61" i="18" s="1"/>
  <c r="AE48" i="18"/>
  <c r="AF48" i="18" s="1"/>
  <c r="AV43" i="18"/>
  <c r="X38" i="18"/>
  <c r="Y38" i="18" s="1"/>
  <c r="AX25" i="18"/>
  <c r="BB25" i="18" s="1"/>
  <c r="BC25" i="18" s="1"/>
  <c r="AS25" i="18"/>
  <c r="AT25" i="18" s="1"/>
  <c r="AX62" i="18"/>
  <c r="BB62" i="18" s="1"/>
  <c r="BC62" i="18" s="1"/>
  <c r="AS62" i="18"/>
  <c r="AE26" i="18"/>
  <c r="AF26" i="18" s="1"/>
  <c r="X43" i="18"/>
  <c r="Y43" i="18" s="1"/>
  <c r="X60" i="18"/>
  <c r="Y60" i="18" s="1"/>
  <c r="X59" i="18"/>
  <c r="Y59" i="18" s="1"/>
  <c r="AE53" i="18"/>
  <c r="AF53" i="18"/>
  <c r="AW58" i="18"/>
  <c r="X50" i="18"/>
  <c r="Y50" i="18" s="1"/>
  <c r="AF35" i="18"/>
  <c r="AE35" i="18"/>
  <c r="AV55" i="18"/>
  <c r="AU55" i="18"/>
  <c r="AT55" i="18"/>
  <c r="AE44" i="18"/>
  <c r="AF44" i="18" s="1"/>
  <c r="AF56" i="18"/>
  <c r="AE56" i="18"/>
  <c r="AW56" i="18"/>
  <c r="AW45" i="18"/>
  <c r="AU43" i="18"/>
  <c r="X42" i="18"/>
  <c r="Y42" i="18"/>
  <c r="AX30" i="18"/>
  <c r="BB30" i="18" s="1"/>
  <c r="BC30" i="18" s="1"/>
  <c r="AS30" i="18"/>
  <c r="AT30" i="18" s="1"/>
  <c r="AX26" i="18"/>
  <c r="BB26" i="18" s="1"/>
  <c r="BC26" i="18" s="1"/>
  <c r="AS26" i="18"/>
  <c r="AT26" i="18" s="1"/>
  <c r="AX36" i="18"/>
  <c r="BB36" i="18" s="1"/>
  <c r="BC36" i="18" s="1"/>
  <c r="AS36" i="18"/>
  <c r="AT36" i="18" s="1"/>
  <c r="AS42" i="18"/>
  <c r="AX42" i="18"/>
  <c r="BB42" i="18" s="1"/>
  <c r="BC42" i="18" s="1"/>
  <c r="AX50" i="18"/>
  <c r="BB50" i="18" s="1"/>
  <c r="BC50" i="18" s="1"/>
  <c r="AS50" i="18"/>
  <c r="X30" i="18"/>
  <c r="Y30" i="18"/>
  <c r="X25" i="18"/>
  <c r="Y25" i="18" s="1"/>
  <c r="X37" i="18"/>
  <c r="Y37" i="18" s="1"/>
  <c r="AE29" i="18"/>
  <c r="AF29" i="18" s="1"/>
  <c r="AE38" i="18"/>
  <c r="AF38" i="18" s="1"/>
  <c r="AE62" i="18"/>
  <c r="AF62" i="18" s="1"/>
  <c r="AU54" i="18"/>
  <c r="AF24" i="18"/>
  <c r="AE24" i="18"/>
  <c r="AS24" i="18"/>
  <c r="AT24" i="18" s="1"/>
  <c r="AX24" i="18"/>
  <c r="BB24" i="18" s="1"/>
  <c r="BC24" i="18" s="1"/>
  <c r="AX27" i="18"/>
  <c r="BB27" i="18" s="1"/>
  <c r="BC27" i="18" s="1"/>
  <c r="AS27" i="18"/>
  <c r="AT27" i="18" s="1"/>
  <c r="AS23" i="18"/>
  <c r="AT23" i="18" s="1"/>
  <c r="AX23" i="18"/>
  <c r="BB23" i="18" s="1"/>
  <c r="BC23" i="18" s="1"/>
  <c r="AS44" i="18"/>
  <c r="AX44" i="18"/>
  <c r="BB44" i="18" s="1"/>
  <c r="BC44" i="18" s="1"/>
  <c r="AS46" i="18"/>
  <c r="AX46" i="18"/>
  <c r="BB46" i="18" s="1"/>
  <c r="BC46" i="18" s="1"/>
  <c r="AX51" i="18"/>
  <c r="BB51" i="18" s="1"/>
  <c r="BC51" i="18" s="1"/>
  <c r="AS51" i="18"/>
  <c r="X35" i="18"/>
  <c r="Y35" i="18" s="1"/>
  <c r="X47" i="18"/>
  <c r="Y47" i="18" s="1"/>
  <c r="AE25" i="18"/>
  <c r="AF25" i="18" s="1"/>
  <c r="AX19" i="16"/>
  <c r="BB19" i="16" s="1"/>
  <c r="BC19" i="16" s="1"/>
  <c r="AS19" i="16"/>
  <c r="AT19" i="16" s="1"/>
  <c r="AS17" i="16"/>
  <c r="AT17" i="16" s="1"/>
  <c r="AU17" i="16" s="1"/>
  <c r="AX17" i="16"/>
  <c r="BB17" i="16" s="1"/>
  <c r="BC17" i="16" s="1"/>
  <c r="AS31" i="16"/>
  <c r="AT31" i="16" s="1"/>
  <c r="AV31" i="16" s="1"/>
  <c r="AX31" i="16"/>
  <c r="BB31" i="16" s="1"/>
  <c r="BC31" i="16" s="1"/>
  <c r="AU54" i="15"/>
  <c r="AV54" i="15"/>
  <c r="AS23" i="16"/>
  <c r="AT23" i="16" s="1"/>
  <c r="AX23" i="16"/>
  <c r="BB23" i="16" s="1"/>
  <c r="BC23" i="16" s="1"/>
  <c r="AX15" i="16"/>
  <c r="BB15" i="16" s="1"/>
  <c r="BC15" i="16" s="1"/>
  <c r="AV62" i="15"/>
  <c r="AU50" i="17"/>
  <c r="AU52" i="15"/>
  <c r="X43" i="17"/>
  <c r="Y43" i="17" s="1"/>
  <c r="X44" i="17"/>
  <c r="Y44" i="17" s="1"/>
  <c r="X18" i="17"/>
  <c r="Y18" i="17" s="1"/>
  <c r="X24" i="17"/>
  <c r="Y24" i="17" s="1"/>
  <c r="X61" i="17"/>
  <c r="Y61" i="17" s="1"/>
  <c r="X23" i="17"/>
  <c r="Y23" i="17"/>
  <c r="X17" i="17"/>
  <c r="Y17" i="17" s="1"/>
  <c r="X55" i="17"/>
  <c r="Y55" i="17" s="1"/>
  <c r="X48" i="17"/>
  <c r="Y48" i="17" s="1"/>
  <c r="X20" i="17"/>
  <c r="Y20" i="17" s="1"/>
  <c r="X62" i="17"/>
  <c r="Y62" i="17" s="1"/>
  <c r="X32" i="17"/>
  <c r="Y32" i="17" s="1"/>
  <c r="X47" i="17"/>
  <c r="Y47" i="17" s="1"/>
  <c r="Y19" i="17"/>
  <c r="X49" i="17"/>
  <c r="Y49" i="17" s="1"/>
  <c r="X31" i="17"/>
  <c r="Y31" i="17" s="1"/>
  <c r="X49" i="16"/>
  <c r="Y49" i="16"/>
  <c r="X23" i="16"/>
  <c r="Y23" i="16" s="1"/>
  <c r="X26" i="16"/>
  <c r="Y26" i="16" s="1"/>
  <c r="X49" i="15"/>
  <c r="Y49" i="15" s="1"/>
  <c r="AV40" i="17"/>
  <c r="AV21" i="16"/>
  <c r="AU21" i="16"/>
  <c r="AX27" i="16"/>
  <c r="BB27" i="16" s="1"/>
  <c r="BC27" i="16" s="1"/>
  <c r="AU31" i="16"/>
  <c r="AS24" i="17"/>
  <c r="AT24" i="17" s="1"/>
  <c r="AX24" i="17"/>
  <c r="BB24" i="17" s="1"/>
  <c r="BC24" i="17" s="1"/>
  <c r="AX21" i="17"/>
  <c r="BB21" i="17" s="1"/>
  <c r="BC21" i="17" s="1"/>
  <c r="AS21" i="17"/>
  <c r="AT21" i="17" s="1"/>
  <c r="AX29" i="17"/>
  <c r="BB29" i="17" s="1"/>
  <c r="BC29" i="17" s="1"/>
  <c r="AS29" i="17"/>
  <c r="AT29" i="17" s="1"/>
  <c r="AS37" i="17"/>
  <c r="AT37" i="17" s="1"/>
  <c r="AX37" i="17"/>
  <c r="AS39" i="17"/>
  <c r="AX39" i="17"/>
  <c r="AU39" i="17"/>
  <c r="AV39" i="17"/>
  <c r="AX57" i="17"/>
  <c r="BB57" i="17" s="1"/>
  <c r="BC57" i="17" s="1"/>
  <c r="AS57" i="17"/>
  <c r="AX20" i="17"/>
  <c r="BB20" i="17" s="1"/>
  <c r="BC20" i="17" s="1"/>
  <c r="AS20" i="17"/>
  <c r="AT20" i="17" s="1"/>
  <c r="AX32" i="16"/>
  <c r="BB32" i="16" s="1"/>
  <c r="BC32" i="16" s="1"/>
  <c r="AS32" i="16"/>
  <c r="AT32" i="16" s="1"/>
  <c r="AS52" i="16"/>
  <c r="AX52" i="16"/>
  <c r="BB52" i="16" s="1"/>
  <c r="BC52" i="16" s="1"/>
  <c r="AV52" i="16"/>
  <c r="AU52" i="16"/>
  <c r="AS58" i="16"/>
  <c r="AX58" i="16"/>
  <c r="BB58" i="16" s="1"/>
  <c r="BC58" i="16" s="1"/>
  <c r="AV58" i="16"/>
  <c r="AU58" i="16"/>
  <c r="AX61" i="16"/>
  <c r="BB61" i="16" s="1"/>
  <c r="BC61" i="16" s="1"/>
  <c r="AS61" i="16"/>
  <c r="AV61" i="16"/>
  <c r="AU61" i="16"/>
  <c r="AX24" i="16"/>
  <c r="BB24" i="16" s="1"/>
  <c r="BC24" i="16" s="1"/>
  <c r="AS24" i="16"/>
  <c r="AT24" i="16" s="1"/>
  <c r="AX16" i="16"/>
  <c r="BB16" i="16" s="1"/>
  <c r="BC16" i="16" s="1"/>
  <c r="AS16" i="16"/>
  <c r="AT16" i="16" s="1"/>
  <c r="AS36" i="16"/>
  <c r="AT36" i="16" s="1"/>
  <c r="AX36" i="16"/>
  <c r="BB36" i="16" s="1"/>
  <c r="BC36" i="16" s="1"/>
  <c r="AW31" i="16"/>
  <c r="AS42" i="17"/>
  <c r="AX42" i="17"/>
  <c r="BB42" i="17" s="1"/>
  <c r="BC42" i="17" s="1"/>
  <c r="AU42" i="17"/>
  <c r="AV42" i="17"/>
  <c r="AW59" i="16"/>
  <c r="AS46" i="16"/>
  <c r="AX46" i="16"/>
  <c r="BB46" i="16" s="1"/>
  <c r="BC46" i="16" s="1"/>
  <c r="AV46" i="16"/>
  <c r="AU46" i="16"/>
  <c r="AS44" i="16"/>
  <c r="AX44" i="16"/>
  <c r="BB44" i="16" s="1"/>
  <c r="BC44" i="16" s="1"/>
  <c r="AV44" i="16"/>
  <c r="AU44" i="16"/>
  <c r="AS42" i="16"/>
  <c r="AX42" i="16"/>
  <c r="BB42" i="16" s="1"/>
  <c r="BC42" i="16" s="1"/>
  <c r="AU42" i="16"/>
  <c r="AV42" i="16"/>
  <c r="AU27" i="16"/>
  <c r="AV27" i="16"/>
  <c r="AU25" i="16"/>
  <c r="AV25" i="16"/>
  <c r="AS43" i="17"/>
  <c r="AX43" i="17"/>
  <c r="BB43" i="17" s="1"/>
  <c r="BC43" i="17" s="1"/>
  <c r="AS17" i="17"/>
  <c r="AT17" i="17" s="1"/>
  <c r="AX17" i="17"/>
  <c r="AS56" i="16"/>
  <c r="AX56" i="16"/>
  <c r="BB56" i="16" s="1"/>
  <c r="BC56" i="16" s="1"/>
  <c r="AV56" i="16"/>
  <c r="AU56" i="16"/>
  <c r="AS53" i="16"/>
  <c r="AX53" i="16"/>
  <c r="BB53" i="16" s="1"/>
  <c r="BC53" i="16" s="1"/>
  <c r="AV53" i="16"/>
  <c r="AU53" i="16"/>
  <c r="AS60" i="16"/>
  <c r="AX60" i="16"/>
  <c r="BB60" i="16" s="1"/>
  <c r="BC60" i="16" s="1"/>
  <c r="AV60" i="16"/>
  <c r="AU60" i="16"/>
  <c r="AS43" i="16"/>
  <c r="AX43" i="16"/>
  <c r="BB43" i="16" s="1"/>
  <c r="BC43" i="16" s="1"/>
  <c r="AV43" i="16"/>
  <c r="AU43" i="16"/>
  <c r="AV19" i="16"/>
  <c r="AU19" i="16"/>
  <c r="AW45" i="17"/>
  <c r="AW51" i="17"/>
  <c r="AS26" i="17"/>
  <c r="AT26" i="17" s="1"/>
  <c r="AX26" i="17"/>
  <c r="BB26" i="17" s="1"/>
  <c r="BC26" i="17" s="1"/>
  <c r="AX50" i="16"/>
  <c r="BB50" i="16" s="1"/>
  <c r="BC50" i="16" s="1"/>
  <c r="AS50" i="16"/>
  <c r="AU50" i="16"/>
  <c r="AV50" i="16"/>
  <c r="AX28" i="16"/>
  <c r="BB28" i="16" s="1"/>
  <c r="BC28" i="16" s="1"/>
  <c r="AS28" i="16"/>
  <c r="AT28" i="16" s="1"/>
  <c r="AX20" i="16"/>
  <c r="BB20" i="16" s="1"/>
  <c r="BC20" i="16" s="1"/>
  <c r="AS20" i="16"/>
  <c r="AT20" i="16" s="1"/>
  <c r="AX48" i="16"/>
  <c r="BB48" i="16" s="1"/>
  <c r="BC48" i="16" s="1"/>
  <c r="AS48" i="16"/>
  <c r="AU48" i="16"/>
  <c r="AV48" i="16"/>
  <c r="AS39" i="16"/>
  <c r="AX39" i="16"/>
  <c r="BB39" i="16" s="1"/>
  <c r="BC39" i="16" s="1"/>
  <c r="AU39" i="16"/>
  <c r="AV39" i="16"/>
  <c r="AS35" i="16"/>
  <c r="AT35" i="16" s="1"/>
  <c r="AX35" i="16"/>
  <c r="BB35" i="16" s="1"/>
  <c r="BC35" i="16" s="1"/>
  <c r="AV23" i="16"/>
  <c r="AU23" i="16"/>
  <c r="AV61" i="17"/>
  <c r="AU61" i="17"/>
  <c r="AT61" i="17"/>
  <c r="BB37" i="17"/>
  <c r="BC37" i="17" s="1"/>
  <c r="AU51" i="17"/>
  <c r="AU45" i="17"/>
  <c r="AX38" i="17"/>
  <c r="BB38" i="17" s="1"/>
  <c r="BC38" i="17" s="1"/>
  <c r="AS38" i="17"/>
  <c r="AT38" i="17" s="1"/>
  <c r="AX49" i="17"/>
  <c r="BB49" i="17" s="1"/>
  <c r="BC49" i="17" s="1"/>
  <c r="AS49" i="17"/>
  <c r="AX60" i="17"/>
  <c r="BB60" i="17" s="1"/>
  <c r="BC60" i="17" s="1"/>
  <c r="AS60" i="17"/>
  <c r="AX31" i="17"/>
  <c r="BB31" i="17" s="1"/>
  <c r="BC31" i="17" s="1"/>
  <c r="AS31" i="17"/>
  <c r="AT31" i="17" s="1"/>
  <c r="AX57" i="16"/>
  <c r="BB57" i="16" s="1"/>
  <c r="BC57" i="16" s="1"/>
  <c r="AS57" i="16"/>
  <c r="AV57" i="16"/>
  <c r="AS51" i="16"/>
  <c r="AX51" i="16"/>
  <c r="BB51" i="16" s="1"/>
  <c r="BC51" i="16" s="1"/>
  <c r="AW41" i="17"/>
  <c r="AS38" i="16"/>
  <c r="AT38" i="16" s="1"/>
  <c r="AX38" i="16"/>
  <c r="BB38" i="16" s="1"/>
  <c r="BC38" i="16" s="1"/>
  <c r="AU57" i="16"/>
  <c r="AW29" i="16"/>
  <c r="AV45" i="16"/>
  <c r="AS59" i="17"/>
  <c r="AX59" i="17"/>
  <c r="BB59" i="17" s="1"/>
  <c r="BC59" i="17" s="1"/>
  <c r="AS35" i="17"/>
  <c r="AT35" i="17" s="1"/>
  <c r="AX35" i="17"/>
  <c r="AW46" i="17"/>
  <c r="AX34" i="17"/>
  <c r="BB34" i="17" s="1"/>
  <c r="BC34" i="17" s="1"/>
  <c r="AS34" i="17"/>
  <c r="AT34" i="17" s="1"/>
  <c r="AX27" i="17"/>
  <c r="BB27" i="17" s="1"/>
  <c r="BC27" i="17" s="1"/>
  <c r="AS27" i="17"/>
  <c r="AT27" i="17" s="1"/>
  <c r="AS22" i="17"/>
  <c r="AT22" i="17" s="1"/>
  <c r="AX22" i="17"/>
  <c r="BB22" i="17" s="1"/>
  <c r="BC22" i="17" s="1"/>
  <c r="AS54" i="16"/>
  <c r="AX54" i="16"/>
  <c r="BB54" i="16" s="1"/>
  <c r="BC54" i="16" s="1"/>
  <c r="AX47" i="16"/>
  <c r="BB47" i="16" s="1"/>
  <c r="BC47" i="16" s="1"/>
  <c r="AS47" i="16"/>
  <c r="AS40" i="16"/>
  <c r="AX40" i="16"/>
  <c r="BB40" i="16" s="1"/>
  <c r="BC40" i="16" s="1"/>
  <c r="AS33" i="16"/>
  <c r="AT33" i="16" s="1"/>
  <c r="AX33" i="16"/>
  <c r="AS37" i="16"/>
  <c r="AT37" i="16" s="1"/>
  <c r="AX37" i="16"/>
  <c r="BB37" i="16" s="1"/>
  <c r="BC37" i="16" s="1"/>
  <c r="AV40" i="16"/>
  <c r="AW21" i="16"/>
  <c r="AV17" i="16"/>
  <c r="AV15" i="16"/>
  <c r="AX30" i="16"/>
  <c r="BB30" i="16" s="1"/>
  <c r="BC30" i="16" s="1"/>
  <c r="AS30" i="16"/>
  <c r="AT30" i="16" s="1"/>
  <c r="AX18" i="16"/>
  <c r="BB18" i="16" s="1"/>
  <c r="BC18" i="16" s="1"/>
  <c r="AS18" i="16"/>
  <c r="AT18" i="16" s="1"/>
  <c r="AW62" i="17"/>
  <c r="AS51" i="17"/>
  <c r="AX51" i="17"/>
  <c r="BB51" i="17" s="1"/>
  <c r="BC51" i="17" s="1"/>
  <c r="AW58" i="17"/>
  <c r="AX48" i="17"/>
  <c r="BB48" i="17" s="1"/>
  <c r="BC48" i="17" s="1"/>
  <c r="AS48" i="17"/>
  <c r="AS19" i="17"/>
  <c r="AT19" i="17" s="1"/>
  <c r="AX19" i="17"/>
  <c r="BB19" i="17" s="1"/>
  <c r="BC19" i="17" s="1"/>
  <c r="AX52" i="17"/>
  <c r="BB52" i="17" s="1"/>
  <c r="BC52" i="17" s="1"/>
  <c r="AS52" i="17"/>
  <c r="AS49" i="16"/>
  <c r="AX49" i="16"/>
  <c r="AV49" i="16"/>
  <c r="AX25" i="17"/>
  <c r="BB25" i="17" s="1"/>
  <c r="BC25" i="17" s="1"/>
  <c r="AS25" i="17"/>
  <c r="AT25" i="17" s="1"/>
  <c r="AS55" i="16"/>
  <c r="AX55" i="16"/>
  <c r="BB55" i="16" s="1"/>
  <c r="BC55" i="16" s="1"/>
  <c r="AW47" i="16"/>
  <c r="AX59" i="16"/>
  <c r="BB59" i="16" s="1"/>
  <c r="BC59" i="16" s="1"/>
  <c r="AS59" i="16"/>
  <c r="AT52" i="17"/>
  <c r="AV52" i="17"/>
  <c r="AU52" i="17"/>
  <c r="AS55" i="17"/>
  <c r="AX55" i="17"/>
  <c r="BB55" i="17" s="1"/>
  <c r="BC55" i="17" s="1"/>
  <c r="AW40" i="17"/>
  <c r="AX54" i="17"/>
  <c r="AS54" i="17"/>
  <c r="BB17" i="17"/>
  <c r="BC17" i="17" s="1"/>
  <c r="AX16" i="17"/>
  <c r="BB16" i="17" s="1"/>
  <c r="BC16" i="17" s="1"/>
  <c r="AS16" i="17"/>
  <c r="AT16" i="17" s="1"/>
  <c r="AU55" i="17"/>
  <c r="AT56" i="17"/>
  <c r="AV56" i="17"/>
  <c r="AU56" i="17"/>
  <c r="AS41" i="17"/>
  <c r="AX41" i="17"/>
  <c r="BB41" i="17" s="1"/>
  <c r="BC41" i="17" s="1"/>
  <c r="AU59" i="17"/>
  <c r="AU54" i="17"/>
  <c r="AS33" i="17"/>
  <c r="AT33" i="17" s="1"/>
  <c r="AX33" i="17"/>
  <c r="BB33" i="17" s="1"/>
  <c r="BC33" i="17" s="1"/>
  <c r="AS53" i="17"/>
  <c r="AX53" i="17"/>
  <c r="BB53" i="17" s="1"/>
  <c r="BC53" i="17" s="1"/>
  <c r="AX56" i="17"/>
  <c r="BB56" i="17" s="1"/>
  <c r="BC56" i="17" s="1"/>
  <c r="AS56" i="17"/>
  <c r="AX18" i="17"/>
  <c r="BB18" i="17" s="1"/>
  <c r="BC18" i="17" s="1"/>
  <c r="AS18" i="17"/>
  <c r="AT18" i="17" s="1"/>
  <c r="AU49" i="16"/>
  <c r="AV51" i="16"/>
  <c r="AV57" i="17"/>
  <c r="AU57" i="17"/>
  <c r="AT57" i="17"/>
  <c r="AV53" i="17"/>
  <c r="AU53" i="17"/>
  <c r="AT53" i="17"/>
  <c r="BB35" i="17"/>
  <c r="BC35" i="17" s="1"/>
  <c r="AS45" i="17"/>
  <c r="AX45" i="17"/>
  <c r="BB45" i="17" s="1"/>
  <c r="BC45" i="17" s="1"/>
  <c r="AS30" i="17"/>
  <c r="AT30" i="17" s="1"/>
  <c r="AX30" i="17"/>
  <c r="BB30" i="17" s="1"/>
  <c r="BC30" i="17" s="1"/>
  <c r="AX23" i="17"/>
  <c r="BB23" i="17" s="1"/>
  <c r="BC23" i="17" s="1"/>
  <c r="AS23" i="17"/>
  <c r="AT23" i="17" s="1"/>
  <c r="AX32" i="17"/>
  <c r="BB32" i="17" s="1"/>
  <c r="BC32" i="17" s="1"/>
  <c r="AS32" i="17"/>
  <c r="AT32" i="17" s="1"/>
  <c r="AS62" i="16"/>
  <c r="AX62" i="16"/>
  <c r="BB62" i="16" s="1"/>
  <c r="BC62" i="16" s="1"/>
  <c r="AS28" i="17"/>
  <c r="AT28" i="17" s="1"/>
  <c r="AX28" i="17"/>
  <c r="BB28" i="17" s="1"/>
  <c r="BC28" i="17" s="1"/>
  <c r="AW15" i="17"/>
  <c r="AS45" i="16"/>
  <c r="AX45" i="16"/>
  <c r="BB45" i="16" s="1"/>
  <c r="BC45" i="16" s="1"/>
  <c r="AS34" i="16"/>
  <c r="AT34" i="16" s="1"/>
  <c r="AX34" i="16"/>
  <c r="BB34" i="16" s="1"/>
  <c r="BC34" i="16" s="1"/>
  <c r="AX26" i="16"/>
  <c r="BB26" i="16" s="1"/>
  <c r="BC26" i="16" s="1"/>
  <c r="AS26" i="16"/>
  <c r="AT26" i="16" s="1"/>
  <c r="AX22" i="16"/>
  <c r="BB22" i="16" s="1"/>
  <c r="BC22" i="16" s="1"/>
  <c r="AS22" i="16"/>
  <c r="AT22" i="16" s="1"/>
  <c r="AT60" i="17"/>
  <c r="AV60" i="17"/>
  <c r="AU60" i="17"/>
  <c r="AS47" i="17"/>
  <c r="AX47" i="17"/>
  <c r="BB47" i="17" s="1"/>
  <c r="BC47" i="17" s="1"/>
  <c r="BB39" i="17"/>
  <c r="BC39" i="17" s="1"/>
  <c r="AX62" i="17"/>
  <c r="BB62" i="17" s="1"/>
  <c r="BC62" i="17" s="1"/>
  <c r="AS62" i="17"/>
  <c r="AV49" i="17"/>
  <c r="AU49" i="17"/>
  <c r="AT49" i="17"/>
  <c r="AV55" i="17"/>
  <c r="BB54" i="17"/>
  <c r="BC54" i="17" s="1"/>
  <c r="AX61" i="17"/>
  <c r="BB61" i="17" s="1"/>
  <c r="BC61" i="17" s="1"/>
  <c r="AS61" i="17"/>
  <c r="AV59" i="17"/>
  <c r="AV54" i="17"/>
  <c r="AW50" i="17"/>
  <c r="AV48" i="17"/>
  <c r="AV47" i="17"/>
  <c r="AX40" i="17"/>
  <c r="BB40" i="17" s="1"/>
  <c r="BC40" i="17" s="1"/>
  <c r="AS40" i="17"/>
  <c r="AX46" i="17"/>
  <c r="BB46" i="17" s="1"/>
  <c r="BC46" i="17" s="1"/>
  <c r="AS46" i="17"/>
  <c r="AT43" i="17"/>
  <c r="AV43" i="17"/>
  <c r="AU43" i="17"/>
  <c r="AX36" i="17"/>
  <c r="BB36" i="17" s="1"/>
  <c r="BC36" i="17" s="1"/>
  <c r="AS36" i="17"/>
  <c r="AT36" i="17" s="1"/>
  <c r="AS44" i="17"/>
  <c r="AX44" i="17"/>
  <c r="BB44" i="17" s="1"/>
  <c r="BC44" i="17" s="1"/>
  <c r="AV44" i="17"/>
  <c r="AX50" i="17"/>
  <c r="BB50" i="17" s="1"/>
  <c r="BC50" i="17" s="1"/>
  <c r="AS50" i="17"/>
  <c r="AX58" i="17"/>
  <c r="BB58" i="17" s="1"/>
  <c r="BC58" i="17" s="1"/>
  <c r="AS58" i="17"/>
  <c r="AV62" i="16"/>
  <c r="BB49" i="16"/>
  <c r="BC49" i="16" s="1"/>
  <c r="AU47" i="16"/>
  <c r="AU59" i="16"/>
  <c r="AV54" i="16"/>
  <c r="BB33" i="16"/>
  <c r="BC33" i="16" s="1"/>
  <c r="AU41" i="17"/>
  <c r="AS41" i="16"/>
  <c r="AX41" i="16"/>
  <c r="BB41" i="16" s="1"/>
  <c r="BC41" i="16" s="1"/>
  <c r="AV55" i="16"/>
  <c r="AU51" i="16"/>
  <c r="AU40" i="16"/>
  <c r="AV41" i="16"/>
  <c r="AS41" i="15"/>
  <c r="AX41" i="15"/>
  <c r="BB41" i="15" s="1"/>
  <c r="BC41" i="15" s="1"/>
  <c r="AV41" i="15"/>
  <c r="AU41" i="15"/>
  <c r="AS33" i="15"/>
  <c r="AT33" i="15" s="1"/>
  <c r="AX33" i="15"/>
  <c r="BB33" i="15" s="1"/>
  <c r="BC33" i="15" s="1"/>
  <c r="AX25" i="15"/>
  <c r="BB25" i="15" s="1"/>
  <c r="BC25" i="15" s="1"/>
  <c r="AS25" i="15"/>
  <c r="AT25" i="15" s="1"/>
  <c r="AX17" i="15"/>
  <c r="BB17" i="15" s="1"/>
  <c r="BC17" i="15" s="1"/>
  <c r="AS17" i="15"/>
  <c r="AT17" i="15" s="1"/>
  <c r="AX42" i="15"/>
  <c r="BB42" i="15" s="1"/>
  <c r="BC42" i="15" s="1"/>
  <c r="AS42" i="15"/>
  <c r="AV42" i="15"/>
  <c r="AU42" i="15"/>
  <c r="AS35" i="15"/>
  <c r="AT35" i="15" s="1"/>
  <c r="AX35" i="15"/>
  <c r="BB35" i="15" s="1"/>
  <c r="BC35" i="15" s="1"/>
  <c r="AX20" i="15"/>
  <c r="BB20" i="15" s="1"/>
  <c r="BC20" i="15" s="1"/>
  <c r="AS20" i="15"/>
  <c r="AT20" i="15" s="1"/>
  <c r="AT50" i="15"/>
  <c r="AU50" i="15"/>
  <c r="AV50" i="15"/>
  <c r="AS45" i="15"/>
  <c r="AX45" i="15"/>
  <c r="BB45" i="15" s="1"/>
  <c r="BC45" i="15" s="1"/>
  <c r="AS40" i="15"/>
  <c r="AX40" i="15"/>
  <c r="BB40" i="15" s="1"/>
  <c r="BC40" i="15" s="1"/>
  <c r="AU40" i="15"/>
  <c r="AV40" i="15"/>
  <c r="AX32" i="15"/>
  <c r="BB32" i="15" s="1"/>
  <c r="BC32" i="15" s="1"/>
  <c r="AS32" i="15"/>
  <c r="AT32" i="15" s="1"/>
  <c r="AX23" i="15"/>
  <c r="BB23" i="15" s="1"/>
  <c r="BC23" i="15" s="1"/>
  <c r="AS23" i="15"/>
  <c r="AT23" i="15" s="1"/>
  <c r="AX15" i="15"/>
  <c r="BB15" i="15" s="1"/>
  <c r="BC15" i="15" s="1"/>
  <c r="AS15" i="15"/>
  <c r="AT15" i="15" s="1"/>
  <c r="AX44" i="15"/>
  <c r="BB44" i="15" s="1"/>
  <c r="BC44" i="15" s="1"/>
  <c r="AS44" i="15"/>
  <c r="AV44" i="15"/>
  <c r="AU44" i="15"/>
  <c r="AX34" i="15"/>
  <c r="BB34" i="15" s="1"/>
  <c r="BC34" i="15" s="1"/>
  <c r="AS34" i="15"/>
  <c r="AT34" i="15" s="1"/>
  <c r="AX18" i="15"/>
  <c r="BB18" i="15" s="1"/>
  <c r="BC18" i="15" s="1"/>
  <c r="AS18" i="15"/>
  <c r="AT18" i="15" s="1"/>
  <c r="AS37" i="15"/>
  <c r="AT37" i="15" s="1"/>
  <c r="AX37" i="15"/>
  <c r="BB37" i="15" s="1"/>
  <c r="BC37" i="15" s="1"/>
  <c r="AX29" i="15"/>
  <c r="BB29" i="15" s="1"/>
  <c r="BC29" i="15" s="1"/>
  <c r="AS29" i="15"/>
  <c r="AT29" i="15" s="1"/>
  <c r="AX21" i="15"/>
  <c r="BB21" i="15" s="1"/>
  <c r="BC21" i="15" s="1"/>
  <c r="AS21" i="15"/>
  <c r="AT21" i="15" s="1"/>
  <c r="AX46" i="15"/>
  <c r="BB46" i="15" s="1"/>
  <c r="BC46" i="15" s="1"/>
  <c r="AS46" i="15"/>
  <c r="AV46" i="15"/>
  <c r="AU46" i="15"/>
  <c r="AS31" i="15"/>
  <c r="AT31" i="15" s="1"/>
  <c r="AX31" i="15"/>
  <c r="BB31" i="15" s="1"/>
  <c r="BC31" i="15" s="1"/>
  <c r="AX16" i="15"/>
  <c r="BB16" i="15" s="1"/>
  <c r="BC16" i="15" s="1"/>
  <c r="AS16" i="15"/>
  <c r="AT16" i="15" s="1"/>
  <c r="AS49" i="15"/>
  <c r="AX49" i="15"/>
  <c r="BB49" i="15" s="1"/>
  <c r="BC49" i="15" s="1"/>
  <c r="AS43" i="15"/>
  <c r="AX43" i="15"/>
  <c r="BB43" i="15" s="1"/>
  <c r="BC43" i="15" s="1"/>
  <c r="AX36" i="15"/>
  <c r="BB36" i="15" s="1"/>
  <c r="BC36" i="15" s="1"/>
  <c r="AS36" i="15"/>
  <c r="AT36" i="15" s="1"/>
  <c r="AX27" i="15"/>
  <c r="BB27" i="15" s="1"/>
  <c r="BC27" i="15" s="1"/>
  <c r="AS27" i="15"/>
  <c r="AT27" i="15" s="1"/>
  <c r="AX19" i="15"/>
  <c r="AS19" i="15"/>
  <c r="AT19" i="15" s="1"/>
  <c r="AS59" i="15"/>
  <c r="AX59" i="15"/>
  <c r="AX48" i="15"/>
  <c r="BB48" i="15" s="1"/>
  <c r="BC48" i="15" s="1"/>
  <c r="AS48" i="15"/>
  <c r="AU48" i="15"/>
  <c r="AV48" i="15"/>
  <c r="AX56" i="15"/>
  <c r="BB56" i="15" s="1"/>
  <c r="BC56" i="15" s="1"/>
  <c r="AS56" i="15"/>
  <c r="AU56" i="15"/>
  <c r="AV56" i="15"/>
  <c r="AW39" i="15"/>
  <c r="AW54" i="15"/>
  <c r="AT55" i="15"/>
  <c r="AU55" i="15"/>
  <c r="AV55" i="15"/>
  <c r="AX50" i="15"/>
  <c r="AS50" i="15"/>
  <c r="AS55" i="15"/>
  <c r="AX55" i="15"/>
  <c r="BB55" i="15" s="1"/>
  <c r="BC55" i="15" s="1"/>
  <c r="AX54" i="15"/>
  <c r="BB54" i="15" s="1"/>
  <c r="BC54" i="15" s="1"/>
  <c r="AS54" i="15"/>
  <c r="AX62" i="15"/>
  <c r="BB62" i="15" s="1"/>
  <c r="BC62" i="15" s="1"/>
  <c r="AS62" i="15"/>
  <c r="AX28" i="15"/>
  <c r="BB28" i="15" s="1"/>
  <c r="BC28" i="15" s="1"/>
  <c r="AS28" i="15"/>
  <c r="AT28" i="15" s="1"/>
  <c r="BB19" i="15"/>
  <c r="BC19" i="15" s="1"/>
  <c r="AS61" i="15"/>
  <c r="AX61" i="15"/>
  <c r="BB61" i="15" s="1"/>
  <c r="BC61" i="15" s="1"/>
  <c r="BB59" i="15"/>
  <c r="BC59" i="15" s="1"/>
  <c r="AV47" i="15"/>
  <c r="AU47" i="15"/>
  <c r="AT47" i="15"/>
  <c r="AX60" i="15"/>
  <c r="BB60" i="15" s="1"/>
  <c r="BC60" i="15" s="1"/>
  <c r="AS60" i="15"/>
  <c r="AV60" i="15"/>
  <c r="AV43" i="15"/>
  <c r="AU43" i="15"/>
  <c r="AT43" i="15"/>
  <c r="AW62" i="15"/>
  <c r="AX52" i="15"/>
  <c r="BB52" i="15" s="1"/>
  <c r="BC52" i="15" s="1"/>
  <c r="AS52" i="15"/>
  <c r="AX47" i="15"/>
  <c r="BB47" i="15" s="1"/>
  <c r="BC47" i="15" s="1"/>
  <c r="AS47" i="15"/>
  <c r="AX26" i="15"/>
  <c r="BB26" i="15" s="1"/>
  <c r="BC26" i="15" s="1"/>
  <c r="AS26" i="15"/>
  <c r="AT26" i="15" s="1"/>
  <c r="AV61" i="15"/>
  <c r="AU61" i="15"/>
  <c r="AT61" i="15"/>
  <c r="AV53" i="15"/>
  <c r="AU53" i="15"/>
  <c r="AT53" i="15"/>
  <c r="AT51" i="15"/>
  <c r="AU51" i="15"/>
  <c r="AV51" i="15"/>
  <c r="AV59" i="15"/>
  <c r="AU59" i="15"/>
  <c r="AT59" i="15"/>
  <c r="AS51" i="15"/>
  <c r="AX51" i="15"/>
  <c r="BB51" i="15" s="1"/>
  <c r="BC51" i="15" s="1"/>
  <c r="AV52" i="15"/>
  <c r="AX58" i="15"/>
  <c r="BB58" i="15" s="1"/>
  <c r="BC58" i="15" s="1"/>
  <c r="AS58" i="15"/>
  <c r="AX24" i="15"/>
  <c r="BB24" i="15" s="1"/>
  <c r="BC24" i="15" s="1"/>
  <c r="AS24" i="15"/>
  <c r="AT24" i="15" s="1"/>
  <c r="AS39" i="15"/>
  <c r="AX39" i="15"/>
  <c r="BB39" i="15" s="1"/>
  <c r="BC39" i="15" s="1"/>
  <c r="AV57" i="15"/>
  <c r="AU57" i="15"/>
  <c r="AT57" i="15"/>
  <c r="AS57" i="15"/>
  <c r="AX57" i="15"/>
  <c r="BB57" i="15" s="1"/>
  <c r="BC57" i="15" s="1"/>
  <c r="AS53" i="15"/>
  <c r="AX53" i="15"/>
  <c r="BB53" i="15" s="1"/>
  <c r="BC53" i="15" s="1"/>
  <c r="BB50" i="15"/>
  <c r="BC50" i="15" s="1"/>
  <c r="AV49" i="15"/>
  <c r="AU49" i="15"/>
  <c r="AT49" i="15"/>
  <c r="AV45" i="15"/>
  <c r="AU45" i="15"/>
  <c r="AT45" i="15"/>
  <c r="AX38" i="15"/>
  <c r="BB38" i="15" s="1"/>
  <c r="BC38" i="15" s="1"/>
  <c r="AS38" i="15"/>
  <c r="AT38" i="15" s="1"/>
  <c r="AS30" i="15"/>
  <c r="AT30" i="15" s="1"/>
  <c r="AX30" i="15"/>
  <c r="BB30" i="15" s="1"/>
  <c r="BC30" i="15" s="1"/>
  <c r="AX22" i="15"/>
  <c r="BB22" i="15" s="1"/>
  <c r="BC22" i="15" s="1"/>
  <c r="AS22" i="15"/>
  <c r="AT22" i="15" s="1"/>
  <c r="AV58" i="15"/>
  <c r="E38" i="10"/>
  <c r="AW43" i="18" l="1"/>
  <c r="AW55" i="18"/>
  <c r="AV35" i="18"/>
  <c r="AU35" i="18"/>
  <c r="AU20" i="18"/>
  <c r="AV20" i="18"/>
  <c r="AV26" i="18"/>
  <c r="AU26" i="18"/>
  <c r="AW47" i="18"/>
  <c r="AU24" i="18"/>
  <c r="AV24" i="18"/>
  <c r="AU30" i="18"/>
  <c r="AV30" i="18"/>
  <c r="AW19" i="18"/>
  <c r="AW17" i="18"/>
  <c r="AU33" i="18"/>
  <c r="AV33" i="18"/>
  <c r="AW49" i="18"/>
  <c r="AV38" i="18"/>
  <c r="AU38" i="18"/>
  <c r="AU37" i="18"/>
  <c r="AV37" i="18"/>
  <c r="AW60" i="18"/>
  <c r="AW40" i="18"/>
  <c r="AU25" i="18"/>
  <c r="AV25" i="18"/>
  <c r="AW52" i="18"/>
  <c r="AW39" i="18"/>
  <c r="AV21" i="18"/>
  <c r="AU21" i="18"/>
  <c r="AU23" i="18"/>
  <c r="AV23" i="18"/>
  <c r="AU34" i="18"/>
  <c r="AV34" i="18"/>
  <c r="AV32" i="18"/>
  <c r="AU32" i="18"/>
  <c r="AV29" i="18"/>
  <c r="AU29" i="18"/>
  <c r="AU36" i="18"/>
  <c r="AV36" i="18"/>
  <c r="AW48" i="18"/>
  <c r="AV27" i="18"/>
  <c r="AU27" i="18"/>
  <c r="AV22" i="18"/>
  <c r="AU22" i="18"/>
  <c r="AV31" i="18"/>
  <c r="AU31" i="18"/>
  <c r="AV28" i="18"/>
  <c r="AU28" i="18"/>
  <c r="AV16" i="18"/>
  <c r="AU16" i="18"/>
  <c r="AU33" i="17"/>
  <c r="AV33" i="17"/>
  <c r="AW52" i="17"/>
  <c r="AV19" i="17"/>
  <c r="AU19" i="17"/>
  <c r="AV37" i="16"/>
  <c r="AU37" i="16"/>
  <c r="AU38" i="17"/>
  <c r="AV38" i="17"/>
  <c r="AW39" i="16"/>
  <c r="AW48" i="16"/>
  <c r="AW50" i="16"/>
  <c r="AV20" i="17"/>
  <c r="AU20" i="17"/>
  <c r="AV21" i="17"/>
  <c r="AU21" i="17"/>
  <c r="AW41" i="16"/>
  <c r="AW54" i="16"/>
  <c r="AW62" i="16"/>
  <c r="AV36" i="17"/>
  <c r="AU36" i="17"/>
  <c r="AU22" i="16"/>
  <c r="AV22" i="16"/>
  <c r="AV23" i="17"/>
  <c r="AU23" i="17"/>
  <c r="AW57" i="17"/>
  <c r="AV18" i="17"/>
  <c r="AU18" i="17"/>
  <c r="AV34" i="17"/>
  <c r="AU34" i="17"/>
  <c r="AW45" i="16"/>
  <c r="AW23" i="16"/>
  <c r="AV26" i="17"/>
  <c r="AU26" i="17"/>
  <c r="AW43" i="16"/>
  <c r="AW60" i="16"/>
  <c r="AW53" i="16"/>
  <c r="AW56" i="16"/>
  <c r="AU17" i="17"/>
  <c r="AV17" i="17"/>
  <c r="AW44" i="16"/>
  <c r="AW46" i="16"/>
  <c r="AV36" i="16"/>
  <c r="AU36" i="16"/>
  <c r="AV37" i="17"/>
  <c r="AU37" i="17"/>
  <c r="AW43" i="17"/>
  <c r="AW59" i="17"/>
  <c r="AU28" i="17"/>
  <c r="AV28" i="17"/>
  <c r="AV30" i="17"/>
  <c r="AU30" i="17"/>
  <c r="AU25" i="17"/>
  <c r="AV25" i="17"/>
  <c r="AW25" i="16"/>
  <c r="AV24" i="16"/>
  <c r="AU24" i="16"/>
  <c r="AW44" i="17"/>
  <c r="AW47" i="17"/>
  <c r="AV34" i="16"/>
  <c r="AU34" i="16"/>
  <c r="AW53" i="17"/>
  <c r="AW51" i="16"/>
  <c r="AW56" i="17"/>
  <c r="AV16" i="17"/>
  <c r="AU16" i="17"/>
  <c r="AW49" i="16"/>
  <c r="AU18" i="16"/>
  <c r="AV18" i="16"/>
  <c r="AW15" i="16"/>
  <c r="AW40" i="16"/>
  <c r="AU33" i="16"/>
  <c r="AV33" i="16"/>
  <c r="AV22" i="17"/>
  <c r="AU22" i="17"/>
  <c r="AU35" i="17"/>
  <c r="AV35" i="17"/>
  <c r="AV38" i="16"/>
  <c r="AU38" i="16"/>
  <c r="AV31" i="17"/>
  <c r="AU31" i="17"/>
  <c r="AU28" i="16"/>
  <c r="AV28" i="16"/>
  <c r="AW27" i="16"/>
  <c r="AW42" i="17"/>
  <c r="AV16" i="16"/>
  <c r="AU16" i="16"/>
  <c r="AV32" i="16"/>
  <c r="AU32" i="16"/>
  <c r="AV29" i="17"/>
  <c r="AU29" i="17"/>
  <c r="AW55" i="16"/>
  <c r="AW48" i="17"/>
  <c r="AW55" i="17"/>
  <c r="AU30" i="16"/>
  <c r="AV30" i="16"/>
  <c r="AV20" i="16"/>
  <c r="AU20" i="16"/>
  <c r="AW42" i="16"/>
  <c r="AW39" i="17"/>
  <c r="AW54" i="17"/>
  <c r="AW49" i="17"/>
  <c r="AW60" i="17"/>
  <c r="AU26" i="16"/>
  <c r="AV26" i="16"/>
  <c r="AV32" i="17"/>
  <c r="AU32" i="17"/>
  <c r="AW17" i="16"/>
  <c r="AV27" i="17"/>
  <c r="AU27" i="17"/>
  <c r="AW57" i="16"/>
  <c r="AW61" i="17"/>
  <c r="AV35" i="16"/>
  <c r="AU35" i="16"/>
  <c r="AW19" i="16"/>
  <c r="AW61" i="16"/>
  <c r="AW58" i="16"/>
  <c r="AW52" i="16"/>
  <c r="AU24" i="17"/>
  <c r="AV24" i="17"/>
  <c r="AW57" i="15"/>
  <c r="AW59" i="15"/>
  <c r="AU28" i="15"/>
  <c r="AV28" i="15"/>
  <c r="AU31" i="15"/>
  <c r="AV31" i="15"/>
  <c r="AW44" i="15"/>
  <c r="AV25" i="15"/>
  <c r="AU25" i="15"/>
  <c r="AW58" i="15"/>
  <c r="AW49" i="15"/>
  <c r="AV22" i="15"/>
  <c r="AU22" i="15"/>
  <c r="AV38" i="15"/>
  <c r="AU38" i="15"/>
  <c r="AW45" i="15"/>
  <c r="AW51" i="15"/>
  <c r="AW43" i="15"/>
  <c r="AW56" i="15"/>
  <c r="AW48" i="15"/>
  <c r="AV27" i="15"/>
  <c r="AU27" i="15"/>
  <c r="AV16" i="15"/>
  <c r="AU16" i="15"/>
  <c r="AV21" i="15"/>
  <c r="AU21" i="15"/>
  <c r="AV34" i="15"/>
  <c r="AU34" i="15"/>
  <c r="AV23" i="15"/>
  <c r="AU23" i="15"/>
  <c r="AW40" i="15"/>
  <c r="AU35" i="15"/>
  <c r="AV35" i="15"/>
  <c r="AW41" i="15"/>
  <c r="AW53" i="15"/>
  <c r="AW61" i="15"/>
  <c r="AW60" i="15"/>
  <c r="AW55" i="15"/>
  <c r="AW46" i="15"/>
  <c r="AV37" i="15"/>
  <c r="AU37" i="15"/>
  <c r="AU20" i="15"/>
  <c r="AV20" i="15"/>
  <c r="AU17" i="15"/>
  <c r="AV17" i="15"/>
  <c r="AU30" i="15"/>
  <c r="AV30" i="15"/>
  <c r="AU24" i="15"/>
  <c r="AV24" i="15"/>
  <c r="AW52" i="15"/>
  <c r="AV26" i="15"/>
  <c r="AU26" i="15"/>
  <c r="AW47" i="15"/>
  <c r="AV19" i="15"/>
  <c r="AU19" i="15"/>
  <c r="AV36" i="15"/>
  <c r="AU36" i="15"/>
  <c r="AV29" i="15"/>
  <c r="AU29" i="15"/>
  <c r="AV18" i="15"/>
  <c r="AU18" i="15"/>
  <c r="AU15" i="15"/>
  <c r="AV15" i="15"/>
  <c r="AV32" i="15"/>
  <c r="AU32" i="15"/>
  <c r="AW50" i="15"/>
  <c r="AW42" i="15"/>
  <c r="AV33" i="15"/>
  <c r="AU33" i="15"/>
  <c r="E39" i="10"/>
  <c r="F38" i="10"/>
  <c r="G38" i="10" s="1"/>
  <c r="H38" i="10" s="1"/>
  <c r="AW28" i="18" l="1"/>
  <c r="AW27" i="18"/>
  <c r="AW21" i="18"/>
  <c r="AW33" i="18"/>
  <c r="AW35" i="18"/>
  <c r="AW34" i="18"/>
  <c r="AW37" i="18"/>
  <c r="AW31" i="18"/>
  <c r="AW30" i="18"/>
  <c r="AW26" i="18"/>
  <c r="AW36" i="18"/>
  <c r="AW29" i="18"/>
  <c r="AW23" i="18"/>
  <c r="AW20" i="18"/>
  <c r="AW22" i="18"/>
  <c r="AW38" i="18"/>
  <c r="AW24" i="18"/>
  <c r="AW16" i="18"/>
  <c r="AW32" i="18"/>
  <c r="AW25" i="18"/>
  <c r="AW22" i="17"/>
  <c r="AW16" i="17"/>
  <c r="AW17" i="17"/>
  <c r="AW35" i="16"/>
  <c r="AW26" i="16"/>
  <c r="AW30" i="16"/>
  <c r="AW28" i="16"/>
  <c r="AW35" i="17"/>
  <c r="AW33" i="16"/>
  <c r="AW25" i="17"/>
  <c r="AW28" i="17"/>
  <c r="AW34" i="17"/>
  <c r="AW18" i="17"/>
  <c r="AW23" i="17"/>
  <c r="AW36" i="17"/>
  <c r="AW21" i="17"/>
  <c r="AW19" i="17"/>
  <c r="AW32" i="17"/>
  <c r="AW20" i="16"/>
  <c r="AW29" i="17"/>
  <c r="AW34" i="16"/>
  <c r="AW30" i="17"/>
  <c r="AW22" i="16"/>
  <c r="AW32" i="16"/>
  <c r="AW38" i="16"/>
  <c r="AW24" i="16"/>
  <c r="AW36" i="16"/>
  <c r="AW38" i="17"/>
  <c r="AW33" i="17"/>
  <c r="AW27" i="17"/>
  <c r="AW16" i="16"/>
  <c r="AW31" i="17"/>
  <c r="AW37" i="17"/>
  <c r="AW24" i="17"/>
  <c r="AW18" i="16"/>
  <c r="AW26" i="17"/>
  <c r="AW20" i="17"/>
  <c r="AW37" i="16"/>
  <c r="AW15" i="15"/>
  <c r="AW30" i="15"/>
  <c r="AW20" i="15"/>
  <c r="AW35" i="15"/>
  <c r="AW31" i="15"/>
  <c r="AW33" i="15"/>
  <c r="AW29" i="15"/>
  <c r="AW19" i="15"/>
  <c r="AW23" i="15"/>
  <c r="AW21" i="15"/>
  <c r="AW27" i="15"/>
  <c r="AW38" i="15"/>
  <c r="AW25" i="15"/>
  <c r="AW24" i="15"/>
  <c r="AW17" i="15"/>
  <c r="AW28" i="15"/>
  <c r="AW32" i="15"/>
  <c r="AW18" i="15"/>
  <c r="AW36" i="15"/>
  <c r="AW26" i="15"/>
  <c r="AW37" i="15"/>
  <c r="AW34" i="15"/>
  <c r="AW16" i="15"/>
  <c r="AW22" i="15"/>
  <c r="E40" i="10"/>
  <c r="F39" i="10"/>
  <c r="G39" i="10" s="1"/>
  <c r="H39" i="10" s="1"/>
  <c r="E41" i="10" l="1"/>
  <c r="F40" i="10"/>
  <c r="G40" i="10" s="1"/>
  <c r="H40" i="10" s="1"/>
  <c r="E42" i="10" l="1"/>
  <c r="F41" i="10"/>
  <c r="G41" i="10" s="1"/>
  <c r="H41" i="10" s="1"/>
  <c r="E43" i="10" l="1"/>
  <c r="F43" i="10" s="1"/>
  <c r="F42" i="10"/>
  <c r="E44" i="10" l="1"/>
  <c r="F44" i="10" l="1"/>
  <c r="E45" i="10"/>
  <c r="F45" i="10" s="1"/>
  <c r="E46" i="10" l="1"/>
  <c r="F46" i="10" l="1"/>
  <c r="E47" i="10"/>
  <c r="E48" i="10" l="1"/>
  <c r="F47" i="10"/>
  <c r="F48" i="10" l="1"/>
  <c r="G48" i="10" s="1"/>
  <c r="E49" i="10"/>
  <c r="E50" i="10" l="1"/>
  <c r="F49" i="10"/>
  <c r="G49" i="10" s="1"/>
  <c r="F50" i="10" l="1"/>
  <c r="G50" i="10" s="1"/>
  <c r="E51" i="10"/>
  <c r="F51" i="10" s="1"/>
  <c r="G51" i="10" s="1"/>
  <c r="F71" i="10" l="1"/>
  <c r="M29" i="10" l="1"/>
  <c r="M28" i="10"/>
  <c r="L28" i="10"/>
  <c r="L29" i="10"/>
  <c r="M27" i="10"/>
  <c r="L27" i="10"/>
  <c r="M26" i="10"/>
  <c r="L26" i="10"/>
  <c r="E61" i="10" l="1"/>
  <c r="E60" i="10"/>
  <c r="D61" i="10"/>
  <c r="D60" i="10"/>
  <c r="C103" i="10"/>
  <c r="C89" i="10"/>
  <c r="G89" i="10" s="1"/>
  <c r="H89" i="10" s="1"/>
  <c r="I89" i="10" s="1"/>
  <c r="D103" i="10" l="1"/>
  <c r="D104" i="10" s="1"/>
  <c r="D105" i="10" s="1"/>
  <c r="I103" i="10"/>
  <c r="I104" i="10" s="1"/>
  <c r="I105" i="10" s="1"/>
  <c r="E103" i="10"/>
  <c r="E104" i="10" s="1"/>
  <c r="E105" i="10" s="1"/>
  <c r="H103" i="10"/>
  <c r="H104" i="10" s="1"/>
  <c r="H105" i="10" s="1"/>
  <c r="F103" i="10"/>
  <c r="F104" i="10" s="1"/>
  <c r="F105" i="10" s="1"/>
  <c r="G103" i="10"/>
  <c r="G104" i="10" s="1"/>
  <c r="G105" i="10" s="1"/>
  <c r="J29" i="6"/>
  <c r="J28" i="6"/>
  <c r="J27" i="6"/>
  <c r="J26" i="6"/>
  <c r="J25" i="6"/>
  <c r="J24" i="6"/>
  <c r="J22" i="6"/>
  <c r="J20" i="6"/>
  <c r="J16" i="6"/>
  <c r="J14" i="6"/>
  <c r="J12" i="6"/>
  <c r="J11" i="6"/>
  <c r="L8" i="10"/>
  <c r="V65" i="6"/>
  <c r="V64" i="6"/>
  <c r="V63" i="6"/>
  <c r="V62" i="6"/>
  <c r="V2" i="6"/>
  <c r="S76" i="6"/>
  <c r="D106" i="10" l="1"/>
  <c r="C86" i="10"/>
  <c r="G86" i="10" s="1"/>
  <c r="H86" i="10" s="1"/>
  <c r="I86" i="10" s="1"/>
  <c r="H51" i="10"/>
  <c r="I51" i="10" s="1"/>
  <c r="I36" i="10"/>
  <c r="I40" i="10"/>
  <c r="G47" i="10"/>
  <c r="G46" i="10"/>
  <c r="H49" i="10"/>
  <c r="I39" i="10"/>
  <c r="I37" i="10"/>
  <c r="G45" i="10"/>
  <c r="H50" i="10"/>
  <c r="I41" i="10"/>
  <c r="I38" i="10"/>
  <c r="H48" i="10"/>
  <c r="G44" i="10"/>
  <c r="G43" i="10"/>
  <c r="G42" i="10"/>
  <c r="BF26" i="22" l="1"/>
  <c r="BG26" i="22" s="1"/>
  <c r="BF20" i="21"/>
  <c r="BG20" i="21" s="1"/>
  <c r="BF32" i="22"/>
  <c r="BG32" i="22" s="1"/>
  <c r="BF26" i="21"/>
  <c r="BG26" i="21" s="1"/>
  <c r="BF38" i="22"/>
  <c r="BG38" i="22" s="1"/>
  <c r="BF38" i="21"/>
  <c r="BG38" i="21" s="1"/>
  <c r="BF32" i="21"/>
  <c r="BG32" i="21" s="1"/>
  <c r="BF20" i="22"/>
  <c r="BG20" i="22" s="1"/>
  <c r="L36" i="10"/>
  <c r="L37" i="10" s="1"/>
  <c r="L38" i="10" s="1"/>
  <c r="L39" i="10" s="1"/>
  <c r="BF59" i="21"/>
  <c r="BG59" i="21" s="1"/>
  <c r="BF41" i="22"/>
  <c r="BG41" i="22" s="1"/>
  <c r="BF53" i="21"/>
  <c r="BG53" i="21" s="1"/>
  <c r="BF53" i="22"/>
  <c r="BG53" i="22" s="1"/>
  <c r="BF47" i="21"/>
  <c r="BG47" i="21" s="1"/>
  <c r="BF47" i="22"/>
  <c r="BG47" i="22" s="1"/>
  <c r="BF41" i="21"/>
  <c r="BG41" i="21" s="1"/>
  <c r="BF59" i="22"/>
  <c r="BG59" i="22" s="1"/>
  <c r="H47" i="10"/>
  <c r="I47" i="10" s="1"/>
  <c r="I48" i="10"/>
  <c r="H45" i="10"/>
  <c r="I45" i="10" s="1"/>
  <c r="I50" i="10"/>
  <c r="BF31" i="16" s="1"/>
  <c r="BG31" i="16" s="1"/>
  <c r="H42" i="10"/>
  <c r="I42" i="10" s="1"/>
  <c r="H46" i="10"/>
  <c r="I46" i="10" s="1"/>
  <c r="H43" i="10"/>
  <c r="I43" i="10" s="1"/>
  <c r="H44" i="10"/>
  <c r="I44" i="10" s="1"/>
  <c r="I49" i="10"/>
  <c r="BF36" i="16" s="1"/>
  <c r="BG36" i="16" s="1"/>
  <c r="L51" i="10"/>
  <c r="BF53" i="18"/>
  <c r="BG53" i="18" s="1"/>
  <c r="BF47" i="18"/>
  <c r="BG47" i="18" s="1"/>
  <c r="BF41" i="18"/>
  <c r="BG41" i="18" s="1"/>
  <c r="BF59" i="18"/>
  <c r="BG59" i="18" s="1"/>
  <c r="BF23" i="18"/>
  <c r="BG23" i="18" s="1"/>
  <c r="BF17" i="18"/>
  <c r="BG17" i="18" s="1"/>
  <c r="BF26" i="18"/>
  <c r="BG26" i="18" s="1"/>
  <c r="BF38" i="18"/>
  <c r="BG38" i="18" s="1"/>
  <c r="BF20" i="18"/>
  <c r="BG20" i="18" s="1"/>
  <c r="BF32" i="18"/>
  <c r="BG32" i="18" s="1"/>
  <c r="BF53" i="17"/>
  <c r="BG53" i="17" s="1"/>
  <c r="BF41" i="17"/>
  <c r="BG41" i="17" s="1"/>
  <c r="BF47" i="17"/>
  <c r="BG47" i="17" s="1"/>
  <c r="BF47" i="16"/>
  <c r="BG47" i="16" s="1"/>
  <c r="BF41" i="16"/>
  <c r="BG41" i="16" s="1"/>
  <c r="BF59" i="17"/>
  <c r="BG59" i="17" s="1"/>
  <c r="BF53" i="16"/>
  <c r="BG53" i="16" s="1"/>
  <c r="BF59" i="15"/>
  <c r="BG59" i="15" s="1"/>
  <c r="BF53" i="15"/>
  <c r="BG53" i="15" s="1"/>
  <c r="BF47" i="15"/>
  <c r="BG47" i="15" s="1"/>
  <c r="BF41" i="15"/>
  <c r="BG41" i="15" s="1"/>
  <c r="BF59" i="16"/>
  <c r="BG59" i="16" s="1"/>
  <c r="BF23" i="17"/>
  <c r="BG23" i="17" s="1"/>
  <c r="BF35" i="17"/>
  <c r="BG35" i="17" s="1"/>
  <c r="BF35" i="16"/>
  <c r="BG35" i="16" s="1"/>
  <c r="BF29" i="16"/>
  <c r="BG29" i="16" s="1"/>
  <c r="BF23" i="16"/>
  <c r="BG23" i="16" s="1"/>
  <c r="BF29" i="17"/>
  <c r="BG29" i="17" s="1"/>
  <c r="BF17" i="17"/>
  <c r="BG17" i="17" s="1"/>
  <c r="BF29" i="15"/>
  <c r="BG29" i="15" s="1"/>
  <c r="BF35" i="15"/>
  <c r="BG35" i="15" s="1"/>
  <c r="BF17" i="15"/>
  <c r="BG17" i="15" s="1"/>
  <c r="BF17" i="16"/>
  <c r="BG17" i="16" s="1"/>
  <c r="BF23" i="15"/>
  <c r="BG23" i="15" s="1"/>
  <c r="BF32" i="17"/>
  <c r="BG32" i="17" s="1"/>
  <c r="BF38" i="17"/>
  <c r="BG38" i="17" s="1"/>
  <c r="BF26" i="17"/>
  <c r="BG26" i="17" s="1"/>
  <c r="BF20" i="17"/>
  <c r="BG20" i="17" s="1"/>
  <c r="BF32" i="16"/>
  <c r="BG32" i="16" s="1"/>
  <c r="BF20" i="16"/>
  <c r="BG20" i="16" s="1"/>
  <c r="BF38" i="15"/>
  <c r="BG38" i="15" s="1"/>
  <c r="BF26" i="15"/>
  <c r="BG26" i="15" s="1"/>
  <c r="BF38" i="16"/>
  <c r="BG38" i="16" s="1"/>
  <c r="BF26" i="16"/>
  <c r="BG26" i="16" s="1"/>
  <c r="BF32" i="15"/>
  <c r="BG32" i="15" s="1"/>
  <c r="BF20" i="15"/>
  <c r="BG20" i="15" s="1"/>
  <c r="BF54" i="21" l="1"/>
  <c r="BG54" i="21" s="1"/>
  <c r="BF48" i="21"/>
  <c r="BG48" i="21" s="1"/>
  <c r="BF42" i="21"/>
  <c r="BG42" i="21" s="1"/>
  <c r="BF60" i="22"/>
  <c r="BG60" i="22" s="1"/>
  <c r="BF60" i="21"/>
  <c r="BG60" i="21" s="1"/>
  <c r="BF54" i="22"/>
  <c r="BG54" i="22" s="1"/>
  <c r="BF42" i="22"/>
  <c r="BG42" i="22" s="1"/>
  <c r="BF48" i="22"/>
  <c r="BG48" i="22" s="1"/>
  <c r="BF37" i="18"/>
  <c r="BG37" i="18" s="1"/>
  <c r="BF37" i="21"/>
  <c r="BG37" i="21" s="1"/>
  <c r="BF37" i="22"/>
  <c r="BG37" i="22" s="1"/>
  <c r="BF31" i="22"/>
  <c r="BG31" i="22" s="1"/>
  <c r="BF25" i="22"/>
  <c r="BG25" i="22" s="1"/>
  <c r="BF31" i="21"/>
  <c r="BG31" i="21" s="1"/>
  <c r="BF19" i="22"/>
  <c r="BG19" i="22" s="1"/>
  <c r="BF25" i="21"/>
  <c r="BG25" i="21" s="1"/>
  <c r="BF19" i="21"/>
  <c r="BG19" i="21" s="1"/>
  <c r="BF49" i="22"/>
  <c r="BG49" i="22" s="1"/>
  <c r="BF43" i="22"/>
  <c r="BG43" i="22" s="1"/>
  <c r="BF43" i="21"/>
  <c r="BG43" i="21" s="1"/>
  <c r="BF55" i="22"/>
  <c r="BG55" i="22" s="1"/>
  <c r="BF61" i="21"/>
  <c r="BG61" i="21" s="1"/>
  <c r="BF55" i="21"/>
  <c r="BG55" i="21" s="1"/>
  <c r="BF61" i="22"/>
  <c r="BG61" i="22" s="1"/>
  <c r="BF49" i="21"/>
  <c r="BG49" i="21" s="1"/>
  <c r="L48" i="10"/>
  <c r="BF35" i="22"/>
  <c r="BG35" i="22" s="1"/>
  <c r="BF23" i="21"/>
  <c r="BG23" i="21" s="1"/>
  <c r="BF17" i="21"/>
  <c r="BG17" i="21" s="1"/>
  <c r="BF29" i="21"/>
  <c r="BG29" i="21" s="1"/>
  <c r="BF23" i="22"/>
  <c r="BG23" i="22" s="1"/>
  <c r="BF17" i="22"/>
  <c r="BG17" i="22" s="1"/>
  <c r="BF29" i="22"/>
  <c r="BG29" i="22" s="1"/>
  <c r="BF35" i="21"/>
  <c r="BG35" i="21" s="1"/>
  <c r="BF25" i="18"/>
  <c r="BG25" i="18" s="1"/>
  <c r="L49" i="10"/>
  <c r="BF24" i="22"/>
  <c r="BG24" i="22" s="1"/>
  <c r="BF36" i="22"/>
  <c r="BG36" i="22" s="1"/>
  <c r="BF18" i="22"/>
  <c r="BG18" i="22" s="1"/>
  <c r="BF36" i="21"/>
  <c r="BG36" i="21" s="1"/>
  <c r="BF30" i="21"/>
  <c r="BG30" i="21" s="1"/>
  <c r="BF24" i="21"/>
  <c r="BG24" i="21" s="1"/>
  <c r="BF30" i="22"/>
  <c r="BG30" i="22" s="1"/>
  <c r="BF18" i="21"/>
  <c r="BG18" i="21" s="1"/>
  <c r="BF62" i="22"/>
  <c r="BG62" i="22" s="1"/>
  <c r="BF44" i="22"/>
  <c r="BG44" i="22" s="1"/>
  <c r="BF62" i="21"/>
  <c r="BG62" i="21" s="1"/>
  <c r="BF50" i="22"/>
  <c r="BG50" i="22" s="1"/>
  <c r="BF56" i="21"/>
  <c r="BG56" i="21" s="1"/>
  <c r="BF50" i="21"/>
  <c r="BG50" i="21" s="1"/>
  <c r="BF44" i="21"/>
  <c r="BG44" i="21" s="1"/>
  <c r="BF56" i="22"/>
  <c r="BG56" i="22" s="1"/>
  <c r="BF29" i="18"/>
  <c r="BG29" i="18" s="1"/>
  <c r="BF35" i="18"/>
  <c r="BG35" i="18" s="1"/>
  <c r="BF18" i="17"/>
  <c r="BG18" i="17" s="1"/>
  <c r="BF18" i="15"/>
  <c r="BG18" i="15" s="1"/>
  <c r="BF24" i="16"/>
  <c r="BG24" i="16" s="1"/>
  <c r="BF30" i="16"/>
  <c r="BG30" i="16" s="1"/>
  <c r="BF36" i="17"/>
  <c r="BG36" i="17" s="1"/>
  <c r="BF24" i="15"/>
  <c r="BG24" i="15" s="1"/>
  <c r="BF24" i="17"/>
  <c r="BG24" i="17" s="1"/>
  <c r="BF36" i="15"/>
  <c r="BG36" i="15" s="1"/>
  <c r="BF30" i="17"/>
  <c r="BG30" i="17" s="1"/>
  <c r="BF18" i="18"/>
  <c r="BG18" i="18" s="1"/>
  <c r="BF30" i="15"/>
  <c r="BG30" i="15" s="1"/>
  <c r="BF36" i="18"/>
  <c r="BG36" i="18" s="1"/>
  <c r="BF18" i="16"/>
  <c r="BG18" i="16" s="1"/>
  <c r="BF24" i="18"/>
  <c r="BG24" i="18" s="1"/>
  <c r="BF30" i="18"/>
  <c r="BG30" i="18" s="1"/>
  <c r="L40" i="10"/>
  <c r="L41" i="10" s="1"/>
  <c r="L42" i="10" s="1"/>
  <c r="L43" i="10" s="1"/>
  <c r="BF60" i="16"/>
  <c r="BG60" i="16" s="1"/>
  <c r="BF42" i="16"/>
  <c r="BG42" i="16" s="1"/>
  <c r="BF42" i="17"/>
  <c r="BG42" i="17" s="1"/>
  <c r="BF60" i="15"/>
  <c r="BG60" i="15" s="1"/>
  <c r="BF60" i="18"/>
  <c r="BG60" i="18" s="1"/>
  <c r="BF48" i="17"/>
  <c r="BG48" i="17" s="1"/>
  <c r="BF54" i="16"/>
  <c r="BG54" i="16" s="1"/>
  <c r="BF54" i="18"/>
  <c r="BG54" i="18" s="1"/>
  <c r="BF54" i="17"/>
  <c r="BG54" i="17" s="1"/>
  <c r="BF48" i="15"/>
  <c r="BG48" i="15" s="1"/>
  <c r="BF48" i="18"/>
  <c r="BG48" i="18" s="1"/>
  <c r="BF60" i="17"/>
  <c r="BG60" i="17" s="1"/>
  <c r="BF42" i="15"/>
  <c r="BG42" i="15" s="1"/>
  <c r="BF42" i="18"/>
  <c r="BG42" i="18" s="1"/>
  <c r="BF54" i="15"/>
  <c r="BG54" i="15" s="1"/>
  <c r="BF48" i="16"/>
  <c r="BG48" i="16" s="1"/>
  <c r="L46" i="10"/>
  <c r="L47" i="10" s="1"/>
  <c r="BF62" i="18"/>
  <c r="BG62" i="18" s="1"/>
  <c r="BF62" i="15"/>
  <c r="BG62" i="15" s="1"/>
  <c r="BF50" i="18"/>
  <c r="BG50" i="18" s="1"/>
  <c r="BF44" i="15"/>
  <c r="BG44" i="15" s="1"/>
  <c r="BF56" i="16"/>
  <c r="BG56" i="16" s="1"/>
  <c r="BF44" i="18"/>
  <c r="BG44" i="18" s="1"/>
  <c r="BF56" i="15"/>
  <c r="BG56" i="15" s="1"/>
  <c r="BF62" i="17"/>
  <c r="BG62" i="17" s="1"/>
  <c r="BF50" i="15"/>
  <c r="BG50" i="15" s="1"/>
  <c r="BF56" i="17"/>
  <c r="BG56" i="17" s="1"/>
  <c r="BF50" i="16"/>
  <c r="BG50" i="16" s="1"/>
  <c r="BF44" i="16"/>
  <c r="BG44" i="16" s="1"/>
  <c r="BF44" i="17"/>
  <c r="BG44" i="17" s="1"/>
  <c r="BF50" i="17"/>
  <c r="BG50" i="17" s="1"/>
  <c r="BF62" i="16"/>
  <c r="BG62" i="16" s="1"/>
  <c r="BF56" i="18"/>
  <c r="BG56" i="18" s="1"/>
  <c r="L44" i="10"/>
  <c r="L45" i="10" s="1"/>
  <c r="BF55" i="15"/>
  <c r="BG55" i="15" s="1"/>
  <c r="BF43" i="15"/>
  <c r="BG43" i="15" s="1"/>
  <c r="BF43" i="17"/>
  <c r="BG43" i="17" s="1"/>
  <c r="BF61" i="17"/>
  <c r="BG61" i="17" s="1"/>
  <c r="BF61" i="15"/>
  <c r="BG61" i="15" s="1"/>
  <c r="BF49" i="16"/>
  <c r="BG49" i="16" s="1"/>
  <c r="BF55" i="18"/>
  <c r="BG55" i="18" s="1"/>
  <c r="BF49" i="17"/>
  <c r="BG49" i="17" s="1"/>
  <c r="BF49" i="15"/>
  <c r="BG49" i="15" s="1"/>
  <c r="BF61" i="18"/>
  <c r="BG61" i="18" s="1"/>
  <c r="BF43" i="16"/>
  <c r="BG43" i="16" s="1"/>
  <c r="BF49" i="18"/>
  <c r="BG49" i="18" s="1"/>
  <c r="BF55" i="17"/>
  <c r="BG55" i="17" s="1"/>
  <c r="BF43" i="18"/>
  <c r="BG43" i="18" s="1"/>
  <c r="BF55" i="16"/>
  <c r="BG55" i="16" s="1"/>
  <c r="BF61" i="16"/>
  <c r="BG61" i="16" s="1"/>
  <c r="BF25" i="15"/>
  <c r="BG25" i="15" s="1"/>
  <c r="BF37" i="16"/>
  <c r="BG37" i="16" s="1"/>
  <c r="L50" i="10"/>
  <c r="BF31" i="15"/>
  <c r="BG31" i="15" s="1"/>
  <c r="BF31" i="17"/>
  <c r="BG31" i="17" s="1"/>
  <c r="BF37" i="15"/>
  <c r="BG37" i="15" s="1"/>
  <c r="BF37" i="17"/>
  <c r="BG37" i="17" s="1"/>
  <c r="BF19" i="16"/>
  <c r="BG19" i="16" s="1"/>
  <c r="BF19" i="17"/>
  <c r="BG19" i="17" s="1"/>
  <c r="BF25" i="17"/>
  <c r="BG25" i="17" s="1"/>
  <c r="BF31" i="18"/>
  <c r="BG31" i="18" s="1"/>
  <c r="BF25" i="16"/>
  <c r="BG25" i="16" s="1"/>
  <c r="BF19" i="18"/>
  <c r="BG19" i="18" s="1"/>
  <c r="BF19" i="15"/>
  <c r="BG19" i="15" s="1"/>
  <c r="U69" i="6"/>
  <c r="T69" i="6"/>
  <c r="C61" i="6"/>
  <c r="M11" i="6"/>
  <c r="D65" i="6" l="1"/>
  <c r="D64" i="6"/>
  <c r="D63" i="6"/>
  <c r="D62" i="6"/>
  <c r="C62" i="6"/>
  <c r="W62" i="6" s="1"/>
  <c r="W2" i="6"/>
  <c r="W7" i="6"/>
  <c r="R7" i="6"/>
  <c r="N7" i="6"/>
  <c r="K7" i="6"/>
  <c r="W4" i="6"/>
  <c r="R4" i="6"/>
  <c r="N4" i="6"/>
  <c r="K4" i="6"/>
  <c r="D74" i="6"/>
  <c r="B74" i="6" l="1"/>
  <c r="B73" i="6"/>
  <c r="B72" i="6"/>
  <c r="B71" i="6"/>
  <c r="B70" i="6"/>
  <c r="B69" i="6"/>
  <c r="B68" i="6"/>
  <c r="R8" i="6"/>
  <c r="W8" i="6"/>
  <c r="W5" i="6"/>
  <c r="R5" i="6"/>
  <c r="N8" i="6"/>
  <c r="N5" i="6"/>
  <c r="K8" i="6"/>
  <c r="K5" i="6"/>
  <c r="W11" i="6"/>
  <c r="V11" i="6"/>
  <c r="U11" i="6"/>
  <c r="T11" i="6"/>
  <c r="S11" i="6"/>
  <c r="R11" i="6"/>
  <c r="Q11" i="6"/>
  <c r="P11" i="6"/>
  <c r="O11" i="6"/>
  <c r="N11" i="6"/>
  <c r="L11" i="6"/>
  <c r="K11" i="6"/>
  <c r="I11" i="6"/>
  <c r="H11" i="6"/>
  <c r="G11" i="6"/>
  <c r="F11" i="6"/>
  <c r="E11" i="6"/>
  <c r="D11" i="6"/>
  <c r="C11" i="6"/>
  <c r="B11" i="6"/>
  <c r="B10" i="6"/>
  <c r="D28" i="10"/>
  <c r="D29" i="10"/>
  <c r="D61" i="6"/>
  <c r="C65" i="6"/>
  <c r="C64" i="6"/>
  <c r="C63" i="6"/>
  <c r="B62" i="6"/>
  <c r="B12" i="6"/>
  <c r="B65" i="6"/>
  <c r="B61" i="6"/>
  <c r="R29" i="6"/>
  <c r="C29" i="6"/>
  <c r="R28" i="6"/>
  <c r="C28" i="6"/>
  <c r="R27" i="6"/>
  <c r="C27" i="6"/>
  <c r="R26" i="6"/>
  <c r="C26" i="6"/>
  <c r="R25" i="6"/>
  <c r="C25" i="6"/>
  <c r="R24" i="6"/>
  <c r="C24" i="6"/>
  <c r="R23" i="6"/>
  <c r="C23" i="6"/>
  <c r="R22" i="6"/>
  <c r="C22" i="6"/>
  <c r="R21" i="6"/>
  <c r="C21" i="6"/>
  <c r="R20" i="6"/>
  <c r="C20" i="6"/>
  <c r="R19" i="6"/>
  <c r="C19" i="6"/>
  <c r="R18" i="6"/>
  <c r="C18" i="6"/>
  <c r="R17" i="6"/>
  <c r="C17" i="6"/>
  <c r="R16" i="6"/>
  <c r="C16" i="6"/>
  <c r="R15" i="6"/>
  <c r="C15" i="6"/>
  <c r="R14" i="6"/>
  <c r="C14" i="6"/>
  <c r="C13" i="6"/>
  <c r="C12" i="6"/>
  <c r="O23" i="10"/>
  <c r="F13" i="6" l="1"/>
  <c r="L13" i="6"/>
  <c r="F12" i="6"/>
  <c r="L12" i="6"/>
  <c r="U10" i="6"/>
  <c r="D14" i="6"/>
  <c r="Q14" i="6"/>
  <c r="L14" i="6"/>
  <c r="H14" i="6"/>
  <c r="E14" i="6"/>
  <c r="M14" i="6" s="1"/>
  <c r="S14" i="6"/>
  <c r="P14" i="6"/>
  <c r="I14" i="6"/>
  <c r="F14" i="6"/>
  <c r="D18" i="6"/>
  <c r="S18" i="6"/>
  <c r="P18" i="6"/>
  <c r="I18" i="6"/>
  <c r="F18" i="6"/>
  <c r="Q18" i="6"/>
  <c r="L18" i="6"/>
  <c r="H18" i="6"/>
  <c r="E18" i="6"/>
  <c r="M18" i="6" s="1"/>
  <c r="Q22" i="6"/>
  <c r="L22" i="6"/>
  <c r="H22" i="6"/>
  <c r="E22" i="6"/>
  <c r="M22" i="6" s="1"/>
  <c r="S22" i="6"/>
  <c r="P22" i="6"/>
  <c r="I22" i="6"/>
  <c r="F22" i="6"/>
  <c r="S26" i="6"/>
  <c r="P26" i="6"/>
  <c r="I26" i="6"/>
  <c r="F26" i="6"/>
  <c r="Q26" i="6"/>
  <c r="L26" i="6"/>
  <c r="H26" i="6"/>
  <c r="E26" i="6"/>
  <c r="M26" i="6" s="1"/>
  <c r="D15" i="6"/>
  <c r="Q15" i="6"/>
  <c r="L15" i="6"/>
  <c r="H15" i="6"/>
  <c r="E15" i="6"/>
  <c r="M15" i="6" s="1"/>
  <c r="S15" i="6"/>
  <c r="P15" i="6"/>
  <c r="I15" i="6"/>
  <c r="F15" i="6"/>
  <c r="D19" i="6"/>
  <c r="S19" i="6"/>
  <c r="P19" i="6"/>
  <c r="I19" i="6"/>
  <c r="F19" i="6"/>
  <c r="Q19" i="6"/>
  <c r="L19" i="6"/>
  <c r="H19" i="6"/>
  <c r="E19" i="6"/>
  <c r="M19" i="6" s="1"/>
  <c r="Q23" i="6"/>
  <c r="L23" i="6"/>
  <c r="H23" i="6"/>
  <c r="E23" i="6"/>
  <c r="M23" i="6" s="1"/>
  <c r="S23" i="6"/>
  <c r="P23" i="6"/>
  <c r="I23" i="6"/>
  <c r="F23" i="6"/>
  <c r="S27" i="6"/>
  <c r="P27" i="6"/>
  <c r="I27" i="6"/>
  <c r="F27" i="6"/>
  <c r="Q27" i="6"/>
  <c r="L27" i="6"/>
  <c r="H27" i="6"/>
  <c r="E27" i="6"/>
  <c r="M27" i="6" s="1"/>
  <c r="D12" i="6"/>
  <c r="S12" i="6"/>
  <c r="P12" i="6"/>
  <c r="I12" i="6"/>
  <c r="Q12" i="6"/>
  <c r="H12" i="6"/>
  <c r="E12" i="6"/>
  <c r="M12" i="6" s="1"/>
  <c r="D16" i="6"/>
  <c r="Q16" i="6"/>
  <c r="L16" i="6"/>
  <c r="H16" i="6"/>
  <c r="E16" i="6"/>
  <c r="M16" i="6" s="1"/>
  <c r="S16" i="6"/>
  <c r="P16" i="6"/>
  <c r="I16" i="6"/>
  <c r="F16" i="6"/>
  <c r="D20" i="6"/>
  <c r="S20" i="6"/>
  <c r="P20" i="6"/>
  <c r="I20" i="6"/>
  <c r="F20" i="6"/>
  <c r="Q20" i="6"/>
  <c r="L20" i="6"/>
  <c r="H20" i="6"/>
  <c r="E20" i="6"/>
  <c r="M20" i="6" s="1"/>
  <c r="Q24" i="6"/>
  <c r="L24" i="6"/>
  <c r="H24" i="6"/>
  <c r="E24" i="6"/>
  <c r="M24" i="6" s="1"/>
  <c r="S24" i="6"/>
  <c r="P24" i="6"/>
  <c r="I24" i="6"/>
  <c r="F24" i="6"/>
  <c r="S28" i="6"/>
  <c r="P28" i="6"/>
  <c r="I28" i="6"/>
  <c r="F28" i="6"/>
  <c r="Q28" i="6"/>
  <c r="L28" i="6"/>
  <c r="H28" i="6"/>
  <c r="E28" i="6"/>
  <c r="M28" i="6" s="1"/>
  <c r="D13" i="6"/>
  <c r="Q13" i="6"/>
  <c r="H13" i="6"/>
  <c r="E13" i="6"/>
  <c r="M13" i="6" s="1"/>
  <c r="S13" i="6"/>
  <c r="P13" i="6"/>
  <c r="I13" i="6"/>
  <c r="D17" i="6"/>
  <c r="L17" i="6"/>
  <c r="H17" i="6"/>
  <c r="E17" i="6"/>
  <c r="M17" i="6" s="1"/>
  <c r="S17" i="6"/>
  <c r="P17" i="6"/>
  <c r="I17" i="6"/>
  <c r="F17" i="6"/>
  <c r="Q17" i="6"/>
  <c r="D21" i="6"/>
  <c r="F21" i="6"/>
  <c r="Q21" i="6"/>
  <c r="L21" i="6"/>
  <c r="H21" i="6"/>
  <c r="E21" i="6"/>
  <c r="M21" i="6" s="1"/>
  <c r="S21" i="6"/>
  <c r="P21" i="6"/>
  <c r="I21" i="6"/>
  <c r="L25" i="6"/>
  <c r="H25" i="6"/>
  <c r="E25" i="6"/>
  <c r="M25" i="6" s="1"/>
  <c r="S25" i="6"/>
  <c r="P25" i="6"/>
  <c r="I25" i="6"/>
  <c r="F25" i="6"/>
  <c r="Q25" i="6"/>
  <c r="F29" i="6"/>
  <c r="Q29" i="6"/>
  <c r="L29" i="6"/>
  <c r="H29" i="6"/>
  <c r="E29" i="6"/>
  <c r="M29" i="6" s="1"/>
  <c r="S29" i="6"/>
  <c r="P29" i="6"/>
  <c r="I29" i="6"/>
  <c r="N8" i="10"/>
  <c r="M8" i="10"/>
  <c r="D26" i="6"/>
  <c r="D27" i="6"/>
  <c r="D24" i="6"/>
  <c r="D28" i="6"/>
  <c r="D25" i="6"/>
  <c r="O29" i="6"/>
  <c r="D29" i="6"/>
  <c r="N22" i="6"/>
  <c r="D22" i="6"/>
  <c r="D23" i="6"/>
  <c r="O13" i="6"/>
  <c r="O21" i="6"/>
  <c r="K16" i="6"/>
  <c r="W63" i="6"/>
  <c r="P10" i="6"/>
  <c r="B64" i="6"/>
  <c r="B63" i="6"/>
  <c r="W65" i="6"/>
  <c r="W64" i="6"/>
  <c r="N13" i="6"/>
  <c r="K23" i="6"/>
  <c r="O12" i="6"/>
  <c r="N19" i="6"/>
  <c r="N21" i="6"/>
  <c r="N18" i="6"/>
  <c r="O18" i="6"/>
  <c r="G26" i="6"/>
  <c r="N29" i="6"/>
  <c r="G12" i="6"/>
  <c r="N25" i="6"/>
  <c r="G18" i="6"/>
  <c r="O16" i="6"/>
  <c r="O24" i="6"/>
  <c r="N16" i="6"/>
  <c r="N24" i="6"/>
  <c r="G17" i="6"/>
  <c r="N26" i="6"/>
  <c r="K12" i="6"/>
  <c r="G19" i="6"/>
  <c r="G25" i="6"/>
  <c r="O26" i="6"/>
  <c r="G16" i="6"/>
  <c r="G24" i="6"/>
  <c r="G27" i="6"/>
  <c r="O28" i="6"/>
  <c r="N12" i="6"/>
  <c r="K13" i="6"/>
  <c r="K15" i="6"/>
  <c r="N17" i="6"/>
  <c r="O19" i="6"/>
  <c r="K21" i="6"/>
  <c r="N27" i="6"/>
  <c r="O17" i="6"/>
  <c r="O27" i="6"/>
  <c r="K24" i="6"/>
  <c r="O25" i="6"/>
  <c r="O20" i="6"/>
  <c r="O14" i="6"/>
  <c r="N15" i="6"/>
  <c r="K17" i="6"/>
  <c r="G20" i="6"/>
  <c r="O22" i="6"/>
  <c r="N23" i="6"/>
  <c r="K25" i="6"/>
  <c r="G28" i="6"/>
  <c r="G13" i="6"/>
  <c r="O15" i="6"/>
  <c r="K18" i="6"/>
  <c r="G21" i="6"/>
  <c r="O23" i="6"/>
  <c r="K26" i="6"/>
  <c r="G29" i="6"/>
  <c r="G14" i="6"/>
  <c r="K19" i="6"/>
  <c r="G22" i="6"/>
  <c r="K27" i="6"/>
  <c r="N14" i="6"/>
  <c r="G15" i="6"/>
  <c r="K20" i="6"/>
  <c r="G23" i="6"/>
  <c r="K28" i="6"/>
  <c r="K29" i="6"/>
  <c r="K14" i="6"/>
  <c r="N20" i="6"/>
  <c r="K22" i="6"/>
  <c r="N28" i="6"/>
  <c r="P68" i="10"/>
  <c r="K68" i="10"/>
  <c r="G68" i="10"/>
  <c r="G71" i="10" s="1"/>
  <c r="K71" i="10" s="1"/>
  <c r="F23" i="10"/>
  <c r="G23" i="10"/>
  <c r="E23" i="10"/>
  <c r="P71" i="10" l="1"/>
  <c r="W71" i="6"/>
  <c r="J73" i="10"/>
  <c r="N73" i="10" s="1"/>
  <c r="S73" i="10" s="1"/>
  <c r="H71" i="10"/>
  <c r="L71" i="10" s="1"/>
  <c r="Q71" i="10" s="1"/>
  <c r="J72" i="10"/>
  <c r="G73" i="10"/>
  <c r="K73" i="10" s="1"/>
  <c r="P73" i="10" s="1"/>
  <c r="J71" i="10"/>
  <c r="N71" i="10" s="1"/>
  <c r="S71" i="10" s="1"/>
  <c r="G72" i="10"/>
  <c r="K72" i="10" s="1"/>
  <c r="P72" i="10" s="1"/>
  <c r="I73" i="10"/>
  <c r="I72" i="10"/>
  <c r="M72" i="10" s="1"/>
  <c r="R72" i="10" s="1"/>
  <c r="H72" i="10"/>
  <c r="L72" i="10" s="1"/>
  <c r="Q72" i="10" s="1"/>
  <c r="I71" i="10"/>
  <c r="H73" i="10"/>
  <c r="T10" i="6"/>
  <c r="Q23" i="10"/>
  <c r="P23" i="10"/>
  <c r="BN53" i="22" l="1"/>
  <c r="BO53" i="22" s="1"/>
  <c r="AA53" i="22" s="1"/>
  <c r="AB53" i="22" s="1"/>
  <c r="AG53" i="22" s="1"/>
  <c r="BN51" i="22"/>
  <c r="BO51" i="22" s="1"/>
  <c r="AA51" i="22" s="1"/>
  <c r="AB51" i="22" s="1"/>
  <c r="BN25" i="22"/>
  <c r="BO25" i="22" s="1"/>
  <c r="AA25" i="22" s="1"/>
  <c r="AB25" i="22" s="1"/>
  <c r="AG25" i="22" s="1"/>
  <c r="BN61" i="22"/>
  <c r="BO61" i="22" s="1"/>
  <c r="AA61" i="22" s="1"/>
  <c r="AB61" i="22" s="1"/>
  <c r="AG61" i="22" s="1"/>
  <c r="BN54" i="22"/>
  <c r="BO54" i="22" s="1"/>
  <c r="AA54" i="22" s="1"/>
  <c r="AB54" i="22" s="1"/>
  <c r="AG54" i="22" s="1"/>
  <c r="BN49" i="22"/>
  <c r="BO49" i="22" s="1"/>
  <c r="AA49" i="22" s="1"/>
  <c r="AB49" i="22" s="1"/>
  <c r="AG49" i="22" s="1"/>
  <c r="BN40" i="22"/>
  <c r="BO40" i="22" s="1"/>
  <c r="AA40" i="22" s="1"/>
  <c r="AB40" i="22" s="1"/>
  <c r="BN35" i="22"/>
  <c r="BO35" i="22" s="1"/>
  <c r="AA35" i="22" s="1"/>
  <c r="AB35" i="22" s="1"/>
  <c r="AG35" i="22" s="1"/>
  <c r="BN15" i="22"/>
  <c r="BO15" i="22" s="1"/>
  <c r="AA15" i="22" s="1"/>
  <c r="AB15" i="22" s="1"/>
  <c r="BN55" i="22"/>
  <c r="BO55" i="22" s="1"/>
  <c r="AA55" i="22" s="1"/>
  <c r="AB55" i="22" s="1"/>
  <c r="AG55" i="22" s="1"/>
  <c r="BN38" i="22"/>
  <c r="BO38" i="22" s="1"/>
  <c r="AA38" i="22" s="1"/>
  <c r="AB38" i="22" s="1"/>
  <c r="AG38" i="22" s="1"/>
  <c r="BN52" i="22"/>
  <c r="BO52" i="22" s="1"/>
  <c r="AA52" i="22" s="1"/>
  <c r="AB52" i="22" s="1"/>
  <c r="BN50" i="22"/>
  <c r="BO50" i="22" s="1"/>
  <c r="AA50" i="22" s="1"/>
  <c r="AB50" i="22" s="1"/>
  <c r="AG50" i="22" s="1"/>
  <c r="BN31" i="22"/>
  <c r="BO31" i="22" s="1"/>
  <c r="AA31" i="22" s="1"/>
  <c r="AB31" i="22" s="1"/>
  <c r="AG31" i="22" s="1"/>
  <c r="BN23" i="22"/>
  <c r="BO23" i="22" s="1"/>
  <c r="AA23" i="22" s="1"/>
  <c r="AB23" i="22" s="1"/>
  <c r="AG23" i="22" s="1"/>
  <c r="BN17" i="22"/>
  <c r="BO17" i="22" s="1"/>
  <c r="AA17" i="22" s="1"/>
  <c r="AB17" i="22" s="1"/>
  <c r="AG17" i="22" s="1"/>
  <c r="BN37" i="22"/>
  <c r="BO37" i="22" s="1"/>
  <c r="AA37" i="22" s="1"/>
  <c r="AB37" i="22" s="1"/>
  <c r="AG37" i="22" s="1"/>
  <c r="BN34" i="22"/>
  <c r="BO34" i="22" s="1"/>
  <c r="AA34" i="22" s="1"/>
  <c r="AB34" i="22" s="1"/>
  <c r="BN18" i="22"/>
  <c r="BO18" i="22" s="1"/>
  <c r="AA18" i="22" s="1"/>
  <c r="AB18" i="22" s="1"/>
  <c r="AG18" i="22" s="1"/>
  <c r="BN25" i="21"/>
  <c r="BO25" i="21" s="1"/>
  <c r="AA25" i="21" s="1"/>
  <c r="AB25" i="21" s="1"/>
  <c r="AG25" i="21" s="1"/>
  <c r="BN21" i="22"/>
  <c r="BO21" i="22" s="1"/>
  <c r="AA21" i="22" s="1"/>
  <c r="AB21" i="22" s="1"/>
  <c r="BN26" i="21"/>
  <c r="BO26" i="21" s="1"/>
  <c r="AA26" i="21" s="1"/>
  <c r="AB26" i="21" s="1"/>
  <c r="AG26" i="21" s="1"/>
  <c r="BN58" i="21"/>
  <c r="BO58" i="21" s="1"/>
  <c r="AA58" i="21" s="1"/>
  <c r="AB58" i="21" s="1"/>
  <c r="BN53" i="21"/>
  <c r="BO53" i="21" s="1"/>
  <c r="AA53" i="21" s="1"/>
  <c r="AB53" i="21" s="1"/>
  <c r="AG53" i="21" s="1"/>
  <c r="BN55" i="21"/>
  <c r="BO55" i="21" s="1"/>
  <c r="AA55" i="21" s="1"/>
  <c r="AB55" i="21" s="1"/>
  <c r="AG55" i="21" s="1"/>
  <c r="BN22" i="21"/>
  <c r="BO22" i="21" s="1"/>
  <c r="AA22" i="21" s="1"/>
  <c r="AB22" i="21" s="1"/>
  <c r="BN60" i="21"/>
  <c r="BO60" i="21" s="1"/>
  <c r="AA60" i="21" s="1"/>
  <c r="AB60" i="21" s="1"/>
  <c r="AG60" i="21" s="1"/>
  <c r="BN41" i="21"/>
  <c r="BO41" i="21" s="1"/>
  <c r="AA41" i="21" s="1"/>
  <c r="AB41" i="21" s="1"/>
  <c r="AG41" i="21" s="1"/>
  <c r="BN24" i="22"/>
  <c r="BO24" i="22" s="1"/>
  <c r="AA24" i="22" s="1"/>
  <c r="AB24" i="22" s="1"/>
  <c r="AG24" i="22" s="1"/>
  <c r="BN51" i="21"/>
  <c r="BO51" i="21" s="1"/>
  <c r="AA51" i="21" s="1"/>
  <c r="AB51" i="21" s="1"/>
  <c r="BN61" i="21"/>
  <c r="BO61" i="21" s="1"/>
  <c r="AA61" i="21" s="1"/>
  <c r="AB61" i="21" s="1"/>
  <c r="AG61" i="21" s="1"/>
  <c r="BN39" i="22"/>
  <c r="BO39" i="22" s="1"/>
  <c r="AA39" i="22" s="1"/>
  <c r="AB39" i="22" s="1"/>
  <c r="BN30" i="21"/>
  <c r="BO30" i="21" s="1"/>
  <c r="AA30" i="21" s="1"/>
  <c r="AB30" i="21" s="1"/>
  <c r="AG30" i="21" s="1"/>
  <c r="BN62" i="21"/>
  <c r="BO62" i="21" s="1"/>
  <c r="AA62" i="21" s="1"/>
  <c r="AB62" i="21" s="1"/>
  <c r="AG62" i="21" s="1"/>
  <c r="BN37" i="21"/>
  <c r="BO37" i="21" s="1"/>
  <c r="AA37" i="21" s="1"/>
  <c r="AB37" i="21" s="1"/>
  <c r="AG37" i="21" s="1"/>
  <c r="BN45" i="22"/>
  <c r="BO45" i="22" s="1"/>
  <c r="AA45" i="22" s="1"/>
  <c r="AB45" i="22" s="1"/>
  <c r="BN59" i="21"/>
  <c r="BO59" i="21" s="1"/>
  <c r="AA59" i="21" s="1"/>
  <c r="AB59" i="21" s="1"/>
  <c r="AG59" i="21" s="1"/>
  <c r="BN23" i="21"/>
  <c r="BO23" i="21" s="1"/>
  <c r="AA23" i="21" s="1"/>
  <c r="AB23" i="21" s="1"/>
  <c r="AG23" i="21" s="1"/>
  <c r="BN33" i="21"/>
  <c r="BO33" i="21" s="1"/>
  <c r="AA33" i="21" s="1"/>
  <c r="AB33" i="21" s="1"/>
  <c r="BN16" i="21"/>
  <c r="BO16" i="21" s="1"/>
  <c r="AA16" i="21" s="1"/>
  <c r="AB16" i="21" s="1"/>
  <c r="BN27" i="22"/>
  <c r="BO27" i="22" s="1"/>
  <c r="AA27" i="22" s="1"/>
  <c r="AB27" i="22" s="1"/>
  <c r="BN43" i="22"/>
  <c r="BO43" i="22" s="1"/>
  <c r="AA43" i="22" s="1"/>
  <c r="AB43" i="22" s="1"/>
  <c r="AG43" i="22" s="1"/>
  <c r="BN29" i="22"/>
  <c r="BO29" i="22" s="1"/>
  <c r="AA29" i="22" s="1"/>
  <c r="AB29" i="22" s="1"/>
  <c r="AG29" i="22" s="1"/>
  <c r="BN41" i="22"/>
  <c r="BO41" i="22" s="1"/>
  <c r="AA41" i="22" s="1"/>
  <c r="AB41" i="22" s="1"/>
  <c r="AG41" i="22" s="1"/>
  <c r="BN34" i="21"/>
  <c r="BO34" i="21" s="1"/>
  <c r="AA34" i="21" s="1"/>
  <c r="AB34" i="21" s="1"/>
  <c r="BN16" i="22"/>
  <c r="BO16" i="22" s="1"/>
  <c r="AA16" i="22" s="1"/>
  <c r="AB16" i="22" s="1"/>
  <c r="BN18" i="21"/>
  <c r="BO18" i="21" s="1"/>
  <c r="AA18" i="21" s="1"/>
  <c r="AB18" i="21" s="1"/>
  <c r="AG18" i="21" s="1"/>
  <c r="BN47" i="22"/>
  <c r="BO47" i="22" s="1"/>
  <c r="AA47" i="22" s="1"/>
  <c r="AB47" i="22" s="1"/>
  <c r="AG47" i="22" s="1"/>
  <c r="BN19" i="21"/>
  <c r="BO19" i="21" s="1"/>
  <c r="AA19" i="21" s="1"/>
  <c r="AB19" i="21" s="1"/>
  <c r="AG19" i="21" s="1"/>
  <c r="BN27" i="21"/>
  <c r="BO27" i="21" s="1"/>
  <c r="AA27" i="21" s="1"/>
  <c r="AB27" i="21" s="1"/>
  <c r="BN49" i="21"/>
  <c r="BO49" i="21" s="1"/>
  <c r="AA49" i="21" s="1"/>
  <c r="AB49" i="21" s="1"/>
  <c r="AG49" i="21" s="1"/>
  <c r="BN32" i="22"/>
  <c r="BO32" i="22" s="1"/>
  <c r="AA32" i="22" s="1"/>
  <c r="AB32" i="22" s="1"/>
  <c r="AG32" i="22" s="1"/>
  <c r="BN24" i="21"/>
  <c r="BO24" i="21" s="1"/>
  <c r="AA24" i="21" s="1"/>
  <c r="AB24" i="21" s="1"/>
  <c r="AG24" i="21" s="1"/>
  <c r="BN56" i="21"/>
  <c r="BO56" i="21" s="1"/>
  <c r="AA56" i="21" s="1"/>
  <c r="AB56" i="21" s="1"/>
  <c r="AG56" i="21" s="1"/>
  <c r="BN38" i="21"/>
  <c r="BO38" i="21" s="1"/>
  <c r="AA38" i="21" s="1"/>
  <c r="AB38" i="21" s="1"/>
  <c r="AG38" i="21" s="1"/>
  <c r="BN15" i="21"/>
  <c r="BO15" i="21" s="1"/>
  <c r="AA15" i="21" s="1"/>
  <c r="AB15" i="21" s="1"/>
  <c r="BN31" i="21"/>
  <c r="BO31" i="21" s="1"/>
  <c r="AA31" i="21" s="1"/>
  <c r="AB31" i="21" s="1"/>
  <c r="AG31" i="21" s="1"/>
  <c r="BN39" i="21"/>
  <c r="BO39" i="21" s="1"/>
  <c r="AA39" i="21" s="1"/>
  <c r="AB39" i="21" s="1"/>
  <c r="BN20" i="21"/>
  <c r="BO20" i="21" s="1"/>
  <c r="AA20" i="21" s="1"/>
  <c r="AB20" i="21" s="1"/>
  <c r="AG20" i="21" s="1"/>
  <c r="BN42" i="22"/>
  <c r="BO42" i="22" s="1"/>
  <c r="AA42" i="22" s="1"/>
  <c r="AB42" i="22" s="1"/>
  <c r="AG42" i="22" s="1"/>
  <c r="BN28" i="21"/>
  <c r="BO28" i="21" s="1"/>
  <c r="AA28" i="21" s="1"/>
  <c r="AB28" i="21" s="1"/>
  <c r="BN44" i="22"/>
  <c r="BO44" i="22" s="1"/>
  <c r="AA44" i="22" s="1"/>
  <c r="AB44" i="22" s="1"/>
  <c r="AG44" i="22" s="1"/>
  <c r="BN45" i="21"/>
  <c r="BO45" i="21" s="1"/>
  <c r="AA45" i="21" s="1"/>
  <c r="AB45" i="21" s="1"/>
  <c r="BN48" i="22"/>
  <c r="BO48" i="22" s="1"/>
  <c r="AA48" i="22" s="1"/>
  <c r="AB48" i="22" s="1"/>
  <c r="AG48" i="22" s="1"/>
  <c r="BN42" i="21"/>
  <c r="BO42" i="21" s="1"/>
  <c r="AA42" i="21" s="1"/>
  <c r="AB42" i="21" s="1"/>
  <c r="AG42" i="21" s="1"/>
  <c r="BN26" i="22"/>
  <c r="BO26" i="22" s="1"/>
  <c r="AA26" i="22" s="1"/>
  <c r="AB26" i="22" s="1"/>
  <c r="AG26" i="22" s="1"/>
  <c r="BN35" i="21"/>
  <c r="BO35" i="21" s="1"/>
  <c r="AA35" i="21" s="1"/>
  <c r="AB35" i="21" s="1"/>
  <c r="AG35" i="21" s="1"/>
  <c r="BN20" i="22"/>
  <c r="BO20" i="22" s="1"/>
  <c r="AA20" i="22" s="1"/>
  <c r="AB20" i="22" s="1"/>
  <c r="AG20" i="22" s="1"/>
  <c r="BN32" i="21"/>
  <c r="BO32" i="21" s="1"/>
  <c r="AA32" i="21" s="1"/>
  <c r="AB32" i="21" s="1"/>
  <c r="AG32" i="21" s="1"/>
  <c r="BN56" i="22"/>
  <c r="BO56" i="22" s="1"/>
  <c r="AA56" i="22" s="1"/>
  <c r="AB56" i="22" s="1"/>
  <c r="AG56" i="22" s="1"/>
  <c r="BN36" i="21"/>
  <c r="BO36" i="21" s="1"/>
  <c r="AA36" i="21" s="1"/>
  <c r="AB36" i="21" s="1"/>
  <c r="AG36" i="21" s="1"/>
  <c r="BN46" i="22"/>
  <c r="BO46" i="22" s="1"/>
  <c r="AA46" i="22" s="1"/>
  <c r="AB46" i="22" s="1"/>
  <c r="BN21" i="21"/>
  <c r="BO21" i="21" s="1"/>
  <c r="AA21" i="21" s="1"/>
  <c r="AB21" i="21" s="1"/>
  <c r="BN59" i="22"/>
  <c r="BO59" i="22" s="1"/>
  <c r="AA59" i="22" s="1"/>
  <c r="AB59" i="22" s="1"/>
  <c r="AG59" i="22" s="1"/>
  <c r="BN57" i="22"/>
  <c r="BO57" i="22" s="1"/>
  <c r="AA57" i="22" s="1"/>
  <c r="AB57" i="22" s="1"/>
  <c r="BN46" i="21"/>
  <c r="BO46" i="21" s="1"/>
  <c r="AA46" i="21" s="1"/>
  <c r="AB46" i="21" s="1"/>
  <c r="BN33" i="22"/>
  <c r="BO33" i="22" s="1"/>
  <c r="AA33" i="22" s="1"/>
  <c r="AB33" i="22" s="1"/>
  <c r="BN28" i="22"/>
  <c r="BO28" i="22" s="1"/>
  <c r="AA28" i="22" s="1"/>
  <c r="AB28" i="22" s="1"/>
  <c r="BN43" i="21"/>
  <c r="BO43" i="21" s="1"/>
  <c r="AA43" i="21" s="1"/>
  <c r="AB43" i="21" s="1"/>
  <c r="AG43" i="21" s="1"/>
  <c r="BN22" i="22"/>
  <c r="BO22" i="22" s="1"/>
  <c r="AA22" i="22" s="1"/>
  <c r="AB22" i="22" s="1"/>
  <c r="BN40" i="21"/>
  <c r="BO40" i="21" s="1"/>
  <c r="AA40" i="21" s="1"/>
  <c r="AB40" i="21" s="1"/>
  <c r="BN44" i="21"/>
  <c r="BO44" i="21" s="1"/>
  <c r="AA44" i="21" s="1"/>
  <c r="AB44" i="21" s="1"/>
  <c r="AG44" i="21" s="1"/>
  <c r="BN57" i="21"/>
  <c r="BO57" i="21" s="1"/>
  <c r="AA57" i="21" s="1"/>
  <c r="AB57" i="21" s="1"/>
  <c r="BN17" i="21"/>
  <c r="BO17" i="21" s="1"/>
  <c r="AA17" i="21" s="1"/>
  <c r="AB17" i="21" s="1"/>
  <c r="AG17" i="21" s="1"/>
  <c r="BN62" i="22"/>
  <c r="BO62" i="22" s="1"/>
  <c r="AA62" i="22" s="1"/>
  <c r="AB62" i="22" s="1"/>
  <c r="AG62" i="22" s="1"/>
  <c r="BN29" i="21"/>
  <c r="BO29" i="21" s="1"/>
  <c r="AA29" i="21" s="1"/>
  <c r="AB29" i="21" s="1"/>
  <c r="AG29" i="21" s="1"/>
  <c r="BN50" i="21"/>
  <c r="BO50" i="21" s="1"/>
  <c r="AA50" i="21" s="1"/>
  <c r="AB50" i="21" s="1"/>
  <c r="AG50" i="21" s="1"/>
  <c r="BN36" i="22"/>
  <c r="BO36" i="22" s="1"/>
  <c r="AA36" i="22" s="1"/>
  <c r="AB36" i="22" s="1"/>
  <c r="AG36" i="22" s="1"/>
  <c r="BN47" i="21"/>
  <c r="BO47" i="21" s="1"/>
  <c r="AA47" i="21" s="1"/>
  <c r="AB47" i="21" s="1"/>
  <c r="AG47" i="21" s="1"/>
  <c r="BN58" i="22"/>
  <c r="BO58" i="22" s="1"/>
  <c r="AA58" i="22" s="1"/>
  <c r="AB58" i="22" s="1"/>
  <c r="BN30" i="22"/>
  <c r="BO30" i="22" s="1"/>
  <c r="AA30" i="22" s="1"/>
  <c r="AB30" i="22" s="1"/>
  <c r="AG30" i="22" s="1"/>
  <c r="BN48" i="21"/>
  <c r="BO48" i="21" s="1"/>
  <c r="AA48" i="21" s="1"/>
  <c r="AB48" i="21" s="1"/>
  <c r="AG48" i="21" s="1"/>
  <c r="BN60" i="22"/>
  <c r="BO60" i="22" s="1"/>
  <c r="AA60" i="22" s="1"/>
  <c r="AB60" i="22" s="1"/>
  <c r="AG60" i="22" s="1"/>
  <c r="BN52" i="21"/>
  <c r="BO52" i="21" s="1"/>
  <c r="AA52" i="21" s="1"/>
  <c r="AB52" i="21" s="1"/>
  <c r="BN54" i="21"/>
  <c r="BO54" i="21" s="1"/>
  <c r="AA54" i="21" s="1"/>
  <c r="AB54" i="21" s="1"/>
  <c r="AG54" i="21" s="1"/>
  <c r="BN19" i="22"/>
  <c r="BO19" i="22" s="1"/>
  <c r="AA19" i="22" s="1"/>
  <c r="AB19" i="22" s="1"/>
  <c r="AG19" i="22" s="1"/>
  <c r="I57" i="10"/>
  <c r="H57" i="10"/>
  <c r="G57" i="10"/>
  <c r="H8" i="10"/>
  <c r="G8" i="10"/>
  <c r="F8" i="10"/>
  <c r="AG34" i="22" l="1"/>
  <c r="AG22" i="22"/>
  <c r="AG58" i="21"/>
  <c r="AG40" i="22"/>
  <c r="AG46" i="21"/>
  <c r="AG22" i="21"/>
  <c r="AG52" i="21"/>
  <c r="AG34" i="21"/>
  <c r="AG16" i="22"/>
  <c r="AG15" i="22"/>
  <c r="AG39" i="22"/>
  <c r="AG52" i="22"/>
  <c r="AG16" i="21"/>
  <c r="AG15" i="21"/>
  <c r="AG39" i="21"/>
  <c r="AG46" i="22"/>
  <c r="AG28" i="22"/>
  <c r="AG58" i="22"/>
  <c r="AG40" i="21"/>
  <c r="AG28" i="21"/>
  <c r="E28" i="10"/>
  <c r="F28" i="10" s="1"/>
  <c r="G28" i="10" s="1"/>
  <c r="N29" i="10" l="1"/>
  <c r="O29" i="10" s="1"/>
  <c r="P29" i="10" s="1"/>
  <c r="Q29" i="10" s="1"/>
  <c r="N28" i="10"/>
  <c r="O28" i="10" s="1"/>
  <c r="P28" i="10" s="1"/>
  <c r="Q28" i="10" s="1"/>
  <c r="N27" i="10"/>
  <c r="O27" i="10" s="1"/>
  <c r="P27" i="10" s="1"/>
  <c r="Q27" i="10" s="1"/>
  <c r="N26" i="10"/>
  <c r="O26" i="10" l="1"/>
  <c r="P26" i="10" s="1"/>
  <c r="Q26" i="10" s="1"/>
  <c r="BF40" i="22"/>
  <c r="BG40" i="22" s="1"/>
  <c r="BF46" i="22"/>
  <c r="BG46" i="22" s="1"/>
  <c r="BF52" i="21"/>
  <c r="BG52" i="21" s="1"/>
  <c r="BF46" i="21"/>
  <c r="BG46" i="21" s="1"/>
  <c r="BF52" i="22"/>
  <c r="BG52" i="22" s="1"/>
  <c r="BF40" i="21"/>
  <c r="BG40" i="21" s="1"/>
  <c r="BF58" i="21"/>
  <c r="BG58" i="21" s="1"/>
  <c r="BF58" i="22"/>
  <c r="BG58" i="22" s="1"/>
  <c r="BF22" i="22" l="1"/>
  <c r="BG22" i="22" s="1"/>
  <c r="BF22" i="17"/>
  <c r="BG22" i="17" s="1"/>
  <c r="BF28" i="16"/>
  <c r="BG28" i="16" s="1"/>
  <c r="BF22" i="15"/>
  <c r="BG22" i="15" s="1"/>
  <c r="BF28" i="21"/>
  <c r="BG28" i="21" s="1"/>
  <c r="BF22" i="16"/>
  <c r="BG22" i="16" s="1"/>
  <c r="BF28" i="15"/>
  <c r="BG28" i="15" s="1"/>
  <c r="BF16" i="21"/>
  <c r="BG16" i="21" s="1"/>
  <c r="BF28" i="18"/>
  <c r="BG28" i="18" s="1"/>
  <c r="BF34" i="16"/>
  <c r="BG34" i="16" s="1"/>
  <c r="BF34" i="21"/>
  <c r="BG34" i="21" s="1"/>
  <c r="BF22" i="18"/>
  <c r="BG22" i="18" s="1"/>
  <c r="BF16" i="16"/>
  <c r="BG16" i="16" s="1"/>
  <c r="BF16" i="18"/>
  <c r="BG16" i="18" s="1"/>
  <c r="BF34" i="15"/>
  <c r="BG34" i="15" s="1"/>
  <c r="BF28" i="17"/>
  <c r="BG28" i="17" s="1"/>
  <c r="BF34" i="22"/>
  <c r="BG34" i="22" s="1"/>
  <c r="BF28" i="22"/>
  <c r="BG28" i="22" s="1"/>
  <c r="BF34" i="18"/>
  <c r="BG34" i="18" s="1"/>
  <c r="BF16" i="15"/>
  <c r="BG16" i="15" s="1"/>
  <c r="BF22" i="21"/>
  <c r="BG22" i="21" s="1"/>
  <c r="BF16" i="22"/>
  <c r="BG16" i="22" s="1"/>
  <c r="BF16" i="17"/>
  <c r="BG16" i="17" s="1"/>
  <c r="BF34" i="17"/>
  <c r="BG34" i="17" s="1"/>
  <c r="BF52" i="18"/>
  <c r="BG52" i="18" s="1"/>
  <c r="BF46" i="18"/>
  <c r="BG46" i="18" s="1"/>
  <c r="BF40" i="18"/>
  <c r="BG40" i="18" s="1"/>
  <c r="BF58" i="18"/>
  <c r="BG58" i="18" s="1"/>
  <c r="BF58" i="17"/>
  <c r="BG58" i="17" s="1"/>
  <c r="BF52" i="17"/>
  <c r="BG52" i="17" s="1"/>
  <c r="BF40" i="17"/>
  <c r="BG40" i="17" s="1"/>
  <c r="BF40" i="16"/>
  <c r="BG40" i="16" s="1"/>
  <c r="BF46" i="17"/>
  <c r="BG46" i="17" s="1"/>
  <c r="BF46" i="16"/>
  <c r="BG46" i="16" s="1"/>
  <c r="BF52" i="15"/>
  <c r="BG52" i="15" s="1"/>
  <c r="BF40" i="15"/>
  <c r="BG40" i="15" s="1"/>
  <c r="BF58" i="16"/>
  <c r="BG58" i="16" s="1"/>
  <c r="BF58" i="15"/>
  <c r="BG58" i="15" s="1"/>
  <c r="BF52" i="16"/>
  <c r="BG52" i="16" s="1"/>
  <c r="BF46" i="15"/>
  <c r="BG46" i="15" s="1"/>
  <c r="E27" i="10" l="1"/>
  <c r="F27" i="10" s="1"/>
  <c r="G27" i="10" s="1"/>
  <c r="E29" i="10"/>
  <c r="F29" i="10" s="1"/>
  <c r="G29" i="10" s="1"/>
  <c r="E26" i="10"/>
  <c r="F26" i="10" s="1"/>
  <c r="BF57" i="21" l="1"/>
  <c r="BG57" i="21" s="1"/>
  <c r="BF39" i="22"/>
  <c r="BG39" i="22" s="1"/>
  <c r="BF51" i="21"/>
  <c r="BG51" i="21" s="1"/>
  <c r="BF51" i="22"/>
  <c r="BG51" i="22" s="1"/>
  <c r="BF57" i="22"/>
  <c r="BG57" i="22" s="1"/>
  <c r="BF45" i="22"/>
  <c r="BG45" i="22" s="1"/>
  <c r="BF45" i="21"/>
  <c r="BG45" i="21" s="1"/>
  <c r="BF39" i="21"/>
  <c r="BG39" i="21" s="1"/>
  <c r="BF51" i="18"/>
  <c r="BG51" i="18" s="1"/>
  <c r="BF45" i="18"/>
  <c r="BG45" i="18" s="1"/>
  <c r="BF57" i="18"/>
  <c r="BG57" i="18" s="1"/>
  <c r="BF39" i="18"/>
  <c r="BG39" i="18" s="1"/>
  <c r="BF45" i="17"/>
  <c r="BG45" i="17" s="1"/>
  <c r="BF57" i="17"/>
  <c r="BG57" i="17" s="1"/>
  <c r="BF51" i="17"/>
  <c r="BG51" i="17" s="1"/>
  <c r="BF39" i="17"/>
  <c r="BG39" i="17" s="1"/>
  <c r="BF57" i="15"/>
  <c r="BG57" i="15" s="1"/>
  <c r="BF45" i="16"/>
  <c r="BG45" i="16" s="1"/>
  <c r="BF51" i="15"/>
  <c r="BG51" i="15" s="1"/>
  <c r="BF51" i="16"/>
  <c r="BG51" i="16" s="1"/>
  <c r="BF39" i="16"/>
  <c r="BG39" i="16" s="1"/>
  <c r="BF39" i="15"/>
  <c r="BG39" i="15" s="1"/>
  <c r="BF57" i="16"/>
  <c r="BG57" i="16" s="1"/>
  <c r="BF45" i="15"/>
  <c r="BG45" i="15" s="1"/>
  <c r="G26" i="10"/>
  <c r="BF27" i="22" l="1"/>
  <c r="BG27" i="22" s="1"/>
  <c r="BF33" i="21"/>
  <c r="BG33" i="21" s="1"/>
  <c r="BF33" i="22"/>
  <c r="BG33" i="22" s="1"/>
  <c r="BF21" i="22"/>
  <c r="BG21" i="22" s="1"/>
  <c r="BF15" i="18"/>
  <c r="BG15" i="18" s="1"/>
  <c r="BF27" i="21"/>
  <c r="BG27" i="21" s="1"/>
  <c r="BF15" i="21"/>
  <c r="BG15" i="21" s="1"/>
  <c r="BF21" i="21"/>
  <c r="BG21" i="21" s="1"/>
  <c r="BF15" i="22"/>
  <c r="BG15" i="22" s="1"/>
  <c r="BF27" i="18"/>
  <c r="BG27" i="18" s="1"/>
  <c r="BF21" i="18"/>
  <c r="BG21" i="18" s="1"/>
  <c r="BF33" i="18"/>
  <c r="BG33" i="18" s="1"/>
  <c r="BF21" i="17"/>
  <c r="BG21" i="17" s="1"/>
  <c r="BF15" i="17"/>
  <c r="BG15" i="17" s="1"/>
  <c r="BF27" i="17"/>
  <c r="BG27" i="17" s="1"/>
  <c r="BF27" i="16"/>
  <c r="BG27" i="16" s="1"/>
  <c r="BF33" i="16"/>
  <c r="BG33" i="16" s="1"/>
  <c r="BF15" i="16"/>
  <c r="BG15" i="16" s="1"/>
  <c r="BF27" i="15"/>
  <c r="BG27" i="15" s="1"/>
  <c r="BF21" i="16"/>
  <c r="BG21" i="16" s="1"/>
  <c r="BF15" i="15"/>
  <c r="BG15" i="15" s="1"/>
  <c r="BF33" i="17"/>
  <c r="BG33" i="17" s="1"/>
  <c r="BF21" i="15"/>
  <c r="BG21" i="15" s="1"/>
  <c r="BF33" i="15"/>
  <c r="BG33" i="15" s="1"/>
  <c r="D19" i="10"/>
  <c r="D18" i="10"/>
  <c r="D17" i="10"/>
  <c r="D16" i="10"/>
  <c r="D15" i="10"/>
  <c r="D14" i="10"/>
  <c r="D12" i="10"/>
  <c r="K19" i="10"/>
  <c r="L19" i="10" s="1"/>
  <c r="M19" i="10" s="1"/>
  <c r="N19" i="10" s="1"/>
  <c r="K18" i="10"/>
  <c r="L18" i="10" s="1"/>
  <c r="M18" i="10" s="1"/>
  <c r="N18" i="10" s="1"/>
  <c r="K17" i="10"/>
  <c r="K16" i="10"/>
  <c r="L16" i="10" s="1"/>
  <c r="M16" i="10" s="1"/>
  <c r="N16" i="10" s="1"/>
  <c r="K15" i="10"/>
  <c r="L15" i="10" s="1"/>
  <c r="M15" i="10" s="1"/>
  <c r="N15" i="10" s="1"/>
  <c r="F11" i="10"/>
  <c r="G11" i="10" s="1"/>
  <c r="H11" i="10" s="1"/>
  <c r="L17" i="10" l="1"/>
  <c r="M17" i="10" s="1"/>
  <c r="N17" i="10" s="1"/>
  <c r="K14" i="10"/>
  <c r="L14" i="10" s="1"/>
  <c r="M14" i="10" s="1"/>
  <c r="N14" i="10" s="1"/>
  <c r="F14" i="10"/>
  <c r="G14" i="10" s="1"/>
  <c r="H14" i="10" s="1"/>
  <c r="L12" i="10"/>
  <c r="M12" i="10" s="1"/>
  <c r="N12" i="10" s="1"/>
  <c r="F12" i="10"/>
  <c r="G12" i="10" s="1"/>
  <c r="H12" i="10" s="1"/>
  <c r="F19" i="10"/>
  <c r="G19" i="10" s="1"/>
  <c r="H19" i="10" s="1"/>
  <c r="F18" i="10"/>
  <c r="G18" i="10" s="1"/>
  <c r="H18" i="10" s="1"/>
  <c r="F17" i="10"/>
  <c r="G17" i="10" s="1"/>
  <c r="H17" i="10" s="1"/>
  <c r="F16" i="10"/>
  <c r="G16" i="10" s="1"/>
  <c r="H16" i="10" s="1"/>
  <c r="F15" i="10"/>
  <c r="G15" i="10" s="1"/>
  <c r="H15" i="10" s="1"/>
  <c r="L11" i="10" l="1"/>
  <c r="M11" i="10" s="1"/>
  <c r="N11" i="10" s="1"/>
  <c r="BJ26" i="22"/>
  <c r="BK26" i="22" s="1"/>
  <c r="BL26" i="22" s="1"/>
  <c r="BJ38" i="21"/>
  <c r="BK38" i="21" s="1"/>
  <c r="BL38" i="21" s="1"/>
  <c r="BJ36" i="21"/>
  <c r="BK36" i="21" s="1"/>
  <c r="BL36" i="21" s="1"/>
  <c r="BJ34" i="21"/>
  <c r="BK34" i="21" s="1"/>
  <c r="BL34" i="21" s="1"/>
  <c r="BJ32" i="21"/>
  <c r="BK32" i="21" s="1"/>
  <c r="BL32" i="21" s="1"/>
  <c r="BJ30" i="21"/>
  <c r="BK30" i="21" s="1"/>
  <c r="BL30" i="21" s="1"/>
  <c r="BJ28" i="21"/>
  <c r="BK28" i="21" s="1"/>
  <c r="BL28" i="21" s="1"/>
  <c r="BJ26" i="21"/>
  <c r="BK26" i="21" s="1"/>
  <c r="BL26" i="21" s="1"/>
  <c r="BJ24" i="21"/>
  <c r="BK24" i="21" s="1"/>
  <c r="BL24" i="21" s="1"/>
  <c r="BJ22" i="21"/>
  <c r="BK22" i="21" s="1"/>
  <c r="BL22" i="21" s="1"/>
  <c r="BJ20" i="21"/>
  <c r="BK20" i="21" s="1"/>
  <c r="BL20" i="21" s="1"/>
  <c r="BJ18" i="21"/>
  <c r="BK18" i="21" s="1"/>
  <c r="BL18" i="21" s="1"/>
  <c r="BJ16" i="21"/>
  <c r="BK16" i="21" s="1"/>
  <c r="BL16" i="21" s="1"/>
  <c r="BJ38" i="22"/>
  <c r="BK38" i="22" s="1"/>
  <c r="BL38" i="22" s="1"/>
  <c r="BJ27" i="22"/>
  <c r="BK27" i="22" s="1"/>
  <c r="BL27" i="22" s="1"/>
  <c r="BJ21" i="22"/>
  <c r="BK21" i="22" s="1"/>
  <c r="BL21" i="22" s="1"/>
  <c r="BJ29" i="22"/>
  <c r="BK29" i="22" s="1"/>
  <c r="BL29" i="22" s="1"/>
  <c r="BJ28" i="22"/>
  <c r="BK28" i="22" s="1"/>
  <c r="BL28" i="22" s="1"/>
  <c r="BJ25" i="22"/>
  <c r="BK25" i="22" s="1"/>
  <c r="BL25" i="22" s="1"/>
  <c r="BJ24" i="22"/>
  <c r="BK24" i="22" s="1"/>
  <c r="BL24" i="22" s="1"/>
  <c r="BJ30" i="22"/>
  <c r="BK30" i="22" s="1"/>
  <c r="BL30" i="22" s="1"/>
  <c r="BJ32" i="22"/>
  <c r="BK32" i="22" s="1"/>
  <c r="BL32" i="22" s="1"/>
  <c r="BJ22" i="22"/>
  <c r="BK22" i="22" s="1"/>
  <c r="BL22" i="22" s="1"/>
  <c r="BJ18" i="22"/>
  <c r="BK18" i="22" s="1"/>
  <c r="BL18" i="22" s="1"/>
  <c r="BJ17" i="22"/>
  <c r="BK17" i="22" s="1"/>
  <c r="BL17" i="22" s="1"/>
  <c r="BJ35" i="21"/>
  <c r="BK35" i="21" s="1"/>
  <c r="BL35" i="21" s="1"/>
  <c r="BJ31" i="21"/>
  <c r="BK31" i="21" s="1"/>
  <c r="BL31" i="21" s="1"/>
  <c r="BJ27" i="21"/>
  <c r="BK27" i="21" s="1"/>
  <c r="BL27" i="21" s="1"/>
  <c r="BJ21" i="21"/>
  <c r="BK21" i="21" s="1"/>
  <c r="BL21" i="21" s="1"/>
  <c r="BJ17" i="21"/>
  <c r="BK17" i="21" s="1"/>
  <c r="BL17" i="21" s="1"/>
  <c r="BJ33" i="22"/>
  <c r="BK33" i="22" s="1"/>
  <c r="BL33" i="22" s="1"/>
  <c r="BJ31" i="22"/>
  <c r="BK31" i="22" s="1"/>
  <c r="BL31" i="22" s="1"/>
  <c r="BJ23" i="22"/>
  <c r="BK23" i="22" s="1"/>
  <c r="BL23" i="22" s="1"/>
  <c r="BJ16" i="22"/>
  <c r="BK16" i="22" s="1"/>
  <c r="BL16" i="22" s="1"/>
  <c r="BJ15" i="22"/>
  <c r="BK15" i="22" s="1"/>
  <c r="BL15" i="22" s="1"/>
  <c r="BJ37" i="21"/>
  <c r="BK37" i="21" s="1"/>
  <c r="BL37" i="21" s="1"/>
  <c r="BJ33" i="21"/>
  <c r="BK33" i="21" s="1"/>
  <c r="BL33" i="21" s="1"/>
  <c r="BJ29" i="21"/>
  <c r="BK29" i="21" s="1"/>
  <c r="BL29" i="21" s="1"/>
  <c r="BJ25" i="21"/>
  <c r="BK25" i="21" s="1"/>
  <c r="BL25" i="21" s="1"/>
  <c r="BJ23" i="21"/>
  <c r="BK23" i="21" s="1"/>
  <c r="BL23" i="21" s="1"/>
  <c r="BJ19" i="21"/>
  <c r="BK19" i="21" s="1"/>
  <c r="BL19" i="21" s="1"/>
  <c r="BJ37" i="22"/>
  <c r="BK37" i="22" s="1"/>
  <c r="BL37" i="22" s="1"/>
  <c r="BJ36" i="22"/>
  <c r="BK36" i="22" s="1"/>
  <c r="BL36" i="22" s="1"/>
  <c r="BJ34" i="22"/>
  <c r="BK34" i="22" s="1"/>
  <c r="BL34" i="22" s="1"/>
  <c r="BJ15" i="21"/>
  <c r="BK15" i="21" s="1"/>
  <c r="BL15" i="21" s="1"/>
  <c r="BJ19" i="22"/>
  <c r="BK19" i="22" s="1"/>
  <c r="BL19" i="22" s="1"/>
  <c r="BJ35" i="22"/>
  <c r="BK35" i="22" s="1"/>
  <c r="BL35" i="22" s="1"/>
  <c r="BJ20" i="22"/>
  <c r="BK20" i="22" s="1"/>
  <c r="BL20" i="22" s="1"/>
  <c r="BJ38" i="18"/>
  <c r="BK38" i="18" s="1"/>
  <c r="BL38" i="18" s="1"/>
  <c r="BJ24" i="18"/>
  <c r="BK24" i="18" s="1"/>
  <c r="BL24" i="18" s="1"/>
  <c r="BJ22" i="18"/>
  <c r="BK22" i="18" s="1"/>
  <c r="BL22" i="18" s="1"/>
  <c r="BJ20" i="18"/>
  <c r="BK20" i="18" s="1"/>
  <c r="BL20" i="18" s="1"/>
  <c r="BJ37" i="18"/>
  <c r="BK37" i="18" s="1"/>
  <c r="BL37" i="18" s="1"/>
  <c r="BJ27" i="18"/>
  <c r="BK27" i="18" s="1"/>
  <c r="BL27" i="18" s="1"/>
  <c r="BJ23" i="18"/>
  <c r="BK23" i="18" s="1"/>
  <c r="BL23" i="18" s="1"/>
  <c r="BJ21" i="18"/>
  <c r="BK21" i="18" s="1"/>
  <c r="BL21" i="18" s="1"/>
  <c r="T21" i="18" s="1"/>
  <c r="BJ36" i="18"/>
  <c r="BK36" i="18" s="1"/>
  <c r="BL36" i="18" s="1"/>
  <c r="BJ35" i="18"/>
  <c r="BK35" i="18" s="1"/>
  <c r="BL35" i="18" s="1"/>
  <c r="BJ32" i="18"/>
  <c r="BK32" i="18" s="1"/>
  <c r="BL32" i="18" s="1"/>
  <c r="BJ19" i="18"/>
  <c r="BK19" i="18" s="1"/>
  <c r="BL19" i="18" s="1"/>
  <c r="BJ33" i="18"/>
  <c r="BK33" i="18" s="1"/>
  <c r="BL33" i="18" s="1"/>
  <c r="BJ18" i="18"/>
  <c r="BK18" i="18" s="1"/>
  <c r="BL18" i="18" s="1"/>
  <c r="BJ31" i="18"/>
  <c r="BK31" i="18" s="1"/>
  <c r="BL31" i="18" s="1"/>
  <c r="BJ34" i="18"/>
  <c r="BK34" i="18" s="1"/>
  <c r="BL34" i="18" s="1"/>
  <c r="BJ28" i="18"/>
  <c r="BK28" i="18" s="1"/>
  <c r="BL28" i="18" s="1"/>
  <c r="BJ17" i="18"/>
  <c r="BK17" i="18" s="1"/>
  <c r="BL17" i="18" s="1"/>
  <c r="T17" i="18" s="1"/>
  <c r="U17" i="18" s="1"/>
  <c r="BJ15" i="18"/>
  <c r="BK15" i="18" s="1"/>
  <c r="BJ30" i="18"/>
  <c r="BK30" i="18" s="1"/>
  <c r="BL30" i="18" s="1"/>
  <c r="BJ26" i="18"/>
  <c r="BK26" i="18" s="1"/>
  <c r="BL26" i="18" s="1"/>
  <c r="BJ25" i="18"/>
  <c r="BK25" i="18" s="1"/>
  <c r="BL25" i="18" s="1"/>
  <c r="BJ16" i="18"/>
  <c r="BK16" i="18" s="1"/>
  <c r="BL16" i="18" s="1"/>
  <c r="BJ29" i="18"/>
  <c r="BK29" i="18" s="1"/>
  <c r="BL29" i="18" s="1"/>
  <c r="BJ35" i="17"/>
  <c r="BK35" i="17" s="1"/>
  <c r="BL35" i="17" s="1"/>
  <c r="BJ34" i="17"/>
  <c r="BK34" i="17" s="1"/>
  <c r="BL34" i="17" s="1"/>
  <c r="BJ31" i="17"/>
  <c r="BK31" i="17" s="1"/>
  <c r="BL31" i="17" s="1"/>
  <c r="BJ22" i="17"/>
  <c r="BK22" i="17" s="1"/>
  <c r="BL22" i="17" s="1"/>
  <c r="BJ20" i="17"/>
  <c r="BK20" i="17" s="1"/>
  <c r="BL20" i="17" s="1"/>
  <c r="BJ37" i="17"/>
  <c r="BK37" i="17" s="1"/>
  <c r="BL37" i="17" s="1"/>
  <c r="BJ33" i="17"/>
  <c r="BK33" i="17" s="1"/>
  <c r="BL33" i="17" s="1"/>
  <c r="BJ29" i="17"/>
  <c r="BK29" i="17" s="1"/>
  <c r="BL29" i="17" s="1"/>
  <c r="BJ27" i="17"/>
  <c r="BK27" i="17" s="1"/>
  <c r="BL27" i="17" s="1"/>
  <c r="BJ25" i="17"/>
  <c r="BK25" i="17" s="1"/>
  <c r="BL25" i="17" s="1"/>
  <c r="BJ18" i="17"/>
  <c r="BK18" i="17" s="1"/>
  <c r="BL18" i="17" s="1"/>
  <c r="BJ17" i="17"/>
  <c r="BK17" i="17" s="1"/>
  <c r="BL17" i="17" s="1"/>
  <c r="BJ26" i="17"/>
  <c r="BK26" i="17" s="1"/>
  <c r="BL26" i="17" s="1"/>
  <c r="BJ23" i="17"/>
  <c r="BK23" i="17" s="1"/>
  <c r="BL23" i="17" s="1"/>
  <c r="BJ19" i="17"/>
  <c r="BK19" i="17" s="1"/>
  <c r="BL19" i="17" s="1"/>
  <c r="BJ15" i="17"/>
  <c r="BK15" i="17" s="1"/>
  <c r="BL15" i="17" s="1"/>
  <c r="BJ38" i="16"/>
  <c r="BK38" i="16" s="1"/>
  <c r="BL38" i="16" s="1"/>
  <c r="BJ36" i="16"/>
  <c r="BK36" i="16" s="1"/>
  <c r="BL36" i="16" s="1"/>
  <c r="BJ32" i="16"/>
  <c r="BK32" i="16" s="1"/>
  <c r="BL32" i="16" s="1"/>
  <c r="BJ38" i="17"/>
  <c r="BK38" i="17" s="1"/>
  <c r="BL38" i="17" s="1"/>
  <c r="BJ34" i="16"/>
  <c r="BK34" i="16" s="1"/>
  <c r="BL34" i="16" s="1"/>
  <c r="BJ31" i="16"/>
  <c r="BK31" i="16" s="1"/>
  <c r="BL31" i="16" s="1"/>
  <c r="BJ26" i="16"/>
  <c r="BK26" i="16" s="1"/>
  <c r="BL26" i="16" s="1"/>
  <c r="BJ24" i="16"/>
  <c r="BK24" i="16" s="1"/>
  <c r="BL24" i="16" s="1"/>
  <c r="BJ19" i="16"/>
  <c r="BK19" i="16" s="1"/>
  <c r="BL19" i="16" s="1"/>
  <c r="BJ16" i="16"/>
  <c r="BK16" i="16" s="1"/>
  <c r="BL16" i="16" s="1"/>
  <c r="BJ28" i="17"/>
  <c r="BK28" i="17" s="1"/>
  <c r="BL28" i="17" s="1"/>
  <c r="BJ35" i="16"/>
  <c r="BK35" i="16" s="1"/>
  <c r="BL35" i="16" s="1"/>
  <c r="BJ25" i="16"/>
  <c r="BK25" i="16" s="1"/>
  <c r="BL25" i="16" s="1"/>
  <c r="BJ23" i="16"/>
  <c r="BK23" i="16" s="1"/>
  <c r="BL23" i="16" s="1"/>
  <c r="BJ21" i="16"/>
  <c r="BK21" i="16" s="1"/>
  <c r="BL21" i="16" s="1"/>
  <c r="BJ34" i="15"/>
  <c r="BK34" i="15" s="1"/>
  <c r="BL34" i="15" s="1"/>
  <c r="BJ28" i="15"/>
  <c r="BK28" i="15" s="1"/>
  <c r="BL28" i="15" s="1"/>
  <c r="BJ25" i="15"/>
  <c r="BK25" i="15" s="1"/>
  <c r="BL25" i="15" s="1"/>
  <c r="BJ24" i="15"/>
  <c r="BK24" i="15" s="1"/>
  <c r="BL24" i="15" s="1"/>
  <c r="BJ21" i="15"/>
  <c r="BK21" i="15" s="1"/>
  <c r="BL21" i="15" s="1"/>
  <c r="BJ20" i="15"/>
  <c r="BK20" i="15" s="1"/>
  <c r="BL20" i="15" s="1"/>
  <c r="BJ15" i="15"/>
  <c r="BK15" i="15" s="1"/>
  <c r="BL15" i="15" s="1"/>
  <c r="BJ21" i="17"/>
  <c r="BK21" i="17" s="1"/>
  <c r="BL21" i="17" s="1"/>
  <c r="BJ16" i="17"/>
  <c r="BK16" i="17" s="1"/>
  <c r="BL16" i="17" s="1"/>
  <c r="BJ28" i="16"/>
  <c r="BK28" i="16" s="1"/>
  <c r="BL28" i="16" s="1"/>
  <c r="BJ37" i="16"/>
  <c r="BK37" i="16" s="1"/>
  <c r="BL37" i="16" s="1"/>
  <c r="BJ18" i="16"/>
  <c r="BK18" i="16" s="1"/>
  <c r="BL18" i="16" s="1"/>
  <c r="BJ17" i="16"/>
  <c r="BK17" i="16" s="1"/>
  <c r="BL17" i="16" s="1"/>
  <c r="BJ15" i="16"/>
  <c r="BK15" i="16" s="1"/>
  <c r="BL15" i="16" s="1"/>
  <c r="BJ38" i="15"/>
  <c r="BK38" i="15" s="1"/>
  <c r="BL38" i="15" s="1"/>
  <c r="BJ35" i="15"/>
  <c r="BK35" i="15" s="1"/>
  <c r="BL35" i="15" s="1"/>
  <c r="BJ31" i="15"/>
  <c r="BK31" i="15" s="1"/>
  <c r="BL31" i="15" s="1"/>
  <c r="BJ26" i="15"/>
  <c r="BK26" i="15" s="1"/>
  <c r="BL26" i="15" s="1"/>
  <c r="BJ23" i="15"/>
  <c r="BK23" i="15" s="1"/>
  <c r="BL23" i="15" s="1"/>
  <c r="BJ17" i="15"/>
  <c r="BK17" i="15" s="1"/>
  <c r="BL17" i="15" s="1"/>
  <c r="BJ32" i="17"/>
  <c r="BK32" i="17" s="1"/>
  <c r="BL32" i="17" s="1"/>
  <c r="BJ30" i="17"/>
  <c r="BK30" i="17" s="1"/>
  <c r="BL30" i="17" s="1"/>
  <c r="BJ24" i="17"/>
  <c r="BK24" i="17" s="1"/>
  <c r="BL24" i="17" s="1"/>
  <c r="BJ27" i="16"/>
  <c r="BK27" i="16" s="1"/>
  <c r="BL27" i="16" s="1"/>
  <c r="BJ20" i="16"/>
  <c r="BK20" i="16" s="1"/>
  <c r="BL20" i="16" s="1"/>
  <c r="BJ37" i="15"/>
  <c r="BK37" i="15" s="1"/>
  <c r="BL37" i="15" s="1"/>
  <c r="BJ33" i="15"/>
  <c r="BK33" i="15" s="1"/>
  <c r="BL33" i="15" s="1"/>
  <c r="BJ27" i="15"/>
  <c r="BK27" i="15" s="1"/>
  <c r="BL27" i="15" s="1"/>
  <c r="BJ22" i="15"/>
  <c r="BK22" i="15" s="1"/>
  <c r="BL22" i="15" s="1"/>
  <c r="BJ36" i="17"/>
  <c r="BK36" i="17" s="1"/>
  <c r="BL36" i="17" s="1"/>
  <c r="BJ33" i="16"/>
  <c r="BK33" i="16" s="1"/>
  <c r="BL33" i="16" s="1"/>
  <c r="BJ22" i="16"/>
  <c r="BK22" i="16" s="1"/>
  <c r="BL22" i="16" s="1"/>
  <c r="BJ32" i="15"/>
  <c r="BK32" i="15" s="1"/>
  <c r="BL32" i="15" s="1"/>
  <c r="BJ19" i="15"/>
  <c r="BK19" i="15" s="1"/>
  <c r="BL19" i="15" s="1"/>
  <c r="BJ18" i="15"/>
  <c r="BK18" i="15" s="1"/>
  <c r="BL18" i="15" s="1"/>
  <c r="BJ30" i="16"/>
  <c r="BK30" i="16" s="1"/>
  <c r="BL30" i="16" s="1"/>
  <c r="BJ16" i="15"/>
  <c r="BK16" i="15" s="1"/>
  <c r="BL16" i="15" s="1"/>
  <c r="BJ29" i="16"/>
  <c r="BK29" i="16" s="1"/>
  <c r="BL29" i="16" s="1"/>
  <c r="BJ36" i="15"/>
  <c r="BK36" i="15" s="1"/>
  <c r="BL36" i="15" s="1"/>
  <c r="BJ30" i="15"/>
  <c r="BK30" i="15" s="1"/>
  <c r="BL30" i="15" s="1"/>
  <c r="BJ29" i="15"/>
  <c r="BK29" i="15" s="1"/>
  <c r="BL29" i="15" s="1"/>
  <c r="D13" i="10"/>
  <c r="F13" i="10"/>
  <c r="G13" i="10" s="1"/>
  <c r="T20" i="22" l="1"/>
  <c r="BP20" i="22"/>
  <c r="BP23" i="21"/>
  <c r="T23" i="21"/>
  <c r="BP31" i="22"/>
  <c r="T31" i="22"/>
  <c r="T18" i="22"/>
  <c r="BP18" i="22"/>
  <c r="T21" i="22"/>
  <c r="BP21" i="22"/>
  <c r="T26" i="21"/>
  <c r="BP26" i="21"/>
  <c r="T35" i="22"/>
  <c r="BP35" i="22"/>
  <c r="T25" i="21"/>
  <c r="BP25" i="21"/>
  <c r="T33" i="22"/>
  <c r="BP33" i="22"/>
  <c r="T22" i="22"/>
  <c r="BP22" i="22"/>
  <c r="BP27" i="22"/>
  <c r="T27" i="22"/>
  <c r="T28" i="21"/>
  <c r="BP28" i="21"/>
  <c r="T19" i="22"/>
  <c r="BP19" i="22"/>
  <c r="T29" i="21"/>
  <c r="BP29" i="21"/>
  <c r="T17" i="21"/>
  <c r="BP17" i="21"/>
  <c r="BP32" i="22"/>
  <c r="T32" i="22"/>
  <c r="BP38" i="22"/>
  <c r="T38" i="22"/>
  <c r="T30" i="21"/>
  <c r="BP30" i="21"/>
  <c r="T15" i="21"/>
  <c r="BP15" i="21"/>
  <c r="T33" i="21"/>
  <c r="BP33" i="21"/>
  <c r="BP21" i="21"/>
  <c r="T21" i="21"/>
  <c r="BP30" i="22"/>
  <c r="T30" i="22"/>
  <c r="T16" i="21"/>
  <c r="BP16" i="21"/>
  <c r="BP32" i="21"/>
  <c r="T32" i="21"/>
  <c r="BP34" i="22"/>
  <c r="T34" i="22"/>
  <c r="T37" i="21"/>
  <c r="BP37" i="21"/>
  <c r="BP27" i="21"/>
  <c r="T27" i="21"/>
  <c r="T24" i="22"/>
  <c r="BP24" i="22"/>
  <c r="BP18" i="21"/>
  <c r="T18" i="21"/>
  <c r="BP34" i="21"/>
  <c r="T34" i="21"/>
  <c r="BL15" i="18"/>
  <c r="T15" i="18" s="1"/>
  <c r="U15" i="18" s="1"/>
  <c r="T36" i="22"/>
  <c r="BP36" i="22"/>
  <c r="T15" i="22"/>
  <c r="BP15" i="22"/>
  <c r="BP31" i="21"/>
  <c r="T31" i="21"/>
  <c r="T25" i="22"/>
  <c r="BP25" i="22"/>
  <c r="T20" i="21"/>
  <c r="BP20" i="21"/>
  <c r="BP36" i="21"/>
  <c r="T36" i="21"/>
  <c r="T37" i="22"/>
  <c r="BP37" i="22"/>
  <c r="T16" i="22"/>
  <c r="BP16" i="22"/>
  <c r="T35" i="21"/>
  <c r="BP35" i="21"/>
  <c r="BP28" i="22"/>
  <c r="T28" i="22"/>
  <c r="T22" i="21"/>
  <c r="BP22" i="21"/>
  <c r="T38" i="21"/>
  <c r="BP38" i="21"/>
  <c r="BP19" i="21"/>
  <c r="T19" i="21"/>
  <c r="BP23" i="22"/>
  <c r="T23" i="22"/>
  <c r="BP17" i="22"/>
  <c r="T17" i="22"/>
  <c r="T29" i="22"/>
  <c r="BP29" i="22"/>
  <c r="BP24" i="21"/>
  <c r="T24" i="21"/>
  <c r="T26" i="22"/>
  <c r="BP26" i="22"/>
  <c r="U21" i="18"/>
  <c r="T16" i="18"/>
  <c r="U16" i="18" s="1"/>
  <c r="T31" i="18"/>
  <c r="T23" i="18"/>
  <c r="T29" i="18"/>
  <c r="T25" i="18"/>
  <c r="T18" i="18"/>
  <c r="U18" i="18" s="1"/>
  <c r="T27" i="18"/>
  <c r="T26" i="18"/>
  <c r="T33" i="18"/>
  <c r="T37" i="18"/>
  <c r="T30" i="18"/>
  <c r="T19" i="18"/>
  <c r="U19" i="18" s="1"/>
  <c r="T20" i="18"/>
  <c r="U20" i="18" s="1"/>
  <c r="T32" i="18"/>
  <c r="T22" i="18"/>
  <c r="T34" i="18"/>
  <c r="T35" i="18"/>
  <c r="T24" i="18"/>
  <c r="T28" i="18"/>
  <c r="T36" i="18"/>
  <c r="T38" i="18"/>
  <c r="T30" i="15"/>
  <c r="T37" i="15"/>
  <c r="T23" i="15"/>
  <c r="T37" i="16"/>
  <c r="T21" i="15"/>
  <c r="T35" i="16"/>
  <c r="T38" i="17"/>
  <c r="T17" i="17"/>
  <c r="T22" i="17"/>
  <c r="T36" i="15"/>
  <c r="T22" i="16"/>
  <c r="T20" i="16"/>
  <c r="T26" i="15"/>
  <c r="T28" i="16"/>
  <c r="T24" i="15"/>
  <c r="T28" i="17"/>
  <c r="T32" i="16"/>
  <c r="T18" i="17"/>
  <c r="T31" i="17"/>
  <c r="T29" i="16"/>
  <c r="T18" i="15"/>
  <c r="T33" i="16"/>
  <c r="T27" i="15"/>
  <c r="T27" i="16"/>
  <c r="T31" i="15"/>
  <c r="T17" i="16"/>
  <c r="T16" i="17"/>
  <c r="T15" i="15"/>
  <c r="T25" i="15"/>
  <c r="T23" i="16"/>
  <c r="T16" i="16"/>
  <c r="T31" i="16"/>
  <c r="T36" i="16"/>
  <c r="T23" i="17"/>
  <c r="T25" i="17"/>
  <c r="T37" i="17"/>
  <c r="T34" i="17"/>
  <c r="T32" i="15"/>
  <c r="T30" i="17"/>
  <c r="T38" i="15"/>
  <c r="T34" i="15"/>
  <c r="T24" i="16"/>
  <c r="T15" i="17"/>
  <c r="T29" i="17"/>
  <c r="T30" i="16"/>
  <c r="T22" i="15"/>
  <c r="T32" i="17"/>
  <c r="T15" i="16"/>
  <c r="T21" i="16"/>
  <c r="T26" i="16"/>
  <c r="T19" i="17"/>
  <c r="T33" i="17"/>
  <c r="T29" i="15"/>
  <c r="T16" i="15"/>
  <c r="T19" i="15"/>
  <c r="T36" i="17"/>
  <c r="T33" i="15"/>
  <c r="T24" i="17"/>
  <c r="T17" i="15"/>
  <c r="T35" i="15"/>
  <c r="T18" i="16"/>
  <c r="T21" i="17"/>
  <c r="T20" i="15"/>
  <c r="T28" i="15"/>
  <c r="T25" i="16"/>
  <c r="T19" i="16"/>
  <c r="T34" i="16"/>
  <c r="T38" i="16"/>
  <c r="T26" i="17"/>
  <c r="T27" i="17"/>
  <c r="T20" i="17"/>
  <c r="T35" i="17"/>
  <c r="H13" i="10"/>
  <c r="L13" i="10"/>
  <c r="M13" i="10" s="1"/>
  <c r="N13" i="10" s="1"/>
  <c r="F63" i="10"/>
  <c r="F61" i="10"/>
  <c r="G61" i="10" s="1"/>
  <c r="F60" i="10"/>
  <c r="G60" i="10" s="1"/>
  <c r="F62" i="10"/>
  <c r="AH24" i="21" l="1"/>
  <c r="AI24" i="21" s="1"/>
  <c r="U24" i="21"/>
  <c r="Z24" i="21" s="1"/>
  <c r="U19" i="21"/>
  <c r="Z19" i="21" s="1"/>
  <c r="AH19" i="21"/>
  <c r="AI19" i="21" s="1"/>
  <c r="AH32" i="21"/>
  <c r="AI32" i="21" s="1"/>
  <c r="U32" i="21"/>
  <c r="Z32" i="21" s="1"/>
  <c r="U32" i="22"/>
  <c r="Z32" i="22" s="1"/>
  <c r="AH32" i="22"/>
  <c r="AI32" i="22" s="1"/>
  <c r="AH35" i="21"/>
  <c r="AI35" i="21" s="1"/>
  <c r="U35" i="21"/>
  <c r="Z35" i="21" s="1"/>
  <c r="U20" i="21"/>
  <c r="Z20" i="21" s="1"/>
  <c r="AH20" i="21"/>
  <c r="AI20" i="21" s="1"/>
  <c r="AH36" i="22"/>
  <c r="AI36" i="22" s="1"/>
  <c r="U36" i="22"/>
  <c r="Z36" i="22" s="1"/>
  <c r="U24" i="22"/>
  <c r="Z24" i="22" s="1"/>
  <c r="AH24" i="22"/>
  <c r="AI24" i="22" s="1"/>
  <c r="AH33" i="21"/>
  <c r="AI33" i="21" s="1"/>
  <c r="U33" i="21"/>
  <c r="AH28" i="21"/>
  <c r="AI28" i="21" s="1"/>
  <c r="U28" i="21"/>
  <c r="AH25" i="21"/>
  <c r="AI25" i="21" s="1"/>
  <c r="U25" i="21"/>
  <c r="Z25" i="21" s="1"/>
  <c r="U18" i="22"/>
  <c r="Z18" i="22" s="1"/>
  <c r="AH18" i="22"/>
  <c r="AI18" i="22" s="1"/>
  <c r="U27" i="21"/>
  <c r="AH27" i="21"/>
  <c r="AI27" i="21" s="1"/>
  <c r="U27" i="22"/>
  <c r="AH27" i="22"/>
  <c r="AI27" i="22" s="1"/>
  <c r="AH31" i="22"/>
  <c r="AI31" i="22" s="1"/>
  <c r="U31" i="22"/>
  <c r="Z31" i="22" s="1"/>
  <c r="AH29" i="22"/>
  <c r="AI29" i="22" s="1"/>
  <c r="U29" i="22"/>
  <c r="Z29" i="22" s="1"/>
  <c r="AH38" i="21"/>
  <c r="AI38" i="21" s="1"/>
  <c r="U38" i="21"/>
  <c r="Z38" i="21" s="1"/>
  <c r="U16" i="22"/>
  <c r="AH16" i="22"/>
  <c r="AI16" i="22" s="1"/>
  <c r="U25" i="22"/>
  <c r="Z25" i="22" s="1"/>
  <c r="AH25" i="22"/>
  <c r="AI25" i="22" s="1"/>
  <c r="AH16" i="21"/>
  <c r="AI16" i="21" s="1"/>
  <c r="U16" i="21"/>
  <c r="AH15" i="21"/>
  <c r="AI15" i="21" s="1"/>
  <c r="U15" i="21"/>
  <c r="AH17" i="21"/>
  <c r="AI17" i="21" s="1"/>
  <c r="U17" i="21"/>
  <c r="Z17" i="21" s="1"/>
  <c r="U35" i="22"/>
  <c r="Z35" i="22" s="1"/>
  <c r="AH35" i="22"/>
  <c r="AI35" i="22" s="1"/>
  <c r="U17" i="22"/>
  <c r="Z17" i="22" s="1"/>
  <c r="AH17" i="22"/>
  <c r="AI17" i="22" s="1"/>
  <c r="U31" i="21"/>
  <c r="Z31" i="21" s="1"/>
  <c r="AH31" i="21"/>
  <c r="AI31" i="21" s="1"/>
  <c r="AH34" i="21"/>
  <c r="AI34" i="21" s="1"/>
  <c r="U34" i="21"/>
  <c r="AH30" i="22"/>
  <c r="AI30" i="22" s="1"/>
  <c r="U30" i="22"/>
  <c r="Z30" i="22" s="1"/>
  <c r="AH23" i="21"/>
  <c r="AI23" i="21" s="1"/>
  <c r="U23" i="21"/>
  <c r="Z23" i="21" s="1"/>
  <c r="AH22" i="21"/>
  <c r="AI22" i="21" s="1"/>
  <c r="U22" i="21"/>
  <c r="U37" i="22"/>
  <c r="Z37" i="22" s="1"/>
  <c r="AH37" i="22"/>
  <c r="AI37" i="22" s="1"/>
  <c r="AH37" i="21"/>
  <c r="AI37" i="21" s="1"/>
  <c r="U37" i="21"/>
  <c r="Z37" i="21" s="1"/>
  <c r="AH30" i="21"/>
  <c r="AI30" i="21" s="1"/>
  <c r="U30" i="21"/>
  <c r="Z30" i="21" s="1"/>
  <c r="AH29" i="21"/>
  <c r="AI29" i="21" s="1"/>
  <c r="U29" i="21"/>
  <c r="Z29" i="21" s="1"/>
  <c r="AH22" i="22"/>
  <c r="AI22" i="22" s="1"/>
  <c r="U22" i="22"/>
  <c r="AH26" i="21"/>
  <c r="AI26" i="21" s="1"/>
  <c r="U26" i="21"/>
  <c r="Z26" i="21" s="1"/>
  <c r="U23" i="22"/>
  <c r="Z23" i="22" s="1"/>
  <c r="AH23" i="22"/>
  <c r="AI23" i="22" s="1"/>
  <c r="AH28" i="22"/>
  <c r="AI28" i="22" s="1"/>
  <c r="U28" i="22"/>
  <c r="AH36" i="21"/>
  <c r="AI36" i="21" s="1"/>
  <c r="U36" i="21"/>
  <c r="Z36" i="21" s="1"/>
  <c r="U18" i="21"/>
  <c r="Z18" i="21" s="1"/>
  <c r="AH18" i="21"/>
  <c r="AI18" i="21" s="1"/>
  <c r="U34" i="22"/>
  <c r="AH34" i="22"/>
  <c r="AI34" i="22" s="1"/>
  <c r="U21" i="21"/>
  <c r="AH21" i="21"/>
  <c r="AI21" i="21" s="1"/>
  <c r="AH38" i="22"/>
  <c r="AI38" i="22" s="1"/>
  <c r="U38" i="22"/>
  <c r="Z38" i="22" s="1"/>
  <c r="BJ62" i="21"/>
  <c r="BK62" i="21" s="1"/>
  <c r="BL62" i="21" s="1"/>
  <c r="BJ60" i="21"/>
  <c r="BK60" i="21" s="1"/>
  <c r="BL60" i="21" s="1"/>
  <c r="BJ58" i="21"/>
  <c r="BK58" i="21" s="1"/>
  <c r="BL58" i="21" s="1"/>
  <c r="BJ56" i="21"/>
  <c r="BK56" i="21" s="1"/>
  <c r="BL56" i="21" s="1"/>
  <c r="BJ54" i="21"/>
  <c r="BK54" i="21" s="1"/>
  <c r="BL54" i="21" s="1"/>
  <c r="BJ52" i="21"/>
  <c r="BK52" i="21" s="1"/>
  <c r="BL52" i="21" s="1"/>
  <c r="BJ50" i="21"/>
  <c r="BK50" i="21" s="1"/>
  <c r="BL50" i="21" s="1"/>
  <c r="BJ48" i="21"/>
  <c r="BK48" i="21" s="1"/>
  <c r="BL48" i="21" s="1"/>
  <c r="BJ46" i="21"/>
  <c r="BK46" i="21" s="1"/>
  <c r="BL46" i="21" s="1"/>
  <c r="BJ44" i="21"/>
  <c r="BK44" i="21" s="1"/>
  <c r="BL44" i="21" s="1"/>
  <c r="BJ42" i="21"/>
  <c r="BK42" i="21" s="1"/>
  <c r="BL42" i="21" s="1"/>
  <c r="BJ40" i="21"/>
  <c r="BK40" i="21" s="1"/>
  <c r="BL40" i="21" s="1"/>
  <c r="BJ51" i="22"/>
  <c r="BK51" i="22" s="1"/>
  <c r="BL51" i="22" s="1"/>
  <c r="BJ41" i="22"/>
  <c r="BK41" i="22" s="1"/>
  <c r="BL41" i="22" s="1"/>
  <c r="BJ40" i="22"/>
  <c r="BK40" i="22" s="1"/>
  <c r="BL40" i="22" s="1"/>
  <c r="BJ55" i="22"/>
  <c r="BK55" i="22" s="1"/>
  <c r="BL55" i="22" s="1"/>
  <c r="BJ52" i="22"/>
  <c r="BK52" i="22" s="1"/>
  <c r="BL52" i="22" s="1"/>
  <c r="BJ46" i="22"/>
  <c r="BK46" i="22" s="1"/>
  <c r="BL46" i="22" s="1"/>
  <c r="BJ45" i="22"/>
  <c r="BK45" i="22" s="1"/>
  <c r="BL45" i="22" s="1"/>
  <c r="BJ44" i="22"/>
  <c r="BK44" i="22" s="1"/>
  <c r="BL44" i="22" s="1"/>
  <c r="BJ42" i="22"/>
  <c r="BK42" i="22" s="1"/>
  <c r="BL42" i="22" s="1"/>
  <c r="BJ53" i="21"/>
  <c r="BK53" i="21" s="1"/>
  <c r="BL53" i="21" s="1"/>
  <c r="BJ49" i="21"/>
  <c r="BK49" i="21" s="1"/>
  <c r="BL49" i="21" s="1"/>
  <c r="BJ45" i="21"/>
  <c r="BK45" i="21" s="1"/>
  <c r="BL45" i="21" s="1"/>
  <c r="BJ41" i="21"/>
  <c r="BK41" i="21" s="1"/>
  <c r="BL41" i="21" s="1"/>
  <c r="BJ56" i="22"/>
  <c r="BK56" i="22" s="1"/>
  <c r="BL56" i="22" s="1"/>
  <c r="BJ54" i="22"/>
  <c r="BK54" i="22" s="1"/>
  <c r="BL54" i="22" s="1"/>
  <c r="BJ48" i="22"/>
  <c r="BK48" i="22" s="1"/>
  <c r="BL48" i="22" s="1"/>
  <c r="BJ47" i="22"/>
  <c r="BK47" i="22" s="1"/>
  <c r="BL47" i="22" s="1"/>
  <c r="BJ43" i="22"/>
  <c r="BK43" i="22" s="1"/>
  <c r="BL43" i="22" s="1"/>
  <c r="BJ61" i="21"/>
  <c r="BK61" i="21" s="1"/>
  <c r="BL61" i="21" s="1"/>
  <c r="BJ59" i="21"/>
  <c r="BK59" i="21" s="1"/>
  <c r="BL59" i="21" s="1"/>
  <c r="BJ57" i="21"/>
  <c r="BK57" i="21" s="1"/>
  <c r="BL57" i="21" s="1"/>
  <c r="BJ55" i="21"/>
  <c r="BK55" i="21" s="1"/>
  <c r="BL55" i="21" s="1"/>
  <c r="BJ51" i="21"/>
  <c r="BK51" i="21" s="1"/>
  <c r="BL51" i="21" s="1"/>
  <c r="BJ47" i="21"/>
  <c r="BK47" i="21" s="1"/>
  <c r="BL47" i="21" s="1"/>
  <c r="BJ43" i="21"/>
  <c r="BK43" i="21" s="1"/>
  <c r="BL43" i="21" s="1"/>
  <c r="BJ39" i="21"/>
  <c r="BK39" i="21" s="1"/>
  <c r="BL39" i="21" s="1"/>
  <c r="BJ61" i="22"/>
  <c r="BK61" i="22" s="1"/>
  <c r="BL61" i="22" s="1"/>
  <c r="BJ53" i="22"/>
  <c r="BK53" i="22" s="1"/>
  <c r="BL53" i="22" s="1"/>
  <c r="BJ60" i="22"/>
  <c r="BK60" i="22" s="1"/>
  <c r="BL60" i="22" s="1"/>
  <c r="BJ58" i="22"/>
  <c r="BK58" i="22" s="1"/>
  <c r="BL58" i="22" s="1"/>
  <c r="BJ50" i="22"/>
  <c r="BK50" i="22" s="1"/>
  <c r="BL50" i="22" s="1"/>
  <c r="BJ57" i="22"/>
  <c r="BK57" i="22" s="1"/>
  <c r="BL57" i="22" s="1"/>
  <c r="BJ49" i="22"/>
  <c r="BK49" i="22" s="1"/>
  <c r="BL49" i="22" s="1"/>
  <c r="BJ39" i="22"/>
  <c r="BK39" i="22" s="1"/>
  <c r="BL39" i="22" s="1"/>
  <c r="BJ62" i="22"/>
  <c r="BK62" i="22" s="1"/>
  <c r="BL62" i="22" s="1"/>
  <c r="BJ59" i="22"/>
  <c r="BK59" i="22" s="1"/>
  <c r="BL59" i="22" s="1"/>
  <c r="AH26" i="22"/>
  <c r="AI26" i="22" s="1"/>
  <c r="U26" i="22"/>
  <c r="Z26" i="22" s="1"/>
  <c r="U15" i="22"/>
  <c r="AH15" i="22"/>
  <c r="AI15" i="22" s="1"/>
  <c r="AH19" i="22"/>
  <c r="AI19" i="22" s="1"/>
  <c r="U19" i="22"/>
  <c r="Z19" i="22" s="1"/>
  <c r="AH33" i="22"/>
  <c r="AI33" i="22" s="1"/>
  <c r="U33" i="22"/>
  <c r="U21" i="22"/>
  <c r="AH21" i="22"/>
  <c r="AI21" i="22" s="1"/>
  <c r="AH20" i="22"/>
  <c r="AI20" i="22" s="1"/>
  <c r="U20" i="22"/>
  <c r="Z20" i="22" s="1"/>
  <c r="G63" i="10"/>
  <c r="H63" i="10" s="1"/>
  <c r="I63" i="10" s="1"/>
  <c r="H61" i="10"/>
  <c r="I61" i="10" s="1"/>
  <c r="H60" i="10"/>
  <c r="I60" i="10" s="1"/>
  <c r="U38" i="18"/>
  <c r="Z38" i="18" s="1"/>
  <c r="U32" i="18"/>
  <c r="Z32" i="18" s="1"/>
  <c r="U30" i="18"/>
  <c r="Z30" i="18" s="1"/>
  <c r="U27" i="18"/>
  <c r="U23" i="18"/>
  <c r="Z23" i="18" s="1"/>
  <c r="U36" i="18"/>
  <c r="Z36" i="18" s="1"/>
  <c r="Z17" i="18"/>
  <c r="U37" i="18"/>
  <c r="Z37" i="18" s="1"/>
  <c r="Z18" i="18"/>
  <c r="U31" i="18"/>
  <c r="Z31" i="18" s="1"/>
  <c r="U28" i="18"/>
  <c r="Z20" i="18"/>
  <c r="U33" i="18"/>
  <c r="U25" i="18"/>
  <c r="Z25" i="18" s="1"/>
  <c r="U35" i="18"/>
  <c r="Z35" i="18" s="1"/>
  <c r="U34" i="18"/>
  <c r="BJ56" i="18"/>
  <c r="BK56" i="18" s="1"/>
  <c r="BL56" i="18" s="1"/>
  <c r="BJ55" i="18"/>
  <c r="BK55" i="18" s="1"/>
  <c r="BL55" i="18" s="1"/>
  <c r="BJ54" i="18"/>
  <c r="BK54" i="18" s="1"/>
  <c r="BL54" i="18" s="1"/>
  <c r="BJ52" i="18"/>
  <c r="BK52" i="18" s="1"/>
  <c r="BL52" i="18" s="1"/>
  <c r="BJ57" i="18"/>
  <c r="BK57" i="18" s="1"/>
  <c r="BL57" i="18" s="1"/>
  <c r="BJ53" i="18"/>
  <c r="BK53" i="18" s="1"/>
  <c r="BL53" i="18" s="1"/>
  <c r="BJ48" i="18"/>
  <c r="BK48" i="18" s="1"/>
  <c r="BL48" i="18" s="1"/>
  <c r="BJ39" i="18"/>
  <c r="BK39" i="18" s="1"/>
  <c r="BL39" i="18" s="1"/>
  <c r="BJ62" i="18"/>
  <c r="BK62" i="18" s="1"/>
  <c r="BL62" i="18" s="1"/>
  <c r="BJ61" i="18"/>
  <c r="BK61" i="18" s="1"/>
  <c r="BL61" i="18" s="1"/>
  <c r="BJ47" i="18"/>
  <c r="BK47" i="18" s="1"/>
  <c r="BL47" i="18" s="1"/>
  <c r="BJ46" i="18"/>
  <c r="BK46" i="18" s="1"/>
  <c r="BL46" i="18" s="1"/>
  <c r="BJ41" i="18"/>
  <c r="BK41" i="18" s="1"/>
  <c r="BL41" i="18" s="1"/>
  <c r="BJ40" i="18"/>
  <c r="BK40" i="18" s="1"/>
  <c r="BL40" i="18" s="1"/>
  <c r="BJ59" i="18"/>
  <c r="BK59" i="18" s="1"/>
  <c r="BL59" i="18" s="1"/>
  <c r="BJ58" i="18"/>
  <c r="BK58" i="18" s="1"/>
  <c r="BL58" i="18" s="1"/>
  <c r="BJ50" i="18"/>
  <c r="BK50" i="18" s="1"/>
  <c r="BL50" i="18" s="1"/>
  <c r="BJ49" i="18"/>
  <c r="BK49" i="18" s="1"/>
  <c r="BL49" i="18" s="1"/>
  <c r="BJ44" i="18"/>
  <c r="BK44" i="18" s="1"/>
  <c r="BL44" i="18" s="1"/>
  <c r="BJ43" i="18"/>
  <c r="BK43" i="18" s="1"/>
  <c r="BL43" i="18" s="1"/>
  <c r="BJ42" i="18"/>
  <c r="BK42" i="18" s="1"/>
  <c r="BL42" i="18" s="1"/>
  <c r="BJ60" i="18"/>
  <c r="BK60" i="18" s="1"/>
  <c r="BL60" i="18" s="1"/>
  <c r="BJ51" i="18"/>
  <c r="BK51" i="18" s="1"/>
  <c r="BL51" i="18" s="1"/>
  <c r="BJ45" i="18"/>
  <c r="BK45" i="18" s="1"/>
  <c r="BL45" i="18" s="1"/>
  <c r="U24" i="18"/>
  <c r="Z24" i="18" s="1"/>
  <c r="U22" i="18"/>
  <c r="Z19" i="18"/>
  <c r="U26" i="18"/>
  <c r="Z26" i="18" s="1"/>
  <c r="U29" i="18"/>
  <c r="Z29" i="18" s="1"/>
  <c r="U21" i="17"/>
  <c r="U24" i="17"/>
  <c r="Z24" i="17" s="1"/>
  <c r="U16" i="15"/>
  <c r="U38" i="15"/>
  <c r="Z38" i="15" s="1"/>
  <c r="U18" i="17"/>
  <c r="Z18" i="17" s="1"/>
  <c r="U28" i="16"/>
  <c r="U17" i="17"/>
  <c r="Z17" i="17" s="1"/>
  <c r="U27" i="17"/>
  <c r="U35" i="15"/>
  <c r="Z35" i="15" s="1"/>
  <c r="U26" i="16"/>
  <c r="Z26" i="16" s="1"/>
  <c r="U37" i="17"/>
  <c r="Z37" i="17" s="1"/>
  <c r="U15" i="15"/>
  <c r="U27" i="16"/>
  <c r="U33" i="16"/>
  <c r="U28" i="17"/>
  <c r="U36" i="15"/>
  <c r="Z36" i="15" s="1"/>
  <c r="U37" i="15"/>
  <c r="Z37" i="15" s="1"/>
  <c r="U20" i="17"/>
  <c r="Z20" i="17" s="1"/>
  <c r="U34" i="16"/>
  <c r="U20" i="15"/>
  <c r="Z20" i="15" s="1"/>
  <c r="U17" i="15"/>
  <c r="Z17" i="15" s="1"/>
  <c r="U32" i="17"/>
  <c r="Z32" i="17" s="1"/>
  <c r="U30" i="16"/>
  <c r="Z30" i="16" s="1"/>
  <c r="U15" i="17"/>
  <c r="U34" i="17"/>
  <c r="U16" i="17"/>
  <c r="U18" i="15"/>
  <c r="Z18" i="15" s="1"/>
  <c r="U32" i="16"/>
  <c r="Z32" i="16" s="1"/>
  <c r="U24" i="15"/>
  <c r="Z24" i="15" s="1"/>
  <c r="U26" i="15"/>
  <c r="Z26" i="15" s="1"/>
  <c r="U22" i="16"/>
  <c r="U38" i="17"/>
  <c r="Z38" i="17" s="1"/>
  <c r="U30" i="15"/>
  <c r="Z30" i="15" s="1"/>
  <c r="U38" i="16"/>
  <c r="Z38" i="16" s="1"/>
  <c r="U28" i="15"/>
  <c r="U36" i="17"/>
  <c r="Z36" i="17" s="1"/>
  <c r="U22" i="15"/>
  <c r="U24" i="16"/>
  <c r="Z24" i="16" s="1"/>
  <c r="U31" i="16"/>
  <c r="Z31" i="16" s="1"/>
  <c r="U20" i="16"/>
  <c r="Z20" i="16" s="1"/>
  <c r="U35" i="16"/>
  <c r="Z35" i="16" s="1"/>
  <c r="U35" i="17"/>
  <c r="Z35" i="17" s="1"/>
  <c r="U19" i="16"/>
  <c r="Z19" i="16" s="1"/>
  <c r="U33" i="17"/>
  <c r="U15" i="16"/>
  <c r="U29" i="17"/>
  <c r="Z29" i="17" s="1"/>
  <c r="U32" i="15"/>
  <c r="Z32" i="15" s="1"/>
  <c r="U23" i="17"/>
  <c r="Z23" i="17" s="1"/>
  <c r="U23" i="16"/>
  <c r="Z23" i="16" s="1"/>
  <c r="U17" i="16"/>
  <c r="Z17" i="16" s="1"/>
  <c r="U29" i="16"/>
  <c r="Z29" i="16" s="1"/>
  <c r="U37" i="16"/>
  <c r="Z37" i="16" s="1"/>
  <c r="BJ60" i="17"/>
  <c r="BK60" i="17" s="1"/>
  <c r="BL60" i="17" s="1"/>
  <c r="BJ54" i="17"/>
  <c r="BK54" i="17" s="1"/>
  <c r="BL54" i="17" s="1"/>
  <c r="BJ51" i="17"/>
  <c r="BK51" i="17" s="1"/>
  <c r="BL51" i="17" s="1"/>
  <c r="BJ43" i="17"/>
  <c r="BK43" i="17" s="1"/>
  <c r="BL43" i="17" s="1"/>
  <c r="BJ61" i="16"/>
  <c r="BK61" i="16" s="1"/>
  <c r="BL61" i="16" s="1"/>
  <c r="BJ59" i="17"/>
  <c r="BK59" i="17" s="1"/>
  <c r="BL59" i="17" s="1"/>
  <c r="BJ50" i="17"/>
  <c r="BK50" i="17" s="1"/>
  <c r="BL50" i="17" s="1"/>
  <c r="BJ46" i="17"/>
  <c r="BK46" i="17" s="1"/>
  <c r="BL46" i="17" s="1"/>
  <c r="BJ42" i="17"/>
  <c r="BK42" i="17" s="1"/>
  <c r="BL42" i="17" s="1"/>
  <c r="BJ39" i="17"/>
  <c r="BK39" i="17" s="1"/>
  <c r="BL39" i="17" s="1"/>
  <c r="BJ62" i="16"/>
  <c r="BK62" i="16" s="1"/>
  <c r="BL62" i="16" s="1"/>
  <c r="BJ60" i="16"/>
  <c r="BK60" i="16" s="1"/>
  <c r="BL60" i="16" s="1"/>
  <c r="BJ56" i="17"/>
  <c r="BK56" i="17" s="1"/>
  <c r="BL56" i="17" s="1"/>
  <c r="BJ41" i="17"/>
  <c r="BK41" i="17" s="1"/>
  <c r="BL41" i="17" s="1"/>
  <c r="BJ40" i="17"/>
  <c r="BK40" i="17" s="1"/>
  <c r="BL40" i="17" s="1"/>
  <c r="BJ58" i="16"/>
  <c r="BK58" i="16" s="1"/>
  <c r="BL58" i="16" s="1"/>
  <c r="BJ53" i="16"/>
  <c r="BK53" i="16" s="1"/>
  <c r="BL53" i="16" s="1"/>
  <c r="BJ52" i="16"/>
  <c r="BK52" i="16" s="1"/>
  <c r="BL52" i="16" s="1"/>
  <c r="BJ51" i="16"/>
  <c r="BK51" i="16" s="1"/>
  <c r="BL51" i="16" s="1"/>
  <c r="BJ48" i="16"/>
  <c r="BK48" i="16" s="1"/>
  <c r="BL48" i="16" s="1"/>
  <c r="BJ46" i="16"/>
  <c r="BK46" i="16" s="1"/>
  <c r="BL46" i="16" s="1"/>
  <c r="BJ42" i="16"/>
  <c r="BK42" i="16" s="1"/>
  <c r="BL42" i="16" s="1"/>
  <c r="BJ57" i="16"/>
  <c r="BK57" i="16" s="1"/>
  <c r="BL57" i="16" s="1"/>
  <c r="BJ56" i="16"/>
  <c r="BK56" i="16" s="1"/>
  <c r="BL56" i="16" s="1"/>
  <c r="BJ50" i="16"/>
  <c r="BK50" i="16" s="1"/>
  <c r="BL50" i="16" s="1"/>
  <c r="BJ45" i="16"/>
  <c r="BK45" i="16" s="1"/>
  <c r="BL45" i="16" s="1"/>
  <c r="BJ61" i="15"/>
  <c r="BK61" i="15" s="1"/>
  <c r="BL61" i="15" s="1"/>
  <c r="BJ60" i="15"/>
  <c r="BK60" i="15" s="1"/>
  <c r="BL60" i="15" s="1"/>
  <c r="BJ53" i="15"/>
  <c r="BK53" i="15" s="1"/>
  <c r="BL53" i="15" s="1"/>
  <c r="BJ50" i="15"/>
  <c r="BK50" i="15" s="1"/>
  <c r="BL50" i="15" s="1"/>
  <c r="BJ43" i="15"/>
  <c r="BK43" i="15" s="1"/>
  <c r="BL43" i="15" s="1"/>
  <c r="BJ57" i="17"/>
  <c r="BK57" i="17" s="1"/>
  <c r="BL57" i="17" s="1"/>
  <c r="BJ53" i="17"/>
  <c r="BK53" i="17" s="1"/>
  <c r="BL53" i="17" s="1"/>
  <c r="BJ52" i="17"/>
  <c r="BK52" i="17" s="1"/>
  <c r="BL52" i="17" s="1"/>
  <c r="BJ49" i="17"/>
  <c r="BK49" i="17" s="1"/>
  <c r="BL49" i="17" s="1"/>
  <c r="BJ48" i="17"/>
  <c r="BK48" i="17" s="1"/>
  <c r="BL48" i="17" s="1"/>
  <c r="BJ49" i="16"/>
  <c r="BK49" i="16" s="1"/>
  <c r="BL49" i="16" s="1"/>
  <c r="BJ41" i="16"/>
  <c r="BK41" i="16" s="1"/>
  <c r="BL41" i="16" s="1"/>
  <c r="BJ40" i="16"/>
  <c r="BK40" i="16" s="1"/>
  <c r="BL40" i="16" s="1"/>
  <c r="BJ39" i="16"/>
  <c r="BK39" i="16" s="1"/>
  <c r="BL39" i="16" s="1"/>
  <c r="BJ59" i="15"/>
  <c r="BK59" i="15" s="1"/>
  <c r="BL59" i="15" s="1"/>
  <c r="BJ52" i="15"/>
  <c r="BK52" i="15" s="1"/>
  <c r="BL52" i="15" s="1"/>
  <c r="BJ48" i="15"/>
  <c r="BK48" i="15" s="1"/>
  <c r="BL48" i="15" s="1"/>
  <c r="BJ45" i="15"/>
  <c r="BK45" i="15" s="1"/>
  <c r="BL45" i="15" s="1"/>
  <c r="BJ41" i="15"/>
  <c r="BK41" i="15" s="1"/>
  <c r="BL41" i="15" s="1"/>
  <c r="BJ39" i="15"/>
  <c r="BK39" i="15" s="1"/>
  <c r="BL39" i="15" s="1"/>
  <c r="BJ58" i="17"/>
  <c r="BK58" i="17" s="1"/>
  <c r="BL58" i="17" s="1"/>
  <c r="BJ55" i="17"/>
  <c r="BK55" i="17" s="1"/>
  <c r="BL55" i="17" s="1"/>
  <c r="BJ59" i="16"/>
  <c r="BK59" i="16" s="1"/>
  <c r="BL59" i="16" s="1"/>
  <c r="BJ55" i="16"/>
  <c r="BK55" i="16" s="1"/>
  <c r="BL55" i="16" s="1"/>
  <c r="BJ54" i="16"/>
  <c r="BK54" i="16" s="1"/>
  <c r="BL54" i="16" s="1"/>
  <c r="BJ58" i="15"/>
  <c r="BK58" i="15" s="1"/>
  <c r="BL58" i="15" s="1"/>
  <c r="BJ51" i="15"/>
  <c r="BK51" i="15" s="1"/>
  <c r="BL51" i="15" s="1"/>
  <c r="BJ62" i="17"/>
  <c r="BK62" i="17" s="1"/>
  <c r="BL62" i="17" s="1"/>
  <c r="BJ61" i="17"/>
  <c r="BK61" i="17" s="1"/>
  <c r="BL61" i="17" s="1"/>
  <c r="BJ45" i="17"/>
  <c r="BK45" i="17" s="1"/>
  <c r="BL45" i="17" s="1"/>
  <c r="BJ44" i="17"/>
  <c r="BK44" i="17" s="1"/>
  <c r="BL44" i="17" s="1"/>
  <c r="BJ57" i="15"/>
  <c r="BK57" i="15" s="1"/>
  <c r="BL57" i="15" s="1"/>
  <c r="BJ56" i="15"/>
  <c r="BK56" i="15" s="1"/>
  <c r="BL56" i="15" s="1"/>
  <c r="BJ46" i="15"/>
  <c r="BK46" i="15" s="1"/>
  <c r="BL46" i="15" s="1"/>
  <c r="BJ47" i="17"/>
  <c r="BK47" i="17" s="1"/>
  <c r="BL47" i="17" s="1"/>
  <c r="BJ44" i="16"/>
  <c r="BK44" i="16" s="1"/>
  <c r="BL44" i="16" s="1"/>
  <c r="BJ43" i="16"/>
  <c r="BK43" i="16" s="1"/>
  <c r="BL43" i="16" s="1"/>
  <c r="BJ44" i="15"/>
  <c r="BK44" i="15" s="1"/>
  <c r="BL44" i="15" s="1"/>
  <c r="BJ62" i="15"/>
  <c r="BK62" i="15" s="1"/>
  <c r="BL62" i="15" s="1"/>
  <c r="BJ54" i="15"/>
  <c r="BK54" i="15" s="1"/>
  <c r="BL54" i="15" s="1"/>
  <c r="BJ42" i="15"/>
  <c r="BK42" i="15" s="1"/>
  <c r="BL42" i="15" s="1"/>
  <c r="BJ55" i="15"/>
  <c r="BK55" i="15" s="1"/>
  <c r="BL55" i="15" s="1"/>
  <c r="BJ49" i="15"/>
  <c r="BK49" i="15" s="1"/>
  <c r="BL49" i="15" s="1"/>
  <c r="BJ40" i="15"/>
  <c r="BK40" i="15" s="1"/>
  <c r="BL40" i="15" s="1"/>
  <c r="BJ47" i="16"/>
  <c r="BK47" i="16" s="1"/>
  <c r="BL47" i="16" s="1"/>
  <c r="BJ47" i="15"/>
  <c r="BK47" i="15" s="1"/>
  <c r="BL47" i="15" s="1"/>
  <c r="U26" i="17"/>
  <c r="Z26" i="17" s="1"/>
  <c r="U25" i="16"/>
  <c r="Z25" i="16" s="1"/>
  <c r="U18" i="16"/>
  <c r="Z18" i="16" s="1"/>
  <c r="U33" i="15"/>
  <c r="U19" i="15"/>
  <c r="Z19" i="15" s="1"/>
  <c r="U29" i="15"/>
  <c r="Z29" i="15" s="1"/>
  <c r="U19" i="17"/>
  <c r="Z19" i="17" s="1"/>
  <c r="U21" i="16"/>
  <c r="U34" i="15"/>
  <c r="U30" i="17"/>
  <c r="Z30" i="17" s="1"/>
  <c r="U25" i="17"/>
  <c r="Z25" i="17" s="1"/>
  <c r="U36" i="16"/>
  <c r="Z36" i="16" s="1"/>
  <c r="U16" i="16"/>
  <c r="U25" i="15"/>
  <c r="Z25" i="15" s="1"/>
  <c r="U31" i="15"/>
  <c r="Z31" i="15" s="1"/>
  <c r="U27" i="15"/>
  <c r="U31" i="17"/>
  <c r="Z31" i="17" s="1"/>
  <c r="U22" i="17"/>
  <c r="U21" i="15"/>
  <c r="U23" i="15"/>
  <c r="Z23" i="15" s="1"/>
  <c r="G62" i="10"/>
  <c r="H62" i="10" s="1"/>
  <c r="I62" i="10" s="1"/>
  <c r="Z28" i="18" l="1"/>
  <c r="Z15" i="22"/>
  <c r="Z28" i="22"/>
  <c r="Z15" i="18"/>
  <c r="Z16" i="18"/>
  <c r="Z34" i="16"/>
  <c r="Z28" i="17"/>
  <c r="Z34" i="21"/>
  <c r="Z22" i="15"/>
  <c r="Z28" i="16"/>
  <c r="Z16" i="17"/>
  <c r="Z15" i="17"/>
  <c r="Z16" i="22"/>
  <c r="Z22" i="22"/>
  <c r="Z22" i="16"/>
  <c r="Z34" i="22"/>
  <c r="Z16" i="15"/>
  <c r="Z15" i="15"/>
  <c r="Z16" i="21"/>
  <c r="Z15" i="21"/>
  <c r="Z16" i="16"/>
  <c r="Z15" i="16"/>
  <c r="Z34" i="17"/>
  <c r="Z22" i="17"/>
  <c r="Z34" i="18"/>
  <c r="Z28" i="21"/>
  <c r="Z22" i="21"/>
  <c r="Z28" i="15"/>
  <c r="Z34" i="15"/>
  <c r="Z22" i="18"/>
  <c r="BP57" i="22"/>
  <c r="T57" i="22"/>
  <c r="BP47" i="21"/>
  <c r="T47" i="21"/>
  <c r="T48" i="22"/>
  <c r="BP48" i="22"/>
  <c r="BP44" i="22"/>
  <c r="T44" i="22"/>
  <c r="T40" i="21"/>
  <c r="BP40" i="21"/>
  <c r="BP56" i="21"/>
  <c r="T56" i="21"/>
  <c r="T50" i="22"/>
  <c r="BP50" i="22"/>
  <c r="BP51" i="21"/>
  <c r="T51" i="21"/>
  <c r="T54" i="22"/>
  <c r="BP54" i="22"/>
  <c r="BP45" i="22"/>
  <c r="T45" i="22"/>
  <c r="BP42" i="21"/>
  <c r="T42" i="21"/>
  <c r="T58" i="21"/>
  <c r="BP58" i="21"/>
  <c r="T58" i="22"/>
  <c r="BP58" i="22"/>
  <c r="T55" i="21"/>
  <c r="BP55" i="21"/>
  <c r="T56" i="22"/>
  <c r="BP56" i="22"/>
  <c r="T46" i="22"/>
  <c r="BP46" i="22"/>
  <c r="BP44" i="21"/>
  <c r="T44" i="21"/>
  <c r="T60" i="21"/>
  <c r="BP60" i="21"/>
  <c r="T60" i="22"/>
  <c r="BP60" i="22"/>
  <c r="T57" i="21"/>
  <c r="BP57" i="21"/>
  <c r="BP41" i="21"/>
  <c r="T41" i="21"/>
  <c r="T52" i="22"/>
  <c r="BP52" i="22"/>
  <c r="T46" i="21"/>
  <c r="BP46" i="21"/>
  <c r="T62" i="21"/>
  <c r="BP62" i="21"/>
  <c r="T59" i="22"/>
  <c r="BP59" i="22"/>
  <c r="T53" i="22"/>
  <c r="BP53" i="22"/>
  <c r="BP59" i="21"/>
  <c r="T59" i="21"/>
  <c r="BP45" i="21"/>
  <c r="T45" i="21"/>
  <c r="T55" i="22"/>
  <c r="BP55" i="22"/>
  <c r="BP48" i="21"/>
  <c r="T48" i="21"/>
  <c r="T62" i="22"/>
  <c r="BP62" i="22"/>
  <c r="BP61" i="22"/>
  <c r="T61" i="22"/>
  <c r="T61" i="21"/>
  <c r="BP61" i="21"/>
  <c r="BP49" i="21"/>
  <c r="T49" i="21"/>
  <c r="BP40" i="22"/>
  <c r="T40" i="22"/>
  <c r="T50" i="21"/>
  <c r="BP50" i="21"/>
  <c r="T39" i="22"/>
  <c r="BP39" i="22"/>
  <c r="BP39" i="21"/>
  <c r="T39" i="21"/>
  <c r="T43" i="22"/>
  <c r="BP43" i="22"/>
  <c r="T53" i="21"/>
  <c r="BP53" i="21"/>
  <c r="BP41" i="22"/>
  <c r="T41" i="22"/>
  <c r="BP52" i="21"/>
  <c r="T52" i="21"/>
  <c r="T49" i="22"/>
  <c r="BP49" i="22"/>
  <c r="BP43" i="21"/>
  <c r="T43" i="21"/>
  <c r="BP47" i="22"/>
  <c r="T47" i="22"/>
  <c r="BP42" i="22"/>
  <c r="T42" i="22"/>
  <c r="BP51" i="22"/>
  <c r="T51" i="22"/>
  <c r="T54" i="21"/>
  <c r="BP54" i="21"/>
  <c r="T50" i="18"/>
  <c r="T62" i="18"/>
  <c r="T56" i="18"/>
  <c r="T49" i="18"/>
  <c r="T45" i="18"/>
  <c r="T58" i="18"/>
  <c r="T39" i="18"/>
  <c r="T51" i="18"/>
  <c r="T59" i="18"/>
  <c r="T48" i="18"/>
  <c r="T60" i="18"/>
  <c r="T40" i="18"/>
  <c r="T53" i="18"/>
  <c r="T55" i="18"/>
  <c r="T42" i="18"/>
  <c r="T41" i="18"/>
  <c r="T57" i="18"/>
  <c r="T61" i="18"/>
  <c r="T43" i="18"/>
  <c r="T46" i="18"/>
  <c r="T52" i="18"/>
  <c r="T44" i="18"/>
  <c r="T47" i="18"/>
  <c r="T54" i="18"/>
  <c r="T40" i="15"/>
  <c r="T54" i="15"/>
  <c r="T57" i="15"/>
  <c r="T51" i="15"/>
  <c r="T48" i="15"/>
  <c r="T49" i="17"/>
  <c r="T61" i="15"/>
  <c r="T51" i="16"/>
  <c r="T50" i="17"/>
  <c r="T47" i="15"/>
  <c r="T49" i="15"/>
  <c r="T62" i="15"/>
  <c r="T43" i="16"/>
  <c r="T44" i="17"/>
  <c r="T58" i="15"/>
  <c r="T55" i="17"/>
  <c r="T39" i="15"/>
  <c r="T52" i="15"/>
  <c r="T41" i="16"/>
  <c r="T52" i="17"/>
  <c r="T50" i="15"/>
  <c r="T45" i="16"/>
  <c r="T42" i="16"/>
  <c r="T52" i="16"/>
  <c r="T41" i="17"/>
  <c r="T39" i="17"/>
  <c r="T59" i="17"/>
  <c r="T54" i="17"/>
  <c r="T47" i="16"/>
  <c r="T55" i="15"/>
  <c r="T44" i="16"/>
  <c r="T46" i="15"/>
  <c r="T45" i="17"/>
  <c r="T54" i="16"/>
  <c r="T58" i="17"/>
  <c r="T41" i="15"/>
  <c r="T59" i="15"/>
  <c r="T49" i="16"/>
  <c r="T53" i="17"/>
  <c r="T53" i="15"/>
  <c r="T50" i="16"/>
  <c r="T46" i="16"/>
  <c r="T53" i="16"/>
  <c r="T56" i="17"/>
  <c r="T42" i="17"/>
  <c r="T61" i="16"/>
  <c r="T60" i="17"/>
  <c r="T44" i="15"/>
  <c r="T62" i="17"/>
  <c r="T59" i="16"/>
  <c r="T40" i="16"/>
  <c r="T43" i="15"/>
  <c r="T57" i="16"/>
  <c r="T40" i="17"/>
  <c r="T62" i="16"/>
  <c r="T51" i="17"/>
  <c r="T42" i="15"/>
  <c r="T47" i="17"/>
  <c r="T56" i="15"/>
  <c r="T61" i="17"/>
  <c r="T55" i="16"/>
  <c r="T45" i="15"/>
  <c r="T39" i="16"/>
  <c r="T48" i="17"/>
  <c r="T57" i="17"/>
  <c r="T60" i="15"/>
  <c r="T56" i="16"/>
  <c r="T48" i="16"/>
  <c r="T58" i="16"/>
  <c r="T60" i="16"/>
  <c r="T46" i="17"/>
  <c r="T43" i="17"/>
  <c r="U49" i="22" l="1"/>
  <c r="Z49" i="22" s="1"/>
  <c r="AH49" i="22"/>
  <c r="AI49" i="22" s="1"/>
  <c r="AH43" i="22"/>
  <c r="AI43" i="22" s="1"/>
  <c r="U43" i="22"/>
  <c r="Z43" i="22" s="1"/>
  <c r="U62" i="22"/>
  <c r="Z62" i="22" s="1"/>
  <c r="AH62" i="22"/>
  <c r="AI62" i="22" s="1"/>
  <c r="U59" i="21"/>
  <c r="Z59" i="21" s="1"/>
  <c r="AH59" i="21"/>
  <c r="AI59" i="21" s="1"/>
  <c r="AH58" i="21"/>
  <c r="AI58" i="21" s="1"/>
  <c r="U58" i="21"/>
  <c r="U42" i="22"/>
  <c r="Z42" i="22" s="1"/>
  <c r="AH42" i="22"/>
  <c r="AI42" i="22" s="1"/>
  <c r="AH52" i="21"/>
  <c r="AI52" i="21" s="1"/>
  <c r="U52" i="21"/>
  <c r="AH39" i="21"/>
  <c r="AI39" i="21" s="1"/>
  <c r="U39" i="21"/>
  <c r="AH49" i="21"/>
  <c r="AI49" i="21" s="1"/>
  <c r="U49" i="21"/>
  <c r="Z49" i="21" s="1"/>
  <c r="U46" i="21"/>
  <c r="AH46" i="21"/>
  <c r="AI46" i="21" s="1"/>
  <c r="U60" i="22"/>
  <c r="Z60" i="22" s="1"/>
  <c r="AH60" i="22"/>
  <c r="AI60" i="22" s="1"/>
  <c r="U56" i="22"/>
  <c r="Z56" i="22" s="1"/>
  <c r="AH56" i="22"/>
  <c r="AI56" i="22" s="1"/>
  <c r="AH42" i="21"/>
  <c r="AI42" i="21" s="1"/>
  <c r="U42" i="21"/>
  <c r="Z42" i="21" s="1"/>
  <c r="U48" i="21"/>
  <c r="Z48" i="21" s="1"/>
  <c r="AH48" i="21"/>
  <c r="AI48" i="21" s="1"/>
  <c r="U50" i="22"/>
  <c r="Z50" i="22" s="1"/>
  <c r="AH50" i="22"/>
  <c r="AI50" i="22" s="1"/>
  <c r="U48" i="22"/>
  <c r="Z48" i="22" s="1"/>
  <c r="AH48" i="22"/>
  <c r="AI48" i="22" s="1"/>
  <c r="U47" i="22"/>
  <c r="Z47" i="22" s="1"/>
  <c r="AH47" i="22"/>
  <c r="AI47" i="22" s="1"/>
  <c r="AH41" i="22"/>
  <c r="AI41" i="22" s="1"/>
  <c r="U41" i="22"/>
  <c r="Z41" i="22" s="1"/>
  <c r="U53" i="22"/>
  <c r="Z53" i="22" s="1"/>
  <c r="AH53" i="22"/>
  <c r="AI53" i="22" s="1"/>
  <c r="U52" i="22"/>
  <c r="AH52" i="22"/>
  <c r="AI52" i="22" s="1"/>
  <c r="AH60" i="21"/>
  <c r="AI60" i="21" s="1"/>
  <c r="U60" i="21"/>
  <c r="Z60" i="21" s="1"/>
  <c r="AH55" i="21"/>
  <c r="AI55" i="21" s="1"/>
  <c r="U55" i="21"/>
  <c r="Z55" i="21" s="1"/>
  <c r="U45" i="22"/>
  <c r="AH45" i="22"/>
  <c r="AI45" i="22" s="1"/>
  <c r="U56" i="21"/>
  <c r="Z56" i="21" s="1"/>
  <c r="AH56" i="21"/>
  <c r="AI56" i="21" s="1"/>
  <c r="AH47" i="21"/>
  <c r="AI47" i="21" s="1"/>
  <c r="U47" i="21"/>
  <c r="Z47" i="21" s="1"/>
  <c r="U39" i="22"/>
  <c r="AH39" i="22"/>
  <c r="AI39" i="22" s="1"/>
  <c r="AH61" i="21"/>
  <c r="AI61" i="21" s="1"/>
  <c r="U61" i="21"/>
  <c r="Z61" i="21" s="1"/>
  <c r="AH41" i="21"/>
  <c r="AI41" i="21" s="1"/>
  <c r="U41" i="21"/>
  <c r="Z41" i="21" s="1"/>
  <c r="AH44" i="21"/>
  <c r="AI44" i="21" s="1"/>
  <c r="U44" i="21"/>
  <c r="Z44" i="21" s="1"/>
  <c r="U43" i="21"/>
  <c r="Z43" i="21" s="1"/>
  <c r="AH43" i="21"/>
  <c r="AI43" i="21" s="1"/>
  <c r="AH61" i="22"/>
  <c r="AI61" i="22" s="1"/>
  <c r="U61" i="22"/>
  <c r="Z61" i="22" s="1"/>
  <c r="AH55" i="22"/>
  <c r="AI55" i="22" s="1"/>
  <c r="U55" i="22"/>
  <c r="Z55" i="22" s="1"/>
  <c r="AH59" i="22"/>
  <c r="AI59" i="22" s="1"/>
  <c r="U59" i="22"/>
  <c r="Z59" i="22" s="1"/>
  <c r="U58" i="22"/>
  <c r="AH58" i="22"/>
  <c r="AI58" i="22" s="1"/>
  <c r="U57" i="22"/>
  <c r="AH57" i="22"/>
  <c r="AI57" i="22" s="1"/>
  <c r="AH54" i="21"/>
  <c r="AI54" i="21" s="1"/>
  <c r="U54" i="21"/>
  <c r="Z54" i="21" s="1"/>
  <c r="AH53" i="21"/>
  <c r="AI53" i="21" s="1"/>
  <c r="U53" i="21"/>
  <c r="Z53" i="21" s="1"/>
  <c r="AH50" i="21"/>
  <c r="AI50" i="21" s="1"/>
  <c r="U50" i="21"/>
  <c r="Z50" i="21" s="1"/>
  <c r="AH45" i="21"/>
  <c r="AI45" i="21" s="1"/>
  <c r="U45" i="21"/>
  <c r="AH54" i="22"/>
  <c r="AI54" i="22" s="1"/>
  <c r="U54" i="22"/>
  <c r="Z54" i="22" s="1"/>
  <c r="U40" i="21"/>
  <c r="AH40" i="21"/>
  <c r="AI40" i="21" s="1"/>
  <c r="U51" i="22"/>
  <c r="AH51" i="22"/>
  <c r="AI51" i="22" s="1"/>
  <c r="U40" i="22"/>
  <c r="AH40" i="22"/>
  <c r="AI40" i="22" s="1"/>
  <c r="U62" i="21"/>
  <c r="Z62" i="21" s="1"/>
  <c r="AH62" i="21"/>
  <c r="AI62" i="21" s="1"/>
  <c r="U57" i="21"/>
  <c r="AH57" i="21"/>
  <c r="AI57" i="21" s="1"/>
  <c r="U46" i="22"/>
  <c r="AH46" i="22"/>
  <c r="AI46" i="22" s="1"/>
  <c r="AH51" i="21"/>
  <c r="AI51" i="21" s="1"/>
  <c r="U51" i="21"/>
  <c r="U44" i="22"/>
  <c r="Z44" i="22" s="1"/>
  <c r="AH44" i="22"/>
  <c r="AI44" i="22" s="1"/>
  <c r="U43" i="18"/>
  <c r="Z43" i="18" s="1"/>
  <c r="U47" i="18"/>
  <c r="Z47" i="18" s="1"/>
  <c r="U42" i="18"/>
  <c r="Z42" i="18" s="1"/>
  <c r="U60" i="18"/>
  <c r="Z60" i="18" s="1"/>
  <c r="U39" i="18"/>
  <c r="U56" i="18"/>
  <c r="Z56" i="18" s="1"/>
  <c r="U49" i="18"/>
  <c r="Z49" i="18" s="1"/>
  <c r="U44" i="18"/>
  <c r="Z44" i="18" s="1"/>
  <c r="U55" i="18"/>
  <c r="Z55" i="18" s="1"/>
  <c r="U48" i="18"/>
  <c r="Z48" i="18" s="1"/>
  <c r="U51" i="18"/>
  <c r="U61" i="18"/>
  <c r="Z61" i="18" s="1"/>
  <c r="U54" i="18"/>
  <c r="Z54" i="18" s="1"/>
  <c r="U52" i="18"/>
  <c r="U58" i="18"/>
  <c r="U62" i="18"/>
  <c r="Z62" i="18" s="1"/>
  <c r="U57" i="18"/>
  <c r="U53" i="18"/>
  <c r="Z53" i="18" s="1"/>
  <c r="U59" i="18"/>
  <c r="Z59" i="18" s="1"/>
  <c r="U41" i="18"/>
  <c r="Z41" i="18" s="1"/>
  <c r="U46" i="18"/>
  <c r="U40" i="18"/>
  <c r="U45" i="18"/>
  <c r="U50" i="18"/>
  <c r="Z50" i="18" s="1"/>
  <c r="U56" i="16"/>
  <c r="Z56" i="16" s="1"/>
  <c r="U55" i="16"/>
  <c r="Z55" i="16" s="1"/>
  <c r="U40" i="16"/>
  <c r="U53" i="15"/>
  <c r="Z53" i="15" s="1"/>
  <c r="U41" i="15"/>
  <c r="Z41" i="15" s="1"/>
  <c r="U46" i="15"/>
  <c r="U52" i="16"/>
  <c r="U52" i="17"/>
  <c r="U51" i="16"/>
  <c r="U60" i="15"/>
  <c r="Z60" i="15" s="1"/>
  <c r="U61" i="17"/>
  <c r="Z61" i="17" s="1"/>
  <c r="U42" i="17"/>
  <c r="Z42" i="17" s="1"/>
  <c r="U50" i="16"/>
  <c r="Z50" i="16" s="1"/>
  <c r="U59" i="17"/>
  <c r="Z59" i="17" s="1"/>
  <c r="U49" i="15"/>
  <c r="Z49" i="15" s="1"/>
  <c r="U40" i="15"/>
  <c r="U60" i="16"/>
  <c r="Z60" i="16" s="1"/>
  <c r="U45" i="15"/>
  <c r="U47" i="17"/>
  <c r="Z47" i="17" s="1"/>
  <c r="U43" i="15"/>
  <c r="Z43" i="15" s="1"/>
  <c r="U53" i="16"/>
  <c r="Z53" i="16" s="1"/>
  <c r="U58" i="17"/>
  <c r="U47" i="16"/>
  <c r="Z47" i="16" s="1"/>
  <c r="U41" i="17"/>
  <c r="Z41" i="17" s="1"/>
  <c r="U42" i="16"/>
  <c r="Z42" i="16" s="1"/>
  <c r="U41" i="16"/>
  <c r="Z41" i="16" s="1"/>
  <c r="U39" i="15"/>
  <c r="U43" i="16"/>
  <c r="Z43" i="16" s="1"/>
  <c r="U61" i="15"/>
  <c r="Z61" i="15" s="1"/>
  <c r="U48" i="15"/>
  <c r="Z48" i="15" s="1"/>
  <c r="U46" i="17"/>
  <c r="U57" i="17"/>
  <c r="U42" i="15"/>
  <c r="Z42" i="15" s="1"/>
  <c r="U56" i="17"/>
  <c r="Z56" i="17" s="1"/>
  <c r="U54" i="17"/>
  <c r="Z54" i="17" s="1"/>
  <c r="U52" i="15"/>
  <c r="U55" i="17"/>
  <c r="Z55" i="17" s="1"/>
  <c r="U44" i="17"/>
  <c r="Z44" i="17" s="1"/>
  <c r="U47" i="15"/>
  <c r="Z47" i="15" s="1"/>
  <c r="U49" i="17"/>
  <c r="Z49" i="17" s="1"/>
  <c r="U54" i="15"/>
  <c r="Z54" i="15" s="1"/>
  <c r="U58" i="16"/>
  <c r="U39" i="16"/>
  <c r="U56" i="15"/>
  <c r="Z56" i="15" s="1"/>
  <c r="U62" i="16"/>
  <c r="Z62" i="16" s="1"/>
  <c r="U57" i="16"/>
  <c r="U62" i="17"/>
  <c r="Z62" i="17" s="1"/>
  <c r="U61" i="16"/>
  <c r="Z61" i="16" s="1"/>
  <c r="U46" i="16"/>
  <c r="U49" i="16"/>
  <c r="Z49" i="16" s="1"/>
  <c r="U54" i="16"/>
  <c r="Z54" i="16" s="1"/>
  <c r="U55" i="15"/>
  <c r="Z55" i="15" s="1"/>
  <c r="U39" i="17"/>
  <c r="U45" i="16"/>
  <c r="U62" i="15"/>
  <c r="Z62" i="15" s="1"/>
  <c r="U51" i="15"/>
  <c r="U43" i="17"/>
  <c r="Z43" i="17" s="1"/>
  <c r="U48" i="16"/>
  <c r="Z48" i="16" s="1"/>
  <c r="U51" i="17"/>
  <c r="U59" i="16"/>
  <c r="Z59" i="16" s="1"/>
  <c r="U60" i="17"/>
  <c r="Z60" i="17" s="1"/>
  <c r="U53" i="17"/>
  <c r="Z53" i="17" s="1"/>
  <c r="U45" i="17"/>
  <c r="U58" i="15"/>
  <c r="U48" i="17"/>
  <c r="Z48" i="17" s="1"/>
  <c r="U40" i="17"/>
  <c r="U44" i="15"/>
  <c r="Z44" i="15" s="1"/>
  <c r="U59" i="15"/>
  <c r="Z59" i="15" s="1"/>
  <c r="U44" i="16"/>
  <c r="Z44" i="16" s="1"/>
  <c r="U50" i="15"/>
  <c r="Z50" i="15" s="1"/>
  <c r="U50" i="17"/>
  <c r="Z50" i="17" s="1"/>
  <c r="U57" i="15"/>
  <c r="Z52" i="22" l="1"/>
  <c r="Z52" i="21"/>
  <c r="Z58" i="15"/>
  <c r="Z52" i="16"/>
  <c r="Z52" i="18"/>
  <c r="Z58" i="22"/>
  <c r="Z46" i="16"/>
  <c r="Z58" i="21"/>
  <c r="Z52" i="17"/>
  <c r="Z39" i="17"/>
  <c r="Z46" i="15"/>
  <c r="Z58" i="17"/>
  <c r="Z39" i="16"/>
  <c r="Z58" i="16"/>
  <c r="Z40" i="17"/>
  <c r="Z52" i="15"/>
  <c r="Z40" i="18"/>
  <c r="Z39" i="18"/>
  <c r="Z58" i="18"/>
  <c r="Z39" i="22"/>
  <c r="Z39" i="15"/>
  <c r="Z40" i="22"/>
  <c r="Z46" i="18"/>
  <c r="Z39" i="21"/>
  <c r="Z46" i="21"/>
  <c r="Z40" i="21"/>
  <c r="Z46" i="17"/>
  <c r="Z40" i="15"/>
  <c r="Z40" i="16"/>
  <c r="Z46" i="22"/>
  <c r="AI69" i="21"/>
  <c r="AI71" i="21" s="1"/>
  <c r="AI73" i="21" s="1"/>
  <c r="AI69" i="22"/>
  <c r="J18" i="6"/>
  <c r="J21" i="6"/>
  <c r="J17" i="6"/>
  <c r="J23" i="6"/>
  <c r="T36" i="6" l="1"/>
  <c r="T37" i="6"/>
  <c r="T38" i="6"/>
  <c r="T42" i="6"/>
  <c r="T40" i="6"/>
  <c r="T41" i="6"/>
  <c r="T47" i="6"/>
  <c r="T39" i="6"/>
  <c r="T44" i="6"/>
  <c r="T45" i="6"/>
  <c r="T43" i="6"/>
  <c r="T46" i="6"/>
  <c r="AI71" i="22"/>
  <c r="AI73" i="22" s="1"/>
  <c r="J13" i="6"/>
  <c r="J19" i="6"/>
  <c r="T32" i="6" l="1"/>
  <c r="T35" i="6"/>
  <c r="T33" i="6"/>
  <c r="T34" i="6"/>
  <c r="T30" i="6"/>
  <c r="T31" i="6"/>
  <c r="T21" i="6"/>
  <c r="T20" i="6"/>
  <c r="T23" i="6"/>
  <c r="T19" i="6"/>
  <c r="T18" i="6"/>
  <c r="T17" i="6"/>
  <c r="T14" i="6"/>
  <c r="T22" i="6" l="1"/>
  <c r="T13" i="6"/>
  <c r="T27" i="6"/>
  <c r="T29" i="6"/>
  <c r="T28" i="6"/>
  <c r="T26" i="6"/>
  <c r="T25" i="6"/>
  <c r="T24" i="6"/>
  <c r="T15" i="8"/>
  <c r="T53" i="8" s="1"/>
  <c r="R53" i="8"/>
  <c r="R52" i="8"/>
  <c r="R51" i="8"/>
  <c r="R50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C8" i="8"/>
  <c r="C9" i="8"/>
  <c r="C40" i="9"/>
  <c r="F40" i="9" s="1"/>
  <c r="D28" i="9"/>
  <c r="E28" i="9" s="1"/>
  <c r="F28" i="9" s="1"/>
  <c r="B19" i="9"/>
  <c r="D18" i="9"/>
  <c r="E18" i="9" s="1"/>
  <c r="F18" i="9" s="1"/>
  <c r="G18" i="9" s="1"/>
  <c r="H18" i="9" s="1"/>
  <c r="I18" i="9" s="1"/>
  <c r="I4" i="9"/>
  <c r="T12" i="6" l="1"/>
  <c r="E19" i="8"/>
  <c r="G28" i="9"/>
  <c r="H28" i="9" s="1"/>
  <c r="I28" i="9" s="1"/>
  <c r="B29" i="9"/>
  <c r="T33" i="8"/>
  <c r="T25" i="8"/>
  <c r="T52" i="8"/>
  <c r="T29" i="8"/>
  <c r="T37" i="8"/>
  <c r="T45" i="8"/>
  <c r="T49" i="8"/>
  <c r="T41" i="8"/>
  <c r="T21" i="8"/>
  <c r="T23" i="8"/>
  <c r="T31" i="8"/>
  <c r="T39" i="8"/>
  <c r="T47" i="8"/>
  <c r="T22" i="8"/>
  <c r="T30" i="8"/>
  <c r="T38" i="8"/>
  <c r="T46" i="8"/>
  <c r="T24" i="8"/>
  <c r="T32" i="8"/>
  <c r="T40" i="8"/>
  <c r="T48" i="8"/>
  <c r="T26" i="8"/>
  <c r="T50" i="8"/>
  <c r="T19" i="8"/>
  <c r="T27" i="8"/>
  <c r="T35" i="8"/>
  <c r="T43" i="8"/>
  <c r="T51" i="8"/>
  <c r="T34" i="8"/>
  <c r="T42" i="8"/>
  <c r="T20" i="8"/>
  <c r="T28" i="8"/>
  <c r="T36" i="8"/>
  <c r="T44" i="8"/>
  <c r="R74" i="8"/>
  <c r="S74" i="8" s="1"/>
  <c r="M74" i="8"/>
  <c r="N74" i="8" s="1"/>
  <c r="D74" i="8"/>
  <c r="E74" i="8" s="1"/>
  <c r="H74" i="8" s="1"/>
  <c r="I74" i="8" s="1"/>
  <c r="R73" i="8"/>
  <c r="S73" i="8" s="1"/>
  <c r="M73" i="8"/>
  <c r="N73" i="8" s="1"/>
  <c r="D73" i="8"/>
  <c r="E73" i="8" s="1"/>
  <c r="H73" i="8" s="1"/>
  <c r="I73" i="8" s="1"/>
  <c r="R72" i="8"/>
  <c r="S72" i="8" s="1"/>
  <c r="M72" i="8"/>
  <c r="N72" i="8" s="1"/>
  <c r="D72" i="8"/>
  <c r="E72" i="8" s="1"/>
  <c r="H72" i="8" s="1"/>
  <c r="I72" i="8" s="1"/>
  <c r="R71" i="8"/>
  <c r="S71" i="8" s="1"/>
  <c r="M71" i="8"/>
  <c r="N71" i="8" s="1"/>
  <c r="D71" i="8"/>
  <c r="E71" i="8" s="1"/>
  <c r="H71" i="8" s="1"/>
  <c r="I71" i="8" s="1"/>
  <c r="R70" i="8"/>
  <c r="S70" i="8" s="1"/>
  <c r="M70" i="8"/>
  <c r="N70" i="8" s="1"/>
  <c r="D70" i="8"/>
  <c r="E70" i="8" s="1"/>
  <c r="H70" i="8" s="1"/>
  <c r="I70" i="8" s="1"/>
  <c r="R69" i="8"/>
  <c r="S69" i="8" s="1"/>
  <c r="M69" i="8"/>
  <c r="N69" i="8" s="1"/>
  <c r="D69" i="8"/>
  <c r="E69" i="8" s="1"/>
  <c r="H69" i="8" s="1"/>
  <c r="I69" i="8" s="1"/>
  <c r="R68" i="8"/>
  <c r="S68" i="8" s="1"/>
  <c r="M68" i="8"/>
  <c r="N68" i="8" s="1"/>
  <c r="D68" i="8"/>
  <c r="E68" i="8" s="1"/>
  <c r="H68" i="8" s="1"/>
  <c r="I68" i="8" s="1"/>
  <c r="R67" i="8"/>
  <c r="S67" i="8" s="1"/>
  <c r="M67" i="8"/>
  <c r="N67" i="8" s="1"/>
  <c r="D67" i="8"/>
  <c r="E67" i="8" s="1"/>
  <c r="H67" i="8" s="1"/>
  <c r="I67" i="8" s="1"/>
  <c r="R66" i="8"/>
  <c r="S66" i="8" s="1"/>
  <c r="M66" i="8"/>
  <c r="N66" i="8" s="1"/>
  <c r="D66" i="8"/>
  <c r="E66" i="8" s="1"/>
  <c r="H66" i="8" s="1"/>
  <c r="I66" i="8" s="1"/>
  <c r="R65" i="8"/>
  <c r="S65" i="8" s="1"/>
  <c r="M65" i="8"/>
  <c r="N65" i="8" s="1"/>
  <c r="D65" i="8"/>
  <c r="E65" i="8" s="1"/>
  <c r="H65" i="8" s="1"/>
  <c r="I65" i="8" s="1"/>
  <c r="R64" i="8"/>
  <c r="S64" i="8" s="1"/>
  <c r="M64" i="8"/>
  <c r="N64" i="8" s="1"/>
  <c r="D64" i="8"/>
  <c r="E64" i="8" s="1"/>
  <c r="H64" i="8" s="1"/>
  <c r="I64" i="8" s="1"/>
  <c r="R63" i="8"/>
  <c r="S63" i="8" s="1"/>
  <c r="M63" i="8"/>
  <c r="N63" i="8" s="1"/>
  <c r="D63" i="8"/>
  <c r="E63" i="8" s="1"/>
  <c r="H63" i="8" s="1"/>
  <c r="I63" i="8" s="1"/>
  <c r="B63" i="8"/>
  <c r="C63" i="8" s="1"/>
  <c r="R62" i="8"/>
  <c r="S62" i="8" s="1"/>
  <c r="M62" i="8"/>
  <c r="N62" i="8" s="1"/>
  <c r="K62" i="8"/>
  <c r="D62" i="8"/>
  <c r="E62" i="8" s="1"/>
  <c r="H62" i="8" s="1"/>
  <c r="I62" i="8" s="1"/>
  <c r="C62" i="8"/>
  <c r="O57" i="8"/>
  <c r="T57" i="8" s="1"/>
  <c r="B48" i="8"/>
  <c r="B41" i="8"/>
  <c r="B34" i="8"/>
  <c r="C32" i="8"/>
  <c r="C39" i="8" s="1"/>
  <c r="C46" i="8" s="1"/>
  <c r="C53" i="8" s="1"/>
  <c r="C31" i="8"/>
  <c r="C38" i="8" s="1"/>
  <c r="C30" i="8"/>
  <c r="C37" i="8" s="1"/>
  <c r="C44" i="8" s="1"/>
  <c r="C29" i="8"/>
  <c r="C36" i="8" s="1"/>
  <c r="C43" i="8" s="1"/>
  <c r="C50" i="8" s="1"/>
  <c r="C28" i="8"/>
  <c r="C35" i="8" s="1"/>
  <c r="C42" i="8" s="1"/>
  <c r="C27" i="8"/>
  <c r="C34" i="8" s="1"/>
  <c r="B27" i="8"/>
  <c r="B28" i="8" s="1"/>
  <c r="C26" i="8"/>
  <c r="B20" i="8"/>
  <c r="C7" i="8"/>
  <c r="I4" i="4"/>
  <c r="W60" i="6"/>
  <c r="V60" i="6"/>
  <c r="U60" i="6"/>
  <c r="T60" i="6"/>
  <c r="D28" i="4"/>
  <c r="E28" i="4" s="1"/>
  <c r="F28" i="4" s="1"/>
  <c r="G28" i="4" s="1"/>
  <c r="H28" i="4" s="1"/>
  <c r="I28" i="4" s="1"/>
  <c r="C33" i="8" l="1"/>
  <c r="E26" i="8"/>
  <c r="O65" i="8"/>
  <c r="T63" i="8"/>
  <c r="O73" i="8"/>
  <c r="K63" i="8"/>
  <c r="O68" i="8"/>
  <c r="E34" i="8"/>
  <c r="F34" i="8" s="1"/>
  <c r="O66" i="8"/>
  <c r="T71" i="8"/>
  <c r="T68" i="8"/>
  <c r="O62" i="8"/>
  <c r="T66" i="8"/>
  <c r="O63" i="8"/>
  <c r="U63" i="8" s="1"/>
  <c r="V63" i="8" s="1"/>
  <c r="O72" i="8"/>
  <c r="O67" i="8"/>
  <c r="D19" i="8"/>
  <c r="G19" i="8" s="1"/>
  <c r="H19" i="8" s="1"/>
  <c r="I19" i="8" s="1"/>
  <c r="K19" i="8" s="1"/>
  <c r="O71" i="8"/>
  <c r="T67" i="8"/>
  <c r="E39" i="8"/>
  <c r="F39" i="8" s="1"/>
  <c r="O70" i="8"/>
  <c r="E43" i="8"/>
  <c r="F43" i="8" s="1"/>
  <c r="E24" i="8"/>
  <c r="B64" i="8"/>
  <c r="B65" i="8" s="1"/>
  <c r="B66" i="8" s="1"/>
  <c r="O74" i="8"/>
  <c r="E28" i="8"/>
  <c r="F28" i="8" s="1"/>
  <c r="E53" i="8"/>
  <c r="F53" i="8" s="1"/>
  <c r="O69" i="8"/>
  <c r="T72" i="8"/>
  <c r="D20" i="8"/>
  <c r="G20" i="8" s="1"/>
  <c r="H20" i="8" s="1"/>
  <c r="I20" i="8" s="1"/>
  <c r="K20" i="8" s="1"/>
  <c r="O64" i="8"/>
  <c r="T69" i="8"/>
  <c r="E44" i="8"/>
  <c r="F44" i="8" s="1"/>
  <c r="C51" i="8"/>
  <c r="E51" i="8" s="1"/>
  <c r="F51" i="8" s="1"/>
  <c r="D27" i="8"/>
  <c r="G27" i="8" s="1"/>
  <c r="H27" i="8" s="1"/>
  <c r="I27" i="8" s="1"/>
  <c r="K27" i="8" s="1"/>
  <c r="D26" i="8"/>
  <c r="G26" i="8" s="1"/>
  <c r="H26" i="8" s="1"/>
  <c r="D47" i="8"/>
  <c r="G47" i="8" s="1"/>
  <c r="H47" i="8" s="1"/>
  <c r="D40" i="8"/>
  <c r="G40" i="8" s="1"/>
  <c r="H40" i="8" s="1"/>
  <c r="D33" i="8"/>
  <c r="G33" i="8" s="1"/>
  <c r="H33" i="8" s="1"/>
  <c r="B21" i="8"/>
  <c r="F26" i="8"/>
  <c r="E27" i="8"/>
  <c r="F27" i="8" s="1"/>
  <c r="J27" i="8" s="1"/>
  <c r="E42" i="8"/>
  <c r="F42" i="8" s="1"/>
  <c r="T70" i="8"/>
  <c r="T73" i="8"/>
  <c r="E20" i="8"/>
  <c r="E21" i="8"/>
  <c r="E25" i="8"/>
  <c r="E33" i="8"/>
  <c r="F33" i="8" s="1"/>
  <c r="C41" i="8"/>
  <c r="E46" i="8"/>
  <c r="F46" i="8" s="1"/>
  <c r="D41" i="8"/>
  <c r="G41" i="8" s="1"/>
  <c r="H41" i="8" s="1"/>
  <c r="I41" i="8" s="1"/>
  <c r="K41" i="8" s="1"/>
  <c r="B42" i="8"/>
  <c r="C45" i="8"/>
  <c r="E38" i="8"/>
  <c r="F38" i="8" s="1"/>
  <c r="E32" i="8"/>
  <c r="F32" i="8" s="1"/>
  <c r="E37" i="8"/>
  <c r="F37" i="8" s="1"/>
  <c r="C49" i="8"/>
  <c r="E49" i="8" s="1"/>
  <c r="F49" i="8" s="1"/>
  <c r="E50" i="8"/>
  <c r="F50" i="8" s="1"/>
  <c r="T62" i="8"/>
  <c r="U62" i="8" s="1"/>
  <c r="V62" i="8" s="1"/>
  <c r="T64" i="8"/>
  <c r="E31" i="8"/>
  <c r="F31" i="8" s="1"/>
  <c r="D48" i="8"/>
  <c r="G48" i="8" s="1"/>
  <c r="H48" i="8" s="1"/>
  <c r="I48" i="8" s="1"/>
  <c r="K48" i="8" s="1"/>
  <c r="B49" i="8"/>
  <c r="T65" i="8"/>
  <c r="E22" i="8"/>
  <c r="F19" i="8"/>
  <c r="J19" i="8" s="1"/>
  <c r="S19" i="8" s="1"/>
  <c r="U19" i="8" s="1"/>
  <c r="E23" i="8"/>
  <c r="E30" i="8"/>
  <c r="F30" i="8" s="1"/>
  <c r="E35" i="8"/>
  <c r="F35" i="8" s="1"/>
  <c r="E36" i="8"/>
  <c r="F36" i="8" s="1"/>
  <c r="D28" i="8"/>
  <c r="G28" i="8" s="1"/>
  <c r="H28" i="8" s="1"/>
  <c r="I28" i="8" s="1"/>
  <c r="K28" i="8" s="1"/>
  <c r="B29" i="8"/>
  <c r="E29" i="8"/>
  <c r="F29" i="8" s="1"/>
  <c r="D34" i="8"/>
  <c r="G34" i="8" s="1"/>
  <c r="H34" i="8" s="1"/>
  <c r="I34" i="8" s="1"/>
  <c r="K34" i="8" s="1"/>
  <c r="B35" i="8"/>
  <c r="T74" i="8"/>
  <c r="C40" i="8"/>
  <c r="I47" i="8" l="1"/>
  <c r="K47" i="8" s="1"/>
  <c r="J28" i="8"/>
  <c r="I40" i="8"/>
  <c r="K40" i="8" s="1"/>
  <c r="I26" i="8"/>
  <c r="K26" i="8" s="1"/>
  <c r="J34" i="8"/>
  <c r="S34" i="8" s="1"/>
  <c r="I33" i="8"/>
  <c r="K33" i="8" s="1"/>
  <c r="F22" i="8"/>
  <c r="F24" i="8"/>
  <c r="K64" i="8"/>
  <c r="F20" i="8"/>
  <c r="F25" i="8"/>
  <c r="F21" i="8"/>
  <c r="F23" i="8"/>
  <c r="C64" i="8"/>
  <c r="K65" i="8"/>
  <c r="C65" i="8"/>
  <c r="D49" i="8"/>
  <c r="G49" i="8" s="1"/>
  <c r="H49" i="8" s="1"/>
  <c r="I49" i="8" s="1"/>
  <c r="K49" i="8" s="1"/>
  <c r="B50" i="8"/>
  <c r="B22" i="8"/>
  <c r="D21" i="8"/>
  <c r="G21" i="8" s="1"/>
  <c r="H21" i="8" s="1"/>
  <c r="I21" i="8" s="1"/>
  <c r="K21" i="8" s="1"/>
  <c r="B43" i="8"/>
  <c r="D42" i="8"/>
  <c r="G42" i="8" s="1"/>
  <c r="H42" i="8" s="1"/>
  <c r="I42" i="8" s="1"/>
  <c r="K42" i="8" s="1"/>
  <c r="S28" i="8"/>
  <c r="U28" i="8" s="1"/>
  <c r="C52" i="8"/>
  <c r="E52" i="8" s="1"/>
  <c r="F52" i="8" s="1"/>
  <c r="E45" i="8"/>
  <c r="F45" i="8" s="1"/>
  <c r="D35" i="8"/>
  <c r="G35" i="8" s="1"/>
  <c r="H35" i="8" s="1"/>
  <c r="I35" i="8" s="1"/>
  <c r="K35" i="8" s="1"/>
  <c r="B36" i="8"/>
  <c r="S27" i="8"/>
  <c r="U27" i="8" s="1"/>
  <c r="K66" i="8"/>
  <c r="C66" i="8"/>
  <c r="B67" i="8"/>
  <c r="E41" i="8"/>
  <c r="F41" i="8" s="1"/>
  <c r="J41" i="8" s="1"/>
  <c r="C48" i="8"/>
  <c r="E48" i="8" s="1"/>
  <c r="F48" i="8" s="1"/>
  <c r="J48" i="8" s="1"/>
  <c r="E40" i="8"/>
  <c r="F40" i="8" s="1"/>
  <c r="C47" i="8"/>
  <c r="E47" i="8" s="1"/>
  <c r="F47" i="8" s="1"/>
  <c r="J47" i="8" s="1"/>
  <c r="D29" i="8"/>
  <c r="G29" i="8" s="1"/>
  <c r="H29" i="8" s="1"/>
  <c r="I29" i="8" s="1"/>
  <c r="K29" i="8" s="1"/>
  <c r="B30" i="8"/>
  <c r="J26" i="8" l="1"/>
  <c r="S26" i="8" s="1"/>
  <c r="U26" i="8" s="1"/>
  <c r="U65" i="8"/>
  <c r="V65" i="8" s="1"/>
  <c r="J42" i="8"/>
  <c r="U34" i="8"/>
  <c r="D21" i="9" s="1"/>
  <c r="J33" i="8"/>
  <c r="S33" i="8" s="1"/>
  <c r="J40" i="8"/>
  <c r="S40" i="8" s="1"/>
  <c r="J29" i="8"/>
  <c r="J20" i="8"/>
  <c r="S20" i="8" s="1"/>
  <c r="U20" i="8" s="1"/>
  <c r="J49" i="8"/>
  <c r="J21" i="8"/>
  <c r="S21" i="8" s="1"/>
  <c r="U21" i="8" s="1"/>
  <c r="J35" i="8"/>
  <c r="E20" i="9"/>
  <c r="D20" i="9"/>
  <c r="C20" i="9"/>
  <c r="S29" i="8"/>
  <c r="U29" i="8" s="1"/>
  <c r="S41" i="8"/>
  <c r="S48" i="8"/>
  <c r="S47" i="8"/>
  <c r="U64" i="8"/>
  <c r="V64" i="8" s="1"/>
  <c r="U66" i="8"/>
  <c r="V66" i="8" s="1"/>
  <c r="B23" i="8"/>
  <c r="D22" i="8"/>
  <c r="G22" i="8" s="1"/>
  <c r="H22" i="8" s="1"/>
  <c r="I22" i="8" s="1"/>
  <c r="K22" i="8" s="1"/>
  <c r="N26" i="8"/>
  <c r="O26" i="8" s="1"/>
  <c r="Q26" i="8" s="1"/>
  <c r="N28" i="8"/>
  <c r="O28" i="8" s="1"/>
  <c r="Q28" i="8" s="1"/>
  <c r="B51" i="8"/>
  <c r="D50" i="8"/>
  <c r="G50" i="8" s="1"/>
  <c r="H50" i="8" s="1"/>
  <c r="I50" i="8" s="1"/>
  <c r="J50" i="8" s="1"/>
  <c r="S42" i="8"/>
  <c r="N40" i="8"/>
  <c r="O40" i="8" s="1"/>
  <c r="Q40" i="8" s="1"/>
  <c r="S35" i="8"/>
  <c r="B44" i="8"/>
  <c r="D43" i="8"/>
  <c r="G43" i="8" s="1"/>
  <c r="H43" i="8" s="1"/>
  <c r="S49" i="8"/>
  <c r="N34" i="8"/>
  <c r="O34" i="8" s="1"/>
  <c r="Q34" i="8" s="1"/>
  <c r="N47" i="8"/>
  <c r="O47" i="8" s="1"/>
  <c r="Q47" i="8" s="1"/>
  <c r="N33" i="8"/>
  <c r="O33" i="8" s="1"/>
  <c r="Q33" i="8" s="1"/>
  <c r="B68" i="8"/>
  <c r="K67" i="8"/>
  <c r="C67" i="8"/>
  <c r="N41" i="8"/>
  <c r="O41" i="8" s="1"/>
  <c r="Q41" i="8" s="1"/>
  <c r="B37" i="8"/>
  <c r="D36" i="8"/>
  <c r="G36" i="8" s="1"/>
  <c r="H36" i="8" s="1"/>
  <c r="D30" i="8"/>
  <c r="G30" i="8" s="1"/>
  <c r="H30" i="8" s="1"/>
  <c r="B31" i="8"/>
  <c r="N27" i="8"/>
  <c r="O27" i="8" s="1"/>
  <c r="Q27" i="8" s="1"/>
  <c r="N48" i="8"/>
  <c r="O48" i="8" s="1"/>
  <c r="Q48" i="8" s="1"/>
  <c r="I43" i="8" l="1"/>
  <c r="J43" i="8"/>
  <c r="S43" i="8" s="1"/>
  <c r="U41" i="8"/>
  <c r="D22" i="9" s="1"/>
  <c r="U33" i="8"/>
  <c r="C21" i="9" s="1"/>
  <c r="U35" i="8"/>
  <c r="E21" i="9" s="1"/>
  <c r="U49" i="8"/>
  <c r="E23" i="9" s="1"/>
  <c r="U42" i="8"/>
  <c r="E22" i="9" s="1"/>
  <c r="U48" i="8"/>
  <c r="D23" i="9" s="1"/>
  <c r="I30" i="8"/>
  <c r="J30" i="8"/>
  <c r="S30" i="8" s="1"/>
  <c r="U30" i="8" s="1"/>
  <c r="U40" i="8"/>
  <c r="C22" i="9" s="1"/>
  <c r="I36" i="8"/>
  <c r="J36" i="8"/>
  <c r="U47" i="8"/>
  <c r="C23" i="9" s="1"/>
  <c r="J22" i="8"/>
  <c r="S22" i="8" s="1"/>
  <c r="U22" i="8" s="1"/>
  <c r="D30" i="9"/>
  <c r="C30" i="9"/>
  <c r="E30" i="9"/>
  <c r="F20" i="9"/>
  <c r="E19" i="9"/>
  <c r="D19" i="9"/>
  <c r="K43" i="8"/>
  <c r="K30" i="8"/>
  <c r="K50" i="8"/>
  <c r="S50" i="8"/>
  <c r="K36" i="8"/>
  <c r="C19" i="9"/>
  <c r="N20" i="8"/>
  <c r="O20" i="8" s="1"/>
  <c r="P20" i="8" s="1"/>
  <c r="N19" i="8"/>
  <c r="O19" i="8" s="1"/>
  <c r="Q19" i="8" s="1"/>
  <c r="P33" i="8"/>
  <c r="P48" i="8"/>
  <c r="P28" i="8"/>
  <c r="P47" i="8"/>
  <c r="P27" i="8"/>
  <c r="U67" i="8"/>
  <c r="V67" i="8" s="1"/>
  <c r="P34" i="8"/>
  <c r="P40" i="8"/>
  <c r="P26" i="8"/>
  <c r="B38" i="8"/>
  <c r="D37" i="8"/>
  <c r="G37" i="8" s="1"/>
  <c r="H37" i="8" s="1"/>
  <c r="P41" i="8"/>
  <c r="D31" i="8"/>
  <c r="G31" i="8" s="1"/>
  <c r="H31" i="8" s="1"/>
  <c r="B32" i="8"/>
  <c r="D32" i="8" s="1"/>
  <c r="G32" i="8" s="1"/>
  <c r="H32" i="8" s="1"/>
  <c r="N49" i="8"/>
  <c r="O49" i="8" s="1"/>
  <c r="Q49" i="8" s="1"/>
  <c r="N42" i="8"/>
  <c r="O42" i="8" s="1"/>
  <c r="Q42" i="8" s="1"/>
  <c r="N35" i="8"/>
  <c r="O35" i="8" s="1"/>
  <c r="Q35" i="8" s="1"/>
  <c r="N21" i="8"/>
  <c r="B69" i="8"/>
  <c r="K68" i="8"/>
  <c r="C68" i="8"/>
  <c r="B24" i="8"/>
  <c r="D23" i="8"/>
  <c r="G23" i="8" s="1"/>
  <c r="H23" i="8" s="1"/>
  <c r="S36" i="8"/>
  <c r="B45" i="8"/>
  <c r="D44" i="8"/>
  <c r="G44" i="8" s="1"/>
  <c r="H44" i="8" s="1"/>
  <c r="B52" i="8"/>
  <c r="D51" i="8"/>
  <c r="G51" i="8" s="1"/>
  <c r="H51" i="8" s="1"/>
  <c r="I51" i="8" s="1"/>
  <c r="J51" i="8" s="1"/>
  <c r="N29" i="8"/>
  <c r="O29" i="8" s="1"/>
  <c r="Q29" i="8" s="1"/>
  <c r="C33" i="9" l="1"/>
  <c r="E33" i="9"/>
  <c r="D33" i="9"/>
  <c r="C31" i="9"/>
  <c r="E31" i="9"/>
  <c r="D31" i="9"/>
  <c r="U43" i="8"/>
  <c r="F22" i="9" s="1"/>
  <c r="C32" i="9"/>
  <c r="E32" i="9"/>
  <c r="D32" i="9"/>
  <c r="U50" i="8"/>
  <c r="F23" i="9" s="1"/>
  <c r="I23" i="8"/>
  <c r="J23" i="8"/>
  <c r="S23" i="8" s="1"/>
  <c r="U23" i="8" s="1"/>
  <c r="I31" i="8"/>
  <c r="J31" i="8" s="1"/>
  <c r="S31" i="8" s="1"/>
  <c r="U31" i="8" s="1"/>
  <c r="I44" i="8"/>
  <c r="J44" i="8" s="1"/>
  <c r="S44" i="8" s="1"/>
  <c r="U36" i="8"/>
  <c r="F21" i="9" s="1"/>
  <c r="I32" i="8"/>
  <c r="J32" i="8"/>
  <c r="S32" i="8" s="1"/>
  <c r="U32" i="8" s="1"/>
  <c r="I37" i="8"/>
  <c r="J37" i="8" s="1"/>
  <c r="S37" i="8" s="1"/>
  <c r="D29" i="9"/>
  <c r="E29" i="9"/>
  <c r="C29" i="9"/>
  <c r="G20" i="9"/>
  <c r="K51" i="8"/>
  <c r="S51" i="8"/>
  <c r="K23" i="8"/>
  <c r="K32" i="8"/>
  <c r="Q20" i="8"/>
  <c r="P19" i="8"/>
  <c r="O21" i="8"/>
  <c r="P21" i="8" s="1"/>
  <c r="P35" i="8"/>
  <c r="P49" i="8"/>
  <c r="P42" i="8"/>
  <c r="P29" i="8"/>
  <c r="N43" i="8"/>
  <c r="O43" i="8" s="1"/>
  <c r="Q43" i="8" s="1"/>
  <c r="N50" i="8"/>
  <c r="O50" i="8" s="1"/>
  <c r="Q50" i="8" s="1"/>
  <c r="B39" i="8"/>
  <c r="D39" i="8" s="1"/>
  <c r="G39" i="8" s="1"/>
  <c r="H39" i="8" s="1"/>
  <c r="D38" i="8"/>
  <c r="G38" i="8" s="1"/>
  <c r="H38" i="8" s="1"/>
  <c r="C69" i="8"/>
  <c r="B70" i="8"/>
  <c r="K69" i="8"/>
  <c r="B46" i="8"/>
  <c r="D46" i="8" s="1"/>
  <c r="G46" i="8" s="1"/>
  <c r="H46" i="8" s="1"/>
  <c r="D45" i="8"/>
  <c r="G45" i="8" s="1"/>
  <c r="H45" i="8" s="1"/>
  <c r="N30" i="8"/>
  <c r="O30" i="8" s="1"/>
  <c r="Q30" i="8" s="1"/>
  <c r="B53" i="8"/>
  <c r="D53" i="8" s="1"/>
  <c r="G53" i="8" s="1"/>
  <c r="H53" i="8" s="1"/>
  <c r="I53" i="8" s="1"/>
  <c r="J53" i="8" s="1"/>
  <c r="D52" i="8"/>
  <c r="G52" i="8" s="1"/>
  <c r="H52" i="8" s="1"/>
  <c r="I52" i="8" s="1"/>
  <c r="J52" i="8" s="1"/>
  <c r="N36" i="8"/>
  <c r="O36" i="8" s="1"/>
  <c r="Q36" i="8" s="1"/>
  <c r="B25" i="8"/>
  <c r="D25" i="8" s="1"/>
  <c r="G25" i="8" s="1"/>
  <c r="H25" i="8" s="1"/>
  <c r="D24" i="8"/>
  <c r="G24" i="8" s="1"/>
  <c r="H24" i="8" s="1"/>
  <c r="U68" i="8"/>
  <c r="V68" i="8" s="1"/>
  <c r="N22" i="8"/>
  <c r="O22" i="8" s="1"/>
  <c r="Q22" i="8" s="1"/>
  <c r="K44" i="8" l="1"/>
  <c r="U37" i="8"/>
  <c r="G21" i="9" s="1"/>
  <c r="I24" i="8"/>
  <c r="J24" i="8"/>
  <c r="I25" i="8"/>
  <c r="J25" i="8"/>
  <c r="S25" i="8" s="1"/>
  <c r="U25" i="8" s="1"/>
  <c r="U44" i="8"/>
  <c r="G22" i="9" s="1"/>
  <c r="I45" i="8"/>
  <c r="J45" i="8" s="1"/>
  <c r="S45" i="8" s="1"/>
  <c r="K37" i="8"/>
  <c r="I46" i="8"/>
  <c r="J46" i="8" s="1"/>
  <c r="S46" i="8" s="1"/>
  <c r="G23" i="9"/>
  <c r="G33" i="9" s="1"/>
  <c r="U51" i="8"/>
  <c r="I38" i="8"/>
  <c r="J38" i="8" s="1"/>
  <c r="S38" i="8" s="1"/>
  <c r="I39" i="8"/>
  <c r="J39" i="8" s="1"/>
  <c r="S39" i="8" s="1"/>
  <c r="K31" i="8"/>
  <c r="G30" i="9"/>
  <c r="F30" i="9"/>
  <c r="I20" i="9"/>
  <c r="H20" i="9"/>
  <c r="F19" i="9"/>
  <c r="K46" i="8"/>
  <c r="K52" i="8"/>
  <c r="S52" i="8"/>
  <c r="K53" i="8"/>
  <c r="S53" i="8"/>
  <c r="K24" i="8"/>
  <c r="S24" i="8"/>
  <c r="U24" i="8" s="1"/>
  <c r="K45" i="8"/>
  <c r="K25" i="8"/>
  <c r="Q21" i="8"/>
  <c r="P36" i="8"/>
  <c r="P30" i="8"/>
  <c r="N51" i="8"/>
  <c r="O51" i="8" s="1"/>
  <c r="Q51" i="8" s="1"/>
  <c r="N31" i="8"/>
  <c r="O31" i="8" s="1"/>
  <c r="Q31" i="8" s="1"/>
  <c r="N23" i="8"/>
  <c r="O23" i="8" s="1"/>
  <c r="Q23" i="8" s="1"/>
  <c r="N44" i="8"/>
  <c r="O44" i="8" s="1"/>
  <c r="Q44" i="8" s="1"/>
  <c r="P50" i="8"/>
  <c r="N37" i="8"/>
  <c r="O37" i="8" s="1"/>
  <c r="Q37" i="8" s="1"/>
  <c r="N32" i="8"/>
  <c r="O32" i="8" s="1"/>
  <c r="Q32" i="8" s="1"/>
  <c r="C70" i="8"/>
  <c r="B71" i="8"/>
  <c r="K70" i="8"/>
  <c r="P43" i="8"/>
  <c r="P22" i="8"/>
  <c r="U69" i="8"/>
  <c r="V69" i="8" s="1"/>
  <c r="K39" i="8" l="1"/>
  <c r="U39" i="8"/>
  <c r="I21" i="9" s="1"/>
  <c r="U38" i="8"/>
  <c r="H21" i="9" s="1"/>
  <c r="U46" i="8"/>
  <c r="I22" i="9" s="1"/>
  <c r="G32" i="9"/>
  <c r="F32" i="9"/>
  <c r="G31" i="9"/>
  <c r="F31" i="9"/>
  <c r="F33" i="9"/>
  <c r="U45" i="8"/>
  <c r="H22" i="9" s="1"/>
  <c r="U52" i="8"/>
  <c r="H23" i="9" s="1"/>
  <c r="K38" i="8"/>
  <c r="N38" i="8" s="1"/>
  <c r="O38" i="8" s="1"/>
  <c r="Q38" i="8" s="1"/>
  <c r="I23" i="9"/>
  <c r="I33" i="9" s="1"/>
  <c r="U53" i="8"/>
  <c r="I30" i="9"/>
  <c r="H30" i="9"/>
  <c r="G19" i="9"/>
  <c r="P32" i="8"/>
  <c r="P37" i="8"/>
  <c r="N39" i="8"/>
  <c r="O39" i="8" s="1"/>
  <c r="Q39" i="8" s="1"/>
  <c r="N46" i="8"/>
  <c r="O46" i="8" s="1"/>
  <c r="Q46" i="8" s="1"/>
  <c r="N53" i="8"/>
  <c r="O53" i="8" s="1"/>
  <c r="Q53" i="8" s="1"/>
  <c r="P23" i="8"/>
  <c r="P31" i="8"/>
  <c r="P44" i="8"/>
  <c r="P51" i="8"/>
  <c r="C71" i="8"/>
  <c r="K71" i="8"/>
  <c r="B72" i="8"/>
  <c r="N24" i="8"/>
  <c r="O24" i="8" s="1"/>
  <c r="Q24" i="8" s="1"/>
  <c r="U70" i="8"/>
  <c r="V70" i="8" s="1"/>
  <c r="N52" i="8"/>
  <c r="O52" i="8" s="1"/>
  <c r="Q52" i="8" s="1"/>
  <c r="N25" i="8"/>
  <c r="O25" i="8" s="1"/>
  <c r="Q25" i="8" s="1"/>
  <c r="N45" i="8"/>
  <c r="O45" i="8" s="1"/>
  <c r="Q45" i="8" s="1"/>
  <c r="H31" i="9" l="1"/>
  <c r="I31" i="9"/>
  <c r="H32" i="9"/>
  <c r="I32" i="9"/>
  <c r="H33" i="9"/>
  <c r="G29" i="9"/>
  <c r="F29" i="9"/>
  <c r="I19" i="9"/>
  <c r="H19" i="9"/>
  <c r="U71" i="8"/>
  <c r="V71" i="8" s="1"/>
  <c r="P46" i="8"/>
  <c r="P39" i="8"/>
  <c r="P38" i="8"/>
  <c r="P24" i="8"/>
  <c r="C72" i="8"/>
  <c r="K72" i="8"/>
  <c r="B73" i="8"/>
  <c r="P53" i="8"/>
  <c r="P25" i="8"/>
  <c r="P52" i="8"/>
  <c r="P45" i="8"/>
  <c r="I29" i="9" l="1"/>
  <c r="H29" i="9"/>
  <c r="B74" i="8"/>
  <c r="K73" i="8"/>
  <c r="C73" i="8"/>
  <c r="U72" i="8"/>
  <c r="V72" i="8" s="1"/>
  <c r="U73" i="8" l="1"/>
  <c r="V73" i="8" s="1"/>
  <c r="K74" i="8"/>
  <c r="C74" i="8"/>
  <c r="U74" i="8" l="1"/>
  <c r="V74" i="8" s="1"/>
  <c r="C40" i="4" l="1"/>
  <c r="B19" i="4"/>
  <c r="D18" i="4"/>
  <c r="B21" i="9" l="1"/>
  <c r="B31" i="9" s="1"/>
  <c r="B20" i="9"/>
  <c r="C41" i="9"/>
  <c r="F41" i="9" s="1"/>
  <c r="C43" i="4"/>
  <c r="F43" i="4" s="1"/>
  <c r="C42" i="9"/>
  <c r="F42" i="9" s="1"/>
  <c r="C42" i="4"/>
  <c r="F42" i="4" s="1"/>
  <c r="C41" i="4"/>
  <c r="F41" i="4" s="1"/>
  <c r="B29" i="4"/>
  <c r="F40" i="4"/>
  <c r="E18" i="4"/>
  <c r="F18" i="4" s="1"/>
  <c r="G18" i="4" s="1"/>
  <c r="H18" i="4" s="1"/>
  <c r="I18" i="4" s="1"/>
  <c r="B20" i="4"/>
  <c r="B30" i="4" s="1"/>
  <c r="I24" i="9"/>
  <c r="C21" i="4" l="1"/>
  <c r="C31" i="4" s="1"/>
  <c r="B21" i="4"/>
  <c r="B31" i="4" s="1"/>
  <c r="B30" i="9"/>
  <c r="C43" i="9"/>
  <c r="F43" i="9" s="1"/>
  <c r="D23" i="4"/>
  <c r="F33" i="4" s="1"/>
  <c r="H24" i="4"/>
  <c r="H24" i="9"/>
  <c r="C24" i="9"/>
  <c r="D24" i="4"/>
  <c r="D24" i="9"/>
  <c r="E24" i="4"/>
  <c r="E24" i="9"/>
  <c r="C24" i="4"/>
  <c r="I24" i="4"/>
  <c r="D22" i="4"/>
  <c r="F32" i="4" s="1"/>
  <c r="D20" i="4"/>
  <c r="F30" i="4" s="1"/>
  <c r="C20" i="4"/>
  <c r="C30" i="4" s="1"/>
  <c r="D21" i="4"/>
  <c r="F31" i="4" s="1"/>
  <c r="H19" i="4"/>
  <c r="I19" i="4"/>
  <c r="I29" i="4" s="1"/>
  <c r="D40" i="9"/>
  <c r="G40" i="9" s="1"/>
  <c r="D19" i="4"/>
  <c r="F29" i="4" s="1"/>
  <c r="C22" i="4" l="1"/>
  <c r="C32" i="4" s="1"/>
  <c r="B22" i="4"/>
  <c r="B32" i="4" s="1"/>
  <c r="B22" i="9"/>
  <c r="B32" i="9" s="1"/>
  <c r="C44" i="9"/>
  <c r="C44" i="4"/>
  <c r="F44" i="4" s="1"/>
  <c r="D41" i="9"/>
  <c r="G41" i="9" s="1"/>
  <c r="C19" i="4"/>
  <c r="C29" i="4" s="1"/>
  <c r="D41" i="4"/>
  <c r="G41" i="4" s="1"/>
  <c r="D40" i="4"/>
  <c r="E19" i="4"/>
  <c r="E23" i="4"/>
  <c r="E22" i="4"/>
  <c r="E20" i="4"/>
  <c r="E21" i="4"/>
  <c r="D42" i="9"/>
  <c r="G42" i="9" s="1"/>
  <c r="B23" i="9" l="1"/>
  <c r="B33" i="9" s="1"/>
  <c r="B23" i="4"/>
  <c r="B33" i="4" s="1"/>
  <c r="C23" i="4"/>
  <c r="C33" i="4" s="1"/>
  <c r="C45" i="9"/>
  <c r="C45" i="4"/>
  <c r="F45" i="4" s="1"/>
  <c r="F44" i="9"/>
  <c r="G40" i="4"/>
  <c r="D42" i="4"/>
  <c r="D32" i="4"/>
  <c r="E32" i="4"/>
  <c r="H32" i="4"/>
  <c r="H30" i="4"/>
  <c r="E30" i="4"/>
  <c r="D30" i="4"/>
  <c r="H31" i="4"/>
  <c r="D31" i="4"/>
  <c r="E31" i="4"/>
  <c r="D33" i="4"/>
  <c r="E33" i="4"/>
  <c r="H33" i="4"/>
  <c r="E29" i="4"/>
  <c r="H29" i="4"/>
  <c r="D29" i="4"/>
  <c r="F23" i="4"/>
  <c r="F22" i="4"/>
  <c r="F21" i="4"/>
  <c r="D43" i="9"/>
  <c r="G43" i="9" s="1"/>
  <c r="F45" i="9" l="1"/>
  <c r="C46" i="9"/>
  <c r="C46" i="4"/>
  <c r="F46" i="4" s="1"/>
  <c r="G42" i="4"/>
  <c r="D43" i="4"/>
  <c r="G43" i="4" s="1"/>
  <c r="F20" i="4"/>
  <c r="G23" i="4"/>
  <c r="G22" i="4"/>
  <c r="G32" i="4" s="1"/>
  <c r="G20" i="4"/>
  <c r="G30" i="4" s="1"/>
  <c r="G21" i="4"/>
  <c r="D44" i="9"/>
  <c r="G44" i="9" s="1"/>
  <c r="G31" i="4" l="1"/>
  <c r="C47" i="9"/>
  <c r="C47" i="4"/>
  <c r="F47" i="4" s="1"/>
  <c r="F46" i="9"/>
  <c r="D44" i="4"/>
  <c r="G33" i="4"/>
  <c r="H23" i="4"/>
  <c r="I23" i="4"/>
  <c r="H22" i="4"/>
  <c r="I20" i="4"/>
  <c r="I30" i="4" s="1"/>
  <c r="H20" i="4"/>
  <c r="H21" i="4"/>
  <c r="D45" i="9"/>
  <c r="G45" i="9" s="1"/>
  <c r="F47" i="9" l="1"/>
  <c r="C48" i="9"/>
  <c r="C48" i="4"/>
  <c r="F48" i="4" s="1"/>
  <c r="D45" i="4"/>
  <c r="G44" i="4"/>
  <c r="I33" i="4"/>
  <c r="D46" i="9"/>
  <c r="G46" i="9" s="1"/>
  <c r="F48" i="9" l="1"/>
  <c r="C49" i="9"/>
  <c r="C49" i="4"/>
  <c r="F49" i="4" s="1"/>
  <c r="G45" i="4"/>
  <c r="D46" i="4"/>
  <c r="I22" i="4"/>
  <c r="I21" i="4"/>
  <c r="D47" i="9"/>
  <c r="G47" i="9" s="1"/>
  <c r="I31" i="4" l="1"/>
  <c r="F49" i="9"/>
  <c r="C50" i="9"/>
  <c r="C50" i="4"/>
  <c r="F50" i="4" s="1"/>
  <c r="D47" i="4"/>
  <c r="G47" i="4" s="1"/>
  <c r="G46" i="4"/>
  <c r="I32" i="4"/>
  <c r="D48" i="9"/>
  <c r="G48" i="9" s="1"/>
  <c r="F50" i="9" l="1"/>
  <c r="C51" i="9"/>
  <c r="C51" i="4"/>
  <c r="F51" i="4" s="1"/>
  <c r="D48" i="4"/>
  <c r="D49" i="9"/>
  <c r="G49" i="9" s="1"/>
  <c r="F51" i="9" l="1"/>
  <c r="C52" i="4"/>
  <c r="F52" i="4" s="1"/>
  <c r="C52" i="9"/>
  <c r="G48" i="4"/>
  <c r="D49" i="4"/>
  <c r="D50" i="9"/>
  <c r="G50" i="9" s="1"/>
  <c r="F52" i="9" l="1"/>
  <c r="G49" i="4"/>
  <c r="D50" i="4"/>
  <c r="D51" i="9"/>
  <c r="G51" i="9" s="1"/>
  <c r="G50" i="4" l="1"/>
  <c r="D51" i="4"/>
  <c r="G51" i="4" s="1"/>
  <c r="D52" i="9"/>
  <c r="G52" i="9" s="1"/>
  <c r="D52" i="4" l="1"/>
  <c r="G52" i="4" l="1"/>
  <c r="M71" i="10" l="1"/>
  <c r="R71" i="10" s="1"/>
  <c r="L73" i="10"/>
  <c r="Q73" i="10" s="1"/>
  <c r="N72" i="10"/>
  <c r="S72" i="10" s="1"/>
  <c r="M73" i="10"/>
  <c r="R73" i="10" s="1"/>
  <c r="BN56" i="18" l="1"/>
  <c r="BO56" i="18" s="1"/>
  <c r="BN35" i="18"/>
  <c r="BO35" i="18" s="1"/>
  <c r="BN32" i="18"/>
  <c r="BO32" i="18" s="1"/>
  <c r="BN57" i="18"/>
  <c r="BO57" i="18" s="1"/>
  <c r="BN48" i="18"/>
  <c r="BO48" i="18" s="1"/>
  <c r="BN39" i="18"/>
  <c r="BO39" i="18" s="1"/>
  <c r="BN33" i="18"/>
  <c r="BO33" i="18" s="1"/>
  <c r="BN47" i="18"/>
  <c r="BO47" i="18" s="1"/>
  <c r="BN46" i="18"/>
  <c r="BO46" i="18" s="1"/>
  <c r="BN42" i="18"/>
  <c r="BO42" i="18" s="1"/>
  <c r="BN40" i="18"/>
  <c r="BO40" i="18" s="1"/>
  <c r="BN31" i="18"/>
  <c r="BO31" i="18" s="1"/>
  <c r="BN15" i="18"/>
  <c r="BO15" i="18" s="1"/>
  <c r="BN59" i="18"/>
  <c r="BO59" i="18" s="1"/>
  <c r="BN58" i="18"/>
  <c r="BO58" i="18" s="1"/>
  <c r="BN43" i="18"/>
  <c r="BO43" i="18" s="1"/>
  <c r="BN34" i="18"/>
  <c r="BO34" i="18" s="1"/>
  <c r="BN17" i="18"/>
  <c r="BO17" i="18" s="1"/>
  <c r="BN60" i="18"/>
  <c r="BO60" i="18" s="1"/>
  <c r="BN30" i="18"/>
  <c r="BO30" i="18" s="1"/>
  <c r="BN25" i="18"/>
  <c r="BO25" i="18" s="1"/>
  <c r="BN16" i="18"/>
  <c r="BO16" i="18" s="1"/>
  <c r="BN29" i="18"/>
  <c r="BO29" i="18" s="1"/>
  <c r="BN24" i="18"/>
  <c r="BO24" i="18" s="1"/>
  <c r="BN38" i="18"/>
  <c r="BO38" i="18" s="1"/>
  <c r="BN37" i="18"/>
  <c r="BO37" i="18" s="1"/>
  <c r="BN22" i="18"/>
  <c r="BO22" i="18" s="1"/>
  <c r="BN21" i="18"/>
  <c r="BO21" i="18" s="1"/>
  <c r="BN52" i="18"/>
  <c r="BO52" i="18" s="1"/>
  <c r="BN28" i="18"/>
  <c r="BO28" i="18" s="1"/>
  <c r="BN61" i="18"/>
  <c r="BO61" i="18" s="1"/>
  <c r="BN19" i="18"/>
  <c r="BO19" i="18" s="1"/>
  <c r="BN20" i="18"/>
  <c r="BO20" i="18" s="1"/>
  <c r="BN62" i="18"/>
  <c r="BO62" i="18" s="1"/>
  <c r="BN36" i="18"/>
  <c r="BO36" i="18" s="1"/>
  <c r="BN18" i="18"/>
  <c r="BO18" i="18" s="1"/>
  <c r="BN55" i="18"/>
  <c r="BO55" i="18" s="1"/>
  <c r="BN26" i="18"/>
  <c r="BO26" i="18" s="1"/>
  <c r="BN44" i="18"/>
  <c r="BO44" i="18" s="1"/>
  <c r="BN41" i="18"/>
  <c r="BO41" i="18" s="1"/>
  <c r="BN23" i="18"/>
  <c r="BO23" i="18" s="1"/>
  <c r="BN49" i="18"/>
  <c r="BO49" i="18" s="1"/>
  <c r="BN53" i="18"/>
  <c r="BO53" i="18" s="1"/>
  <c r="BN27" i="18"/>
  <c r="BO27" i="18" s="1"/>
  <c r="BN45" i="18"/>
  <c r="BO45" i="18" s="1"/>
  <c r="BN50" i="18"/>
  <c r="BO50" i="18" s="1"/>
  <c r="BN54" i="18"/>
  <c r="BO54" i="18" s="1"/>
  <c r="BN51" i="18"/>
  <c r="BO51" i="18" s="1"/>
  <c r="BN18" i="17"/>
  <c r="BO18" i="17" s="1"/>
  <c r="BN36" i="17"/>
  <c r="BO36" i="17" s="1"/>
  <c r="BN17" i="16"/>
  <c r="BN40" i="17"/>
  <c r="BO40" i="17" s="1"/>
  <c r="BN38" i="17"/>
  <c r="BO38" i="17" s="1"/>
  <c r="BN26" i="17"/>
  <c r="BO26" i="17" s="1"/>
  <c r="BN48" i="16"/>
  <c r="BO48" i="16" s="1"/>
  <c r="BN62" i="16"/>
  <c r="BO62" i="16" s="1"/>
  <c r="BN19" i="16"/>
  <c r="BO19" i="16" s="1"/>
  <c r="BN21" i="16"/>
  <c r="BO21" i="16" s="1"/>
  <c r="BN20" i="17"/>
  <c r="BO20" i="17" s="1"/>
  <c r="BN18" i="16"/>
  <c r="BO18" i="16" s="1"/>
  <c r="BN38" i="16"/>
  <c r="BO38" i="16" s="1"/>
  <c r="BN55" i="16"/>
  <c r="BO55" i="16" s="1"/>
  <c r="BN49" i="16"/>
  <c r="BO49" i="16" s="1"/>
  <c r="BN29" i="16"/>
  <c r="BO29" i="16" s="1"/>
  <c r="BN47" i="17"/>
  <c r="BO47" i="17" s="1"/>
  <c r="BN47" i="16"/>
  <c r="BO47" i="16" s="1"/>
  <c r="BN56" i="17"/>
  <c r="BO56" i="17" s="1"/>
  <c r="BN36" i="16"/>
  <c r="BO36" i="16" s="1"/>
  <c r="BN53" i="16"/>
  <c r="BO53" i="16" s="1"/>
  <c r="BN26" i="16"/>
  <c r="BO26" i="16" s="1"/>
  <c r="BN34" i="16"/>
  <c r="BO34" i="16" s="1"/>
  <c r="BN50" i="16"/>
  <c r="BO50" i="16" s="1"/>
  <c r="BN56" i="16"/>
  <c r="BO56" i="16" s="1"/>
  <c r="BN45" i="17"/>
  <c r="BO45" i="17" s="1"/>
  <c r="BN58" i="17"/>
  <c r="BO58" i="17" s="1"/>
  <c r="BN17" i="17"/>
  <c r="BO17" i="17" s="1"/>
  <c r="BN29" i="17"/>
  <c r="BO29" i="17" s="1"/>
  <c r="BN59" i="17"/>
  <c r="BO59" i="17" s="1"/>
  <c r="BN32" i="16"/>
  <c r="BO32" i="16" s="1"/>
  <c r="BN59" i="16"/>
  <c r="BO59" i="16" s="1"/>
  <c r="BN42" i="16"/>
  <c r="BO42" i="16" s="1"/>
  <c r="BN23" i="17"/>
  <c r="BO23" i="17" s="1"/>
  <c r="BN60" i="16"/>
  <c r="BO60" i="16" s="1"/>
  <c r="BN33" i="17"/>
  <c r="BO33" i="17" s="1"/>
  <c r="BN20" i="16"/>
  <c r="BO20" i="16" s="1"/>
  <c r="BN52" i="17"/>
  <c r="BO52" i="17" s="1"/>
  <c r="BN24" i="16"/>
  <c r="BO24" i="16" s="1"/>
  <c r="BN23" i="16"/>
  <c r="BO23" i="16" s="1"/>
  <c r="BN51" i="16"/>
  <c r="BO51" i="16" s="1"/>
  <c r="BN39" i="16"/>
  <c r="BO39" i="16" s="1"/>
  <c r="BN52" i="16"/>
  <c r="BO52" i="16" s="1"/>
  <c r="BN35" i="17"/>
  <c r="BO35" i="17" s="1"/>
  <c r="BN16" i="16"/>
  <c r="BO16" i="16" s="1"/>
  <c r="BN33" i="16"/>
  <c r="BO33" i="16" s="1"/>
  <c r="BN58" i="16"/>
  <c r="BO58" i="16" s="1"/>
  <c r="BN25" i="16"/>
  <c r="BO25" i="16" s="1"/>
  <c r="BN54" i="16"/>
  <c r="BO54" i="16" s="1"/>
  <c r="BN16" i="17"/>
  <c r="BO16" i="17" s="1"/>
  <c r="BN31" i="17"/>
  <c r="BO31" i="17" s="1"/>
  <c r="BN28" i="16"/>
  <c r="BO28" i="16" s="1"/>
  <c r="BN45" i="16"/>
  <c r="BO45" i="16" s="1"/>
  <c r="BN57" i="16"/>
  <c r="BO57" i="16" s="1"/>
  <c r="BN24" i="17"/>
  <c r="BO24" i="17" s="1"/>
  <c r="BN60" i="17"/>
  <c r="BO60" i="17" s="1"/>
  <c r="BN19" i="17"/>
  <c r="BO19" i="17" s="1"/>
  <c r="BN49" i="17"/>
  <c r="BO49" i="17" s="1"/>
  <c r="BN62" i="17"/>
  <c r="BO62" i="17" s="1"/>
  <c r="BN37" i="17"/>
  <c r="BO37" i="17" s="1"/>
  <c r="BN46" i="17"/>
  <c r="BO46" i="17" s="1"/>
  <c r="BN31" i="16"/>
  <c r="BO31" i="16" s="1"/>
  <c r="BN40" i="16"/>
  <c r="BO40" i="16" s="1"/>
  <c r="BN44" i="16"/>
  <c r="BO44" i="16" s="1"/>
  <c r="BN43" i="17"/>
  <c r="BO43" i="17" s="1"/>
  <c r="BN37" i="16"/>
  <c r="BO37" i="16" s="1"/>
  <c r="BN51" i="17"/>
  <c r="BO51" i="17" s="1"/>
  <c r="BN30" i="16"/>
  <c r="BO30" i="16" s="1"/>
  <c r="BN28" i="17"/>
  <c r="BO28" i="17" s="1"/>
  <c r="BN61" i="17"/>
  <c r="BO61" i="17" s="1"/>
  <c r="BN30" i="17"/>
  <c r="BO30" i="17" s="1"/>
  <c r="BN25" i="17"/>
  <c r="BO25" i="17" s="1"/>
  <c r="BN15" i="16"/>
  <c r="BO15" i="16" s="1"/>
  <c r="BN44" i="17"/>
  <c r="BO44" i="17" s="1"/>
  <c r="BN27" i="16"/>
  <c r="BO27" i="16" s="1"/>
  <c r="BN21" i="17"/>
  <c r="BO21" i="17" s="1"/>
  <c r="BN48" i="17"/>
  <c r="BO48" i="17" s="1"/>
  <c r="BN41" i="17"/>
  <c r="BO41" i="17" s="1"/>
  <c r="BN43" i="16"/>
  <c r="BO43" i="16" s="1"/>
  <c r="BN53" i="17"/>
  <c r="BO53" i="17" s="1"/>
  <c r="BN46" i="16"/>
  <c r="BO46" i="16" s="1"/>
  <c r="BN42" i="17"/>
  <c r="BO42" i="17" s="1"/>
  <c r="BN15" i="17"/>
  <c r="BO15" i="17" s="1"/>
  <c r="BN34" i="17"/>
  <c r="BO34" i="17" s="1"/>
  <c r="BN27" i="17"/>
  <c r="BO27" i="17" s="1"/>
  <c r="BN35" i="16"/>
  <c r="BO35" i="16" s="1"/>
  <c r="BN55" i="17"/>
  <c r="BO55" i="17" s="1"/>
  <c r="BN39" i="17"/>
  <c r="BO39" i="17" s="1"/>
  <c r="BN57" i="17"/>
  <c r="BO57" i="17" s="1"/>
  <c r="BN54" i="17"/>
  <c r="BO54" i="17" s="1"/>
  <c r="BN61" i="16"/>
  <c r="BO61" i="16" s="1"/>
  <c r="BN22" i="17"/>
  <c r="BO22" i="17" s="1"/>
  <c r="BN22" i="16"/>
  <c r="BO22" i="16" s="1"/>
  <c r="BN41" i="16"/>
  <c r="BO41" i="16" s="1"/>
  <c r="BN32" i="17"/>
  <c r="BO32" i="17" s="1"/>
  <c r="BN50" i="17"/>
  <c r="BO50" i="17" s="1"/>
  <c r="BN49" i="15"/>
  <c r="BO49" i="15" s="1"/>
  <c r="BN45" i="15"/>
  <c r="BO45" i="15" s="1"/>
  <c r="BN55" i="15"/>
  <c r="BO55" i="15" s="1"/>
  <c r="BN53" i="15"/>
  <c r="BO53" i="15" s="1"/>
  <c r="BN37" i="15"/>
  <c r="BO37" i="15" s="1"/>
  <c r="BN35" i="15"/>
  <c r="BO35" i="15" s="1"/>
  <c r="BN57" i="15"/>
  <c r="BO57" i="15" s="1"/>
  <c r="BN33" i="15"/>
  <c r="BO33" i="15" s="1"/>
  <c r="BN40" i="15"/>
  <c r="BO40" i="15" s="1"/>
  <c r="BN54" i="15"/>
  <c r="BO54" i="15" s="1"/>
  <c r="BN39" i="15"/>
  <c r="BO39" i="15" s="1"/>
  <c r="BN15" i="15"/>
  <c r="BO15" i="15" s="1"/>
  <c r="BN61" i="15"/>
  <c r="BO61" i="15" s="1"/>
  <c r="BN51" i="15"/>
  <c r="BO51" i="15" s="1"/>
  <c r="BN31" i="15"/>
  <c r="BO31" i="15" s="1"/>
  <c r="BN43" i="15"/>
  <c r="BO43" i="15" s="1"/>
  <c r="BN59" i="15"/>
  <c r="BO59" i="15" s="1"/>
  <c r="BN41" i="15"/>
  <c r="BO41" i="15" s="1"/>
  <c r="BN22" i="15"/>
  <c r="BO22" i="15" s="1"/>
  <c r="BN38" i="15"/>
  <c r="BO38" i="15" s="1"/>
  <c r="BN27" i="15"/>
  <c r="BO27" i="15" s="1"/>
  <c r="BN28" i="15"/>
  <c r="BO28" i="15" s="1"/>
  <c r="BN18" i="15"/>
  <c r="BO18" i="15" s="1"/>
  <c r="BN34" i="15"/>
  <c r="BO34" i="15" s="1"/>
  <c r="BN48" i="15"/>
  <c r="BO48" i="15" s="1"/>
  <c r="BN19" i="15"/>
  <c r="BO19" i="15" s="1"/>
  <c r="BN62" i="15"/>
  <c r="BO62" i="15" s="1"/>
  <c r="BN52" i="15"/>
  <c r="BO52" i="15" s="1"/>
  <c r="BN24" i="15"/>
  <c r="BO24" i="15" s="1"/>
  <c r="BN30" i="15"/>
  <c r="BO30" i="15" s="1"/>
  <c r="BN50" i="15"/>
  <c r="BO50" i="15" s="1"/>
  <c r="BN46" i="15"/>
  <c r="BO46" i="15" s="1"/>
  <c r="BN47" i="15"/>
  <c r="BO47" i="15" s="1"/>
  <c r="BN56" i="15"/>
  <c r="BO56" i="15" s="1"/>
  <c r="BN21" i="15"/>
  <c r="BO21" i="15" s="1"/>
  <c r="BN44" i="15"/>
  <c r="BO44" i="15" s="1"/>
  <c r="BN23" i="15"/>
  <c r="BO23" i="15" s="1"/>
  <c r="BN29" i="15"/>
  <c r="BO29" i="15" s="1"/>
  <c r="BN42" i="15"/>
  <c r="BO42" i="15" s="1"/>
  <c r="BN58" i="15"/>
  <c r="BO58" i="15" s="1"/>
  <c r="BN60" i="15"/>
  <c r="BO60" i="15" s="1"/>
  <c r="BN32" i="15"/>
  <c r="BO32" i="15" s="1"/>
  <c r="BN26" i="15"/>
  <c r="BO26" i="15" s="1"/>
  <c r="BN20" i="15"/>
  <c r="BO20" i="15" s="1"/>
  <c r="BN36" i="15"/>
  <c r="BO36" i="15" s="1"/>
  <c r="BN16" i="15"/>
  <c r="BO16" i="15" s="1"/>
  <c r="BN17" i="15"/>
  <c r="BO17" i="15" s="1"/>
  <c r="BN25" i="15"/>
  <c r="BO25" i="15" s="1"/>
  <c r="BO17" i="16" l="1"/>
  <c r="AA17" i="16" s="1"/>
  <c r="AB17" i="16" s="1"/>
  <c r="AG17" i="16" s="1"/>
  <c r="AA51" i="18"/>
  <c r="BP51" i="18"/>
  <c r="AA41" i="18"/>
  <c r="BP41" i="18"/>
  <c r="AA19" i="18"/>
  <c r="BP19" i="18"/>
  <c r="AA24" i="18"/>
  <c r="BP24" i="18"/>
  <c r="AA43" i="18"/>
  <c r="BP43" i="18"/>
  <c r="AA47" i="18"/>
  <c r="BP47" i="18"/>
  <c r="AA54" i="18"/>
  <c r="BP54" i="18"/>
  <c r="AA44" i="18"/>
  <c r="BP44" i="18"/>
  <c r="AA61" i="18"/>
  <c r="BP61" i="18"/>
  <c r="AA29" i="18"/>
  <c r="BP29" i="18"/>
  <c r="AA58" i="18"/>
  <c r="BP58" i="18"/>
  <c r="AA33" i="18"/>
  <c r="BP33" i="18"/>
  <c r="AA50" i="18"/>
  <c r="BP50" i="18"/>
  <c r="AA26" i="18"/>
  <c r="BP26" i="18"/>
  <c r="AA28" i="18"/>
  <c r="BP28" i="18"/>
  <c r="AA16" i="18"/>
  <c r="BP16" i="18"/>
  <c r="AA59" i="18"/>
  <c r="BP59" i="18"/>
  <c r="AA39" i="18"/>
  <c r="BP39" i="18"/>
  <c r="AA45" i="18"/>
  <c r="BP45" i="18"/>
  <c r="AA55" i="18"/>
  <c r="BP55" i="18"/>
  <c r="AA52" i="18"/>
  <c r="BP52" i="18"/>
  <c r="AA25" i="18"/>
  <c r="BP25" i="18"/>
  <c r="AA15" i="18"/>
  <c r="BP15" i="18"/>
  <c r="AA48" i="18"/>
  <c r="BP48" i="18"/>
  <c r="AA27" i="18"/>
  <c r="BP27" i="18"/>
  <c r="AA18" i="18"/>
  <c r="BP18" i="18"/>
  <c r="AA21" i="18"/>
  <c r="BP21" i="18"/>
  <c r="AA30" i="18"/>
  <c r="BP30" i="18"/>
  <c r="AA31" i="18"/>
  <c r="BP31" i="18"/>
  <c r="AA57" i="18"/>
  <c r="BP57" i="18"/>
  <c r="AA53" i="18"/>
  <c r="BP53" i="18"/>
  <c r="AA36" i="18"/>
  <c r="BP36" i="18"/>
  <c r="AA22" i="18"/>
  <c r="BP22" i="18"/>
  <c r="AA60" i="18"/>
  <c r="BP60" i="18"/>
  <c r="AA40" i="18"/>
  <c r="BP40" i="18"/>
  <c r="AA32" i="18"/>
  <c r="BP32" i="18"/>
  <c r="AA49" i="18"/>
  <c r="BP49" i="18"/>
  <c r="AA62" i="18"/>
  <c r="BP62" i="18"/>
  <c r="AA37" i="18"/>
  <c r="BP37" i="18"/>
  <c r="AA17" i="18"/>
  <c r="BP17" i="18"/>
  <c r="AA42" i="18"/>
  <c r="BP42" i="18"/>
  <c r="AA35" i="18"/>
  <c r="BP35" i="18"/>
  <c r="AA23" i="18"/>
  <c r="BP23" i="18"/>
  <c r="AA20" i="18"/>
  <c r="BP20" i="18"/>
  <c r="AA38" i="18"/>
  <c r="BP38" i="18"/>
  <c r="AA34" i="18"/>
  <c r="BP34" i="18"/>
  <c r="AA46" i="18"/>
  <c r="BP46" i="18"/>
  <c r="AA56" i="18"/>
  <c r="BP56" i="18"/>
  <c r="AA17" i="15"/>
  <c r="BP17" i="15"/>
  <c r="AA56" i="15"/>
  <c r="BP56" i="15"/>
  <c r="AA24" i="15"/>
  <c r="BP24" i="15"/>
  <c r="AA18" i="15"/>
  <c r="BP18" i="15"/>
  <c r="AA15" i="15"/>
  <c r="BP15" i="15"/>
  <c r="AA53" i="15"/>
  <c r="BP53" i="15"/>
  <c r="AA22" i="17"/>
  <c r="BP22" i="17"/>
  <c r="AA34" i="17"/>
  <c r="BP34" i="17"/>
  <c r="AA21" i="17"/>
  <c r="BP21" i="17"/>
  <c r="AA30" i="16"/>
  <c r="BP30" i="16"/>
  <c r="AA37" i="17"/>
  <c r="BP37" i="17"/>
  <c r="AA28" i="16"/>
  <c r="BP28" i="16"/>
  <c r="AA35" i="17"/>
  <c r="BP35" i="17"/>
  <c r="AA33" i="17"/>
  <c r="BP33" i="17"/>
  <c r="AA17" i="17"/>
  <c r="BP17" i="17"/>
  <c r="AA36" i="16"/>
  <c r="BP36" i="16"/>
  <c r="AA18" i="16"/>
  <c r="BP18" i="16"/>
  <c r="AA40" i="17"/>
  <c r="BP40" i="17"/>
  <c r="AA60" i="15"/>
  <c r="BP60" i="15"/>
  <c r="AA42" i="15"/>
  <c r="BP42" i="15"/>
  <c r="AA39" i="15"/>
  <c r="BP39" i="15"/>
  <c r="AA32" i="17"/>
  <c r="BP32" i="17"/>
  <c r="AA55" i="17"/>
  <c r="BP55" i="17"/>
  <c r="AA43" i="16"/>
  <c r="BP43" i="16"/>
  <c r="AA30" i="17"/>
  <c r="BP30" i="17"/>
  <c r="AA40" i="16"/>
  <c r="BP40" i="16"/>
  <c r="AA24" i="17"/>
  <c r="BP24" i="17"/>
  <c r="AA58" i="16"/>
  <c r="BP58" i="16"/>
  <c r="AA24" i="16"/>
  <c r="BP24" i="16"/>
  <c r="AA32" i="16"/>
  <c r="BP32" i="16"/>
  <c r="AA34" i="16"/>
  <c r="BP34" i="16"/>
  <c r="AA49" i="16"/>
  <c r="BP49" i="16"/>
  <c r="AA48" i="16"/>
  <c r="BP48" i="16"/>
  <c r="AA25" i="15"/>
  <c r="BP25" i="15"/>
  <c r="AA16" i="15"/>
  <c r="BP16" i="15"/>
  <c r="AA26" i="15"/>
  <c r="BP26" i="15"/>
  <c r="AA23" i="15"/>
  <c r="BP23" i="15"/>
  <c r="AA30" i="15"/>
  <c r="BP30" i="15"/>
  <c r="AA52" i="15"/>
  <c r="BP52" i="15"/>
  <c r="AA48" i="15"/>
  <c r="BP48" i="15"/>
  <c r="AA41" i="15"/>
  <c r="BP41" i="15"/>
  <c r="AA51" i="15"/>
  <c r="BP51" i="15"/>
  <c r="AA54" i="15"/>
  <c r="BP54" i="15"/>
  <c r="AA35" i="15"/>
  <c r="BP35" i="15"/>
  <c r="AA45" i="15"/>
  <c r="BP45" i="15"/>
  <c r="AA41" i="16"/>
  <c r="BP41" i="16"/>
  <c r="AA54" i="17"/>
  <c r="BP54" i="17"/>
  <c r="AA35" i="16"/>
  <c r="BP35" i="16"/>
  <c r="AA42" i="17"/>
  <c r="BP42" i="17"/>
  <c r="AA41" i="17"/>
  <c r="BP41" i="17"/>
  <c r="AA44" i="17"/>
  <c r="BP44" i="17"/>
  <c r="AA61" i="17"/>
  <c r="BP61" i="17"/>
  <c r="AA37" i="16"/>
  <c r="BP37" i="16"/>
  <c r="AA31" i="16"/>
  <c r="BP31" i="16"/>
  <c r="AA49" i="17"/>
  <c r="BP49" i="17"/>
  <c r="AA57" i="16"/>
  <c r="BP57" i="16"/>
  <c r="AA16" i="17"/>
  <c r="BP16" i="17"/>
  <c r="AA33" i="16"/>
  <c r="BP33" i="16"/>
  <c r="AA39" i="16"/>
  <c r="BP39" i="16"/>
  <c r="AA52" i="17"/>
  <c r="BP52" i="17"/>
  <c r="AA23" i="17"/>
  <c r="BP23" i="17"/>
  <c r="AA59" i="17"/>
  <c r="BP59" i="17"/>
  <c r="AA45" i="17"/>
  <c r="BP45" i="17"/>
  <c r="AA26" i="16"/>
  <c r="BP26" i="16"/>
  <c r="AA47" i="16"/>
  <c r="BP47" i="16"/>
  <c r="AA55" i="16"/>
  <c r="BP55" i="16"/>
  <c r="AA21" i="16"/>
  <c r="BP21" i="16"/>
  <c r="AA26" i="17"/>
  <c r="BP26" i="17"/>
  <c r="AA36" i="17"/>
  <c r="BP36" i="17"/>
  <c r="AA20" i="15"/>
  <c r="BP20" i="15"/>
  <c r="AA29" i="15"/>
  <c r="BP29" i="15"/>
  <c r="AA21" i="15"/>
  <c r="BP21" i="15"/>
  <c r="AA46" i="15"/>
  <c r="BP46" i="15"/>
  <c r="AA19" i="15"/>
  <c r="BP19" i="15"/>
  <c r="AA27" i="15"/>
  <c r="BP27" i="15"/>
  <c r="AA43" i="15"/>
  <c r="BP43" i="15"/>
  <c r="AA33" i="15"/>
  <c r="BP33" i="15"/>
  <c r="AA50" i="17"/>
  <c r="BP50" i="17"/>
  <c r="AA39" i="17"/>
  <c r="BP39" i="17"/>
  <c r="AA53" i="17"/>
  <c r="BP53" i="17"/>
  <c r="AA25" i="17"/>
  <c r="BP25" i="17"/>
  <c r="AA44" i="16"/>
  <c r="BP44" i="16"/>
  <c r="AA60" i="17"/>
  <c r="BP60" i="17"/>
  <c r="AA25" i="16"/>
  <c r="BP25" i="16"/>
  <c r="AA23" i="16"/>
  <c r="BP23" i="16"/>
  <c r="AA59" i="16"/>
  <c r="BP59" i="16"/>
  <c r="AA50" i="16"/>
  <c r="BP50" i="16"/>
  <c r="AA29" i="16"/>
  <c r="BP29" i="16"/>
  <c r="AA62" i="16"/>
  <c r="BP62" i="16"/>
  <c r="AA50" i="15"/>
  <c r="BP50" i="15"/>
  <c r="AA38" i="15"/>
  <c r="BP38" i="15"/>
  <c r="AA31" i="15"/>
  <c r="BP31" i="15"/>
  <c r="AA57" i="15"/>
  <c r="BP57" i="15"/>
  <c r="AA55" i="15"/>
  <c r="BP55" i="15"/>
  <c r="AA61" i="16"/>
  <c r="BP61" i="16"/>
  <c r="AA15" i="17"/>
  <c r="BP15" i="17"/>
  <c r="AA27" i="16"/>
  <c r="BP27" i="16"/>
  <c r="AA51" i="17"/>
  <c r="BP51" i="17"/>
  <c r="AA62" i="17"/>
  <c r="BP62" i="17"/>
  <c r="AA31" i="17"/>
  <c r="BP31" i="17"/>
  <c r="AA52" i="16"/>
  <c r="BP52" i="16"/>
  <c r="AA60" i="16"/>
  <c r="BP60" i="16"/>
  <c r="AA58" i="17"/>
  <c r="BP58" i="17"/>
  <c r="AA56" i="17"/>
  <c r="BP56" i="17"/>
  <c r="AA20" i="17"/>
  <c r="BP20" i="17"/>
  <c r="AA36" i="15"/>
  <c r="BP36" i="15"/>
  <c r="AA32" i="15"/>
  <c r="BP32" i="15"/>
  <c r="AA58" i="15"/>
  <c r="BP58" i="15"/>
  <c r="AA44" i="15"/>
  <c r="BP44" i="15"/>
  <c r="AA47" i="15"/>
  <c r="BP47" i="15"/>
  <c r="AA62" i="15"/>
  <c r="BP62" i="15"/>
  <c r="AA34" i="15"/>
  <c r="BP34" i="15"/>
  <c r="AA28" i="15"/>
  <c r="BP28" i="15"/>
  <c r="AA22" i="15"/>
  <c r="BP22" i="15"/>
  <c r="AA59" i="15"/>
  <c r="BP59" i="15"/>
  <c r="AA61" i="15"/>
  <c r="BP61" i="15"/>
  <c r="AA40" i="15"/>
  <c r="BP40" i="15"/>
  <c r="AA37" i="15"/>
  <c r="BP37" i="15"/>
  <c r="AA49" i="15"/>
  <c r="BP49" i="15"/>
  <c r="AA22" i="16"/>
  <c r="BP22" i="16"/>
  <c r="AA57" i="17"/>
  <c r="BP57" i="17"/>
  <c r="AA27" i="17"/>
  <c r="BP27" i="17"/>
  <c r="AA46" i="16"/>
  <c r="BP46" i="16"/>
  <c r="AA48" i="17"/>
  <c r="BP48" i="17"/>
  <c r="AA15" i="16"/>
  <c r="BP15" i="16"/>
  <c r="AA28" i="17"/>
  <c r="BP28" i="17"/>
  <c r="AA43" i="17"/>
  <c r="BP43" i="17"/>
  <c r="AA46" i="17"/>
  <c r="BP46" i="17"/>
  <c r="AA19" i="17"/>
  <c r="BP19" i="17"/>
  <c r="AA45" i="16"/>
  <c r="BP45" i="16"/>
  <c r="AA54" i="16"/>
  <c r="BP54" i="16"/>
  <c r="AA16" i="16"/>
  <c r="BP16" i="16"/>
  <c r="AA51" i="16"/>
  <c r="BP51" i="16"/>
  <c r="AA20" i="16"/>
  <c r="BP20" i="16"/>
  <c r="AA42" i="16"/>
  <c r="BP42" i="16"/>
  <c r="AA29" i="17"/>
  <c r="BP29" i="17"/>
  <c r="AA56" i="16"/>
  <c r="BP56" i="16"/>
  <c r="AA53" i="16"/>
  <c r="BP53" i="16"/>
  <c r="AA47" i="17"/>
  <c r="BP47" i="17"/>
  <c r="AA38" i="16"/>
  <c r="BP38" i="16"/>
  <c r="AA19" i="16"/>
  <c r="BP19" i="16"/>
  <c r="AA38" i="17"/>
  <c r="BP38" i="17"/>
  <c r="AA18" i="17"/>
  <c r="BP18" i="17"/>
  <c r="U23" i="6"/>
  <c r="U18" i="6"/>
  <c r="U19" i="6"/>
  <c r="U17" i="6"/>
  <c r="U20" i="6"/>
  <c r="U21" i="6"/>
  <c r="V21" i="6"/>
  <c r="U39" i="6" l="1"/>
  <c r="U40" i="6"/>
  <c r="U41" i="6"/>
  <c r="U36" i="6"/>
  <c r="U43" i="6"/>
  <c r="U32" i="6"/>
  <c r="U42" i="6"/>
  <c r="U38" i="6"/>
  <c r="U45" i="6"/>
  <c r="U44" i="6"/>
  <c r="U33" i="6"/>
  <c r="U37" i="6"/>
  <c r="U47" i="6"/>
  <c r="U35" i="6"/>
  <c r="U30" i="6"/>
  <c r="U46" i="6"/>
  <c r="U34" i="6"/>
  <c r="U31" i="6"/>
  <c r="V17" i="6"/>
  <c r="V20" i="6"/>
  <c r="BP17" i="16"/>
  <c r="V18" i="6"/>
  <c r="V19" i="6"/>
  <c r="B75" i="18"/>
  <c r="AB56" i="18"/>
  <c r="AG56" i="18" s="1"/>
  <c r="AH56" i="18"/>
  <c r="AI56" i="18" s="1"/>
  <c r="AB20" i="18"/>
  <c r="AG20" i="18" s="1"/>
  <c r="AH20" i="18"/>
  <c r="AI20" i="18" s="1"/>
  <c r="AB17" i="18"/>
  <c r="AG17" i="18" s="1"/>
  <c r="AH17" i="18"/>
  <c r="AI17" i="18" s="1"/>
  <c r="AB32" i="18"/>
  <c r="AG32" i="18" s="1"/>
  <c r="AH32" i="18"/>
  <c r="AI32" i="18" s="1"/>
  <c r="AB36" i="18"/>
  <c r="AG36" i="18" s="1"/>
  <c r="AH36" i="18"/>
  <c r="AI36" i="18" s="1"/>
  <c r="AB30" i="18"/>
  <c r="AG30" i="18" s="1"/>
  <c r="AH30" i="18"/>
  <c r="AI30" i="18" s="1"/>
  <c r="AB48" i="18"/>
  <c r="AG48" i="18" s="1"/>
  <c r="AH48" i="18"/>
  <c r="AI48" i="18" s="1"/>
  <c r="AB55" i="18"/>
  <c r="AG55" i="18" s="1"/>
  <c r="AH55" i="18"/>
  <c r="AI55" i="18" s="1"/>
  <c r="AB16" i="18"/>
  <c r="AH16" i="18"/>
  <c r="AI16" i="18" s="1"/>
  <c r="AB33" i="18"/>
  <c r="AH33" i="18"/>
  <c r="AI33" i="18" s="1"/>
  <c r="AB44" i="18"/>
  <c r="AG44" i="18" s="1"/>
  <c r="AH44" i="18"/>
  <c r="AI44" i="18" s="1"/>
  <c r="AB24" i="18"/>
  <c r="AG24" i="18" s="1"/>
  <c r="AH24" i="18"/>
  <c r="AI24" i="18" s="1"/>
  <c r="AB46" i="18"/>
  <c r="AH46" i="18"/>
  <c r="AI46" i="18" s="1"/>
  <c r="AB23" i="18"/>
  <c r="AG23" i="18" s="1"/>
  <c r="AH23" i="18"/>
  <c r="AI23" i="18" s="1"/>
  <c r="AB37" i="18"/>
  <c r="AG37" i="18" s="1"/>
  <c r="AH37" i="18"/>
  <c r="AI37" i="18" s="1"/>
  <c r="AB40" i="18"/>
  <c r="AH40" i="18"/>
  <c r="AI40" i="18" s="1"/>
  <c r="AB53" i="18"/>
  <c r="AG53" i="18" s="1"/>
  <c r="AH53" i="18"/>
  <c r="AI53" i="18" s="1"/>
  <c r="AB21" i="18"/>
  <c r="AH21" i="18"/>
  <c r="AI21" i="18" s="1"/>
  <c r="AB15" i="18"/>
  <c r="AH15" i="18"/>
  <c r="AI15" i="18" s="1"/>
  <c r="AB45" i="18"/>
  <c r="AH45" i="18"/>
  <c r="AI45" i="18" s="1"/>
  <c r="AB28" i="18"/>
  <c r="AH28" i="18"/>
  <c r="AI28" i="18" s="1"/>
  <c r="AB58" i="18"/>
  <c r="AH58" i="18"/>
  <c r="AI58" i="18" s="1"/>
  <c r="AB54" i="18"/>
  <c r="AG54" i="18" s="1"/>
  <c r="AH54" i="18"/>
  <c r="AI54" i="18" s="1"/>
  <c r="AB19" i="18"/>
  <c r="AG19" i="18" s="1"/>
  <c r="AH19" i="18"/>
  <c r="AI19" i="18" s="1"/>
  <c r="AB34" i="18"/>
  <c r="AH34" i="18"/>
  <c r="AI34" i="18" s="1"/>
  <c r="AB35" i="18"/>
  <c r="AG35" i="18" s="1"/>
  <c r="AH35" i="18"/>
  <c r="AI35" i="18" s="1"/>
  <c r="AB62" i="18"/>
  <c r="AG62" i="18" s="1"/>
  <c r="AH62" i="18"/>
  <c r="AI62" i="18" s="1"/>
  <c r="AB60" i="18"/>
  <c r="AG60" i="18" s="1"/>
  <c r="AH60" i="18"/>
  <c r="AI60" i="18" s="1"/>
  <c r="AB57" i="18"/>
  <c r="AH57" i="18"/>
  <c r="AI57" i="18" s="1"/>
  <c r="AB18" i="18"/>
  <c r="AG18" i="18" s="1"/>
  <c r="AH18" i="18"/>
  <c r="AI18" i="18" s="1"/>
  <c r="AB25" i="18"/>
  <c r="AG25" i="18" s="1"/>
  <c r="AH25" i="18"/>
  <c r="AI25" i="18" s="1"/>
  <c r="AB39" i="18"/>
  <c r="AH39" i="18"/>
  <c r="AI39" i="18" s="1"/>
  <c r="AB26" i="18"/>
  <c r="AG26" i="18" s="1"/>
  <c r="AH26" i="18"/>
  <c r="AI26" i="18" s="1"/>
  <c r="AB29" i="18"/>
  <c r="AG29" i="18" s="1"/>
  <c r="AH29" i="18"/>
  <c r="AI29" i="18" s="1"/>
  <c r="AB47" i="18"/>
  <c r="AG47" i="18" s="1"/>
  <c r="AH47" i="18"/>
  <c r="AI47" i="18" s="1"/>
  <c r="AB41" i="18"/>
  <c r="AG41" i="18" s="1"/>
  <c r="AH41" i="18"/>
  <c r="AI41" i="18" s="1"/>
  <c r="AB38" i="18"/>
  <c r="AG38" i="18" s="1"/>
  <c r="AH38" i="18"/>
  <c r="AI38" i="18" s="1"/>
  <c r="AB42" i="18"/>
  <c r="AG42" i="18" s="1"/>
  <c r="AH42" i="18"/>
  <c r="AI42" i="18" s="1"/>
  <c r="AB49" i="18"/>
  <c r="AG49" i="18" s="1"/>
  <c r="AH49" i="18"/>
  <c r="AI49" i="18" s="1"/>
  <c r="AB22" i="18"/>
  <c r="AH22" i="18"/>
  <c r="AI22" i="18" s="1"/>
  <c r="AB31" i="18"/>
  <c r="AG31" i="18" s="1"/>
  <c r="AH31" i="18"/>
  <c r="AI31" i="18" s="1"/>
  <c r="AB27" i="18"/>
  <c r="AH27" i="18"/>
  <c r="AI27" i="18" s="1"/>
  <c r="AB52" i="18"/>
  <c r="AH52" i="18"/>
  <c r="AI52" i="18" s="1"/>
  <c r="AB59" i="18"/>
  <c r="AG59" i="18" s="1"/>
  <c r="AH59" i="18"/>
  <c r="AI59" i="18" s="1"/>
  <c r="AB50" i="18"/>
  <c r="AG50" i="18" s="1"/>
  <c r="AH50" i="18"/>
  <c r="AI50" i="18" s="1"/>
  <c r="AB61" i="18"/>
  <c r="AG61" i="18" s="1"/>
  <c r="AH61" i="18"/>
  <c r="AI61" i="18" s="1"/>
  <c r="AB43" i="18"/>
  <c r="AG43" i="18" s="1"/>
  <c r="AH43" i="18"/>
  <c r="AI43" i="18" s="1"/>
  <c r="AB51" i="18"/>
  <c r="AH51" i="18"/>
  <c r="AI51" i="18" s="1"/>
  <c r="AB18" i="17"/>
  <c r="AG18" i="17" s="1"/>
  <c r="AH18" i="17"/>
  <c r="AI18" i="17" s="1"/>
  <c r="AB47" i="17"/>
  <c r="AG47" i="17" s="1"/>
  <c r="AH47" i="17"/>
  <c r="AI47" i="17" s="1"/>
  <c r="AB42" i="16"/>
  <c r="AG42" i="16" s="1"/>
  <c r="AH42" i="16"/>
  <c r="AI42" i="16" s="1"/>
  <c r="AB54" i="16"/>
  <c r="AG54" i="16" s="1"/>
  <c r="AH54" i="16"/>
  <c r="AI54" i="16" s="1"/>
  <c r="AB15" i="16"/>
  <c r="AH15" i="16"/>
  <c r="AI15" i="16" s="1"/>
  <c r="AB57" i="17"/>
  <c r="AH57" i="17"/>
  <c r="AI57" i="17" s="1"/>
  <c r="AB40" i="15"/>
  <c r="AH40" i="15"/>
  <c r="AI40" i="15" s="1"/>
  <c r="AB28" i="15"/>
  <c r="AH28" i="15"/>
  <c r="AI28" i="15" s="1"/>
  <c r="AB47" i="15"/>
  <c r="AG47" i="15" s="1"/>
  <c r="AH47" i="15"/>
  <c r="AI47" i="15" s="1"/>
  <c r="AB36" i="15"/>
  <c r="AG36" i="15" s="1"/>
  <c r="AH36" i="15"/>
  <c r="AI36" i="15" s="1"/>
  <c r="AB20" i="17"/>
  <c r="AG20" i="17" s="1"/>
  <c r="AH20" i="17"/>
  <c r="AI20" i="17" s="1"/>
  <c r="AB52" i="16"/>
  <c r="AH52" i="16"/>
  <c r="AI52" i="16" s="1"/>
  <c r="AB27" i="16"/>
  <c r="AH27" i="16"/>
  <c r="AI27" i="16" s="1"/>
  <c r="AB57" i="15"/>
  <c r="AH57" i="15"/>
  <c r="AI57" i="15" s="1"/>
  <c r="AB50" i="15"/>
  <c r="AG50" i="15" s="1"/>
  <c r="AH50" i="15"/>
  <c r="AI50" i="15" s="1"/>
  <c r="AB50" i="16"/>
  <c r="AG50" i="16" s="1"/>
  <c r="AH50" i="16"/>
  <c r="AI50" i="16" s="1"/>
  <c r="AB60" i="17"/>
  <c r="AG60" i="17" s="1"/>
  <c r="AH60" i="17"/>
  <c r="AI60" i="17" s="1"/>
  <c r="AB39" i="17"/>
  <c r="AH39" i="17"/>
  <c r="AI39" i="17" s="1"/>
  <c r="AB27" i="15"/>
  <c r="AH27" i="15"/>
  <c r="AI27" i="15" s="1"/>
  <c r="AB29" i="15"/>
  <c r="AG29" i="15" s="1"/>
  <c r="AH29" i="15"/>
  <c r="AI29" i="15" s="1"/>
  <c r="AB36" i="17"/>
  <c r="AG36" i="17" s="1"/>
  <c r="AH36" i="17"/>
  <c r="AI36" i="17" s="1"/>
  <c r="AB47" i="16"/>
  <c r="AG47" i="16" s="1"/>
  <c r="AH47" i="16"/>
  <c r="AI47" i="16" s="1"/>
  <c r="AB23" i="17"/>
  <c r="AG23" i="17" s="1"/>
  <c r="AH23" i="17"/>
  <c r="AI23" i="17" s="1"/>
  <c r="AB16" i="17"/>
  <c r="AH16" i="17"/>
  <c r="AI16" i="17" s="1"/>
  <c r="AB37" i="16"/>
  <c r="AG37" i="16" s="1"/>
  <c r="AH37" i="16"/>
  <c r="AI37" i="16" s="1"/>
  <c r="AB42" i="17"/>
  <c r="AG42" i="17" s="1"/>
  <c r="AH42" i="17"/>
  <c r="AI42" i="17" s="1"/>
  <c r="AB45" i="15"/>
  <c r="AH45" i="15"/>
  <c r="AI45" i="15" s="1"/>
  <c r="AB41" i="15"/>
  <c r="AG41" i="15" s="1"/>
  <c r="AH41" i="15"/>
  <c r="AI41" i="15" s="1"/>
  <c r="AB52" i="15"/>
  <c r="AH52" i="15"/>
  <c r="AI52" i="15" s="1"/>
  <c r="AB16" i="15"/>
  <c r="AH16" i="15"/>
  <c r="AI16" i="15" s="1"/>
  <c r="U29" i="6"/>
  <c r="AB49" i="16"/>
  <c r="AG49" i="16" s="1"/>
  <c r="AH49" i="16"/>
  <c r="AI49" i="16" s="1"/>
  <c r="AB32" i="16"/>
  <c r="AG32" i="16" s="1"/>
  <c r="AH32" i="16"/>
  <c r="AI32" i="16" s="1"/>
  <c r="AB58" i="16"/>
  <c r="AH58" i="16"/>
  <c r="AI58" i="16" s="1"/>
  <c r="AB40" i="16"/>
  <c r="AH40" i="16"/>
  <c r="AI40" i="16" s="1"/>
  <c r="AB43" i="16"/>
  <c r="AG43" i="16" s="1"/>
  <c r="AH43" i="16"/>
  <c r="AI43" i="16" s="1"/>
  <c r="AB32" i="17"/>
  <c r="AG32" i="17" s="1"/>
  <c r="AH32" i="17"/>
  <c r="AI32" i="17" s="1"/>
  <c r="AB60" i="15"/>
  <c r="AG60" i="15" s="1"/>
  <c r="AH60" i="15"/>
  <c r="AI60" i="15" s="1"/>
  <c r="U28" i="6"/>
  <c r="AB18" i="16"/>
  <c r="AG18" i="16" s="1"/>
  <c r="AH18" i="16"/>
  <c r="AI18" i="16" s="1"/>
  <c r="AB17" i="17"/>
  <c r="AG17" i="17" s="1"/>
  <c r="AH17" i="17"/>
  <c r="AI17" i="17" s="1"/>
  <c r="AB35" i="17"/>
  <c r="AG35" i="17" s="1"/>
  <c r="AH35" i="17"/>
  <c r="AI35" i="17" s="1"/>
  <c r="AB37" i="17"/>
  <c r="AG37" i="17" s="1"/>
  <c r="AH37" i="17"/>
  <c r="AI37" i="17" s="1"/>
  <c r="AB21" i="17"/>
  <c r="AH21" i="17"/>
  <c r="AI21" i="17" s="1"/>
  <c r="AB22" i="17"/>
  <c r="AH22" i="17"/>
  <c r="AI22" i="17" s="1"/>
  <c r="AB15" i="15"/>
  <c r="AH15" i="15"/>
  <c r="AI15" i="15" s="1"/>
  <c r="AB18" i="15"/>
  <c r="AG18" i="15" s="1"/>
  <c r="AH18" i="15"/>
  <c r="AI18" i="15" s="1"/>
  <c r="AB56" i="15"/>
  <c r="AG56" i="15" s="1"/>
  <c r="AH56" i="15"/>
  <c r="AI56" i="15" s="1"/>
  <c r="AB17" i="15"/>
  <c r="AG17" i="15" s="1"/>
  <c r="AH17" i="15"/>
  <c r="AI17" i="15" s="1"/>
  <c r="AB19" i="16"/>
  <c r="AG19" i="16" s="1"/>
  <c r="AH19" i="16"/>
  <c r="AI19" i="16" s="1"/>
  <c r="AB56" i="16"/>
  <c r="AG56" i="16" s="1"/>
  <c r="AH56" i="16"/>
  <c r="AI56" i="16" s="1"/>
  <c r="AB51" i="16"/>
  <c r="AH51" i="16"/>
  <c r="AI51" i="16" s="1"/>
  <c r="AB19" i="17"/>
  <c r="AG19" i="17" s="1"/>
  <c r="AH19" i="17"/>
  <c r="AI19" i="17" s="1"/>
  <c r="AB43" i="17"/>
  <c r="AG43" i="17" s="1"/>
  <c r="AH43" i="17"/>
  <c r="AI43" i="17" s="1"/>
  <c r="AB46" i="16"/>
  <c r="AH46" i="16"/>
  <c r="AI46" i="16" s="1"/>
  <c r="AB49" i="15"/>
  <c r="AG49" i="15" s="1"/>
  <c r="AH49" i="15"/>
  <c r="AI49" i="15" s="1"/>
  <c r="AB59" i="15"/>
  <c r="AG59" i="15" s="1"/>
  <c r="AH59" i="15"/>
  <c r="AI59" i="15" s="1"/>
  <c r="AB62" i="15"/>
  <c r="AG62" i="15" s="1"/>
  <c r="AH62" i="15"/>
  <c r="AI62" i="15" s="1"/>
  <c r="AB44" i="15"/>
  <c r="AG44" i="15" s="1"/>
  <c r="AH44" i="15"/>
  <c r="AI44" i="15" s="1"/>
  <c r="U25" i="6"/>
  <c r="AB58" i="17"/>
  <c r="AH58" i="17"/>
  <c r="AI58" i="17" s="1"/>
  <c r="AB62" i="17"/>
  <c r="AG62" i="17" s="1"/>
  <c r="AH62" i="17"/>
  <c r="AI62" i="17" s="1"/>
  <c r="AB61" i="16"/>
  <c r="AG61" i="16" s="1"/>
  <c r="AH61" i="16"/>
  <c r="AI61" i="16" s="1"/>
  <c r="AB38" i="15"/>
  <c r="AG38" i="15" s="1"/>
  <c r="AH38" i="15"/>
  <c r="AI38" i="15" s="1"/>
  <c r="AB62" i="16"/>
  <c r="AG62" i="16" s="1"/>
  <c r="AH62" i="16"/>
  <c r="AI62" i="16" s="1"/>
  <c r="AB23" i="16"/>
  <c r="AG23" i="16" s="1"/>
  <c r="AH23" i="16"/>
  <c r="AI23" i="16" s="1"/>
  <c r="AB25" i="17"/>
  <c r="AG25" i="17" s="1"/>
  <c r="AH25" i="17"/>
  <c r="AI25" i="17" s="1"/>
  <c r="AB33" i="15"/>
  <c r="AH33" i="15"/>
  <c r="AI33" i="15" s="1"/>
  <c r="AB46" i="15"/>
  <c r="AH46" i="15"/>
  <c r="AI46" i="15" s="1"/>
  <c r="AB20" i="15"/>
  <c r="AG20" i="15" s="1"/>
  <c r="AH20" i="15"/>
  <c r="AI20" i="15" s="1"/>
  <c r="AB21" i="16"/>
  <c r="AH21" i="16"/>
  <c r="AI21" i="16" s="1"/>
  <c r="AB45" i="17"/>
  <c r="AH45" i="17"/>
  <c r="AI45" i="17" s="1"/>
  <c r="AB39" i="16"/>
  <c r="AH39" i="16"/>
  <c r="AI39" i="16" s="1"/>
  <c r="AB49" i="17"/>
  <c r="AG49" i="17" s="1"/>
  <c r="AH49" i="17"/>
  <c r="AI49" i="17" s="1"/>
  <c r="AB44" i="17"/>
  <c r="AG44" i="17" s="1"/>
  <c r="AH44" i="17"/>
  <c r="AI44" i="17" s="1"/>
  <c r="AB54" i="17"/>
  <c r="AG54" i="17" s="1"/>
  <c r="AH54" i="17"/>
  <c r="AI54" i="17" s="1"/>
  <c r="AB54" i="15"/>
  <c r="AG54" i="15" s="1"/>
  <c r="AH54" i="15"/>
  <c r="AI54" i="15" s="1"/>
  <c r="AB38" i="17"/>
  <c r="AG38" i="17" s="1"/>
  <c r="AH38" i="17"/>
  <c r="AI38" i="17" s="1"/>
  <c r="AB38" i="16"/>
  <c r="AG38" i="16" s="1"/>
  <c r="AH38" i="16"/>
  <c r="AI38" i="16" s="1"/>
  <c r="AB53" i="16"/>
  <c r="AG53" i="16" s="1"/>
  <c r="AH53" i="16"/>
  <c r="AI53" i="16" s="1"/>
  <c r="AB29" i="17"/>
  <c r="AG29" i="17" s="1"/>
  <c r="AH29" i="17"/>
  <c r="AI29" i="17" s="1"/>
  <c r="AB20" i="16"/>
  <c r="AG20" i="16" s="1"/>
  <c r="AH20" i="16"/>
  <c r="AI20" i="16" s="1"/>
  <c r="AB16" i="16"/>
  <c r="AH16" i="16"/>
  <c r="AI16" i="16" s="1"/>
  <c r="AB45" i="16"/>
  <c r="AH45" i="16"/>
  <c r="AI45" i="16" s="1"/>
  <c r="AB46" i="17"/>
  <c r="AH46" i="17"/>
  <c r="AI46" i="17" s="1"/>
  <c r="AB28" i="17"/>
  <c r="AH28" i="17"/>
  <c r="AI28" i="17" s="1"/>
  <c r="AB48" i="17"/>
  <c r="AG48" i="17" s="1"/>
  <c r="AH48" i="17"/>
  <c r="AI48" i="17" s="1"/>
  <c r="AB27" i="17"/>
  <c r="AH27" i="17"/>
  <c r="AI27" i="17" s="1"/>
  <c r="AB22" i="16"/>
  <c r="AH22" i="16"/>
  <c r="AI22" i="16" s="1"/>
  <c r="AB37" i="15"/>
  <c r="AG37" i="15" s="1"/>
  <c r="AH37" i="15"/>
  <c r="AI37" i="15" s="1"/>
  <c r="AB61" i="15"/>
  <c r="AG61" i="15" s="1"/>
  <c r="AH61" i="15"/>
  <c r="AI61" i="15" s="1"/>
  <c r="AB22" i="15"/>
  <c r="AH22" i="15"/>
  <c r="AI22" i="15" s="1"/>
  <c r="AB34" i="15"/>
  <c r="AH34" i="15"/>
  <c r="AI34" i="15" s="1"/>
  <c r="AB58" i="15"/>
  <c r="AH58" i="15"/>
  <c r="AI58" i="15" s="1"/>
  <c r="AB32" i="15"/>
  <c r="AG32" i="15" s="1"/>
  <c r="AH32" i="15"/>
  <c r="AI32" i="15" s="1"/>
  <c r="AH17" i="16"/>
  <c r="AI17" i="16" s="1"/>
  <c r="AB56" i="17"/>
  <c r="AG56" i="17" s="1"/>
  <c r="AH56" i="17"/>
  <c r="AI56" i="17" s="1"/>
  <c r="AB60" i="16"/>
  <c r="AG60" i="16" s="1"/>
  <c r="AH60" i="16"/>
  <c r="AI60" i="16" s="1"/>
  <c r="AB31" i="17"/>
  <c r="AG31" i="17" s="1"/>
  <c r="AH31" i="17"/>
  <c r="AI31" i="17" s="1"/>
  <c r="AB51" i="17"/>
  <c r="AH51" i="17"/>
  <c r="AI51" i="17" s="1"/>
  <c r="AB15" i="17"/>
  <c r="AH15" i="17"/>
  <c r="AI15" i="17" s="1"/>
  <c r="AB55" i="15"/>
  <c r="AG55" i="15" s="1"/>
  <c r="AH55" i="15"/>
  <c r="AI55" i="15" s="1"/>
  <c r="AB31" i="15"/>
  <c r="AG31" i="15" s="1"/>
  <c r="AH31" i="15"/>
  <c r="AI31" i="15" s="1"/>
  <c r="U24" i="6"/>
  <c r="AB29" i="16"/>
  <c r="AG29" i="16" s="1"/>
  <c r="AH29" i="16"/>
  <c r="AI29" i="16" s="1"/>
  <c r="AB59" i="16"/>
  <c r="AG59" i="16" s="1"/>
  <c r="AH59" i="16"/>
  <c r="AI59" i="16" s="1"/>
  <c r="AB25" i="16"/>
  <c r="AG25" i="16" s="1"/>
  <c r="AH25" i="16"/>
  <c r="AI25" i="16" s="1"/>
  <c r="AB44" i="16"/>
  <c r="AG44" i="16" s="1"/>
  <c r="AH44" i="16"/>
  <c r="AI44" i="16" s="1"/>
  <c r="AB53" i="17"/>
  <c r="AG53" i="17" s="1"/>
  <c r="AH53" i="17"/>
  <c r="AI53" i="17" s="1"/>
  <c r="AB50" i="17"/>
  <c r="AG50" i="17" s="1"/>
  <c r="AH50" i="17"/>
  <c r="AI50" i="17" s="1"/>
  <c r="AB43" i="15"/>
  <c r="AG43" i="15" s="1"/>
  <c r="AH43" i="15"/>
  <c r="AI43" i="15" s="1"/>
  <c r="AB19" i="15"/>
  <c r="AG19" i="15" s="1"/>
  <c r="AH19" i="15"/>
  <c r="AI19" i="15" s="1"/>
  <c r="AB21" i="15"/>
  <c r="AH21" i="15"/>
  <c r="AI21" i="15" s="1"/>
  <c r="U26" i="6"/>
  <c r="AB26" i="17"/>
  <c r="AG26" i="17" s="1"/>
  <c r="AH26" i="17"/>
  <c r="AI26" i="17" s="1"/>
  <c r="AB55" i="16"/>
  <c r="AG55" i="16" s="1"/>
  <c r="AH55" i="16"/>
  <c r="AI55" i="16" s="1"/>
  <c r="AB26" i="16"/>
  <c r="AG26" i="16" s="1"/>
  <c r="AH26" i="16"/>
  <c r="AI26" i="16" s="1"/>
  <c r="AB59" i="17"/>
  <c r="AG59" i="17" s="1"/>
  <c r="AH59" i="17"/>
  <c r="AI59" i="17" s="1"/>
  <c r="AB52" i="17"/>
  <c r="AH52" i="17"/>
  <c r="AI52" i="17" s="1"/>
  <c r="AB33" i="16"/>
  <c r="AH33" i="16"/>
  <c r="AI33" i="16" s="1"/>
  <c r="AB57" i="16"/>
  <c r="AH57" i="16"/>
  <c r="AI57" i="16" s="1"/>
  <c r="AB31" i="16"/>
  <c r="AG31" i="16" s="1"/>
  <c r="AH31" i="16"/>
  <c r="AI31" i="16" s="1"/>
  <c r="AB61" i="17"/>
  <c r="AG61" i="17" s="1"/>
  <c r="AH61" i="17"/>
  <c r="AI61" i="17" s="1"/>
  <c r="AB41" i="17"/>
  <c r="AG41" i="17" s="1"/>
  <c r="AH41" i="17"/>
  <c r="AI41" i="17" s="1"/>
  <c r="AB35" i="16"/>
  <c r="AG35" i="16" s="1"/>
  <c r="AH35" i="16"/>
  <c r="AI35" i="16" s="1"/>
  <c r="AB41" i="16"/>
  <c r="AG41" i="16" s="1"/>
  <c r="AH41" i="16"/>
  <c r="AI41" i="16" s="1"/>
  <c r="AB35" i="15"/>
  <c r="AG35" i="15" s="1"/>
  <c r="AH35" i="15"/>
  <c r="AI35" i="15" s="1"/>
  <c r="AB51" i="15"/>
  <c r="AH51" i="15"/>
  <c r="AI51" i="15" s="1"/>
  <c r="AB48" i="15"/>
  <c r="AG48" i="15" s="1"/>
  <c r="AH48" i="15"/>
  <c r="AI48" i="15" s="1"/>
  <c r="AB30" i="15"/>
  <c r="AG30" i="15" s="1"/>
  <c r="AH30" i="15"/>
  <c r="AI30" i="15" s="1"/>
  <c r="AB23" i="15"/>
  <c r="AG23" i="15" s="1"/>
  <c r="AH23" i="15"/>
  <c r="AI23" i="15" s="1"/>
  <c r="AB26" i="15"/>
  <c r="AG26" i="15" s="1"/>
  <c r="AH26" i="15"/>
  <c r="AI26" i="15" s="1"/>
  <c r="AB25" i="15"/>
  <c r="AG25" i="15" s="1"/>
  <c r="AH25" i="15"/>
  <c r="AI25" i="15" s="1"/>
  <c r="AB48" i="16"/>
  <c r="AG48" i="16" s="1"/>
  <c r="AH48" i="16"/>
  <c r="AI48" i="16" s="1"/>
  <c r="AB34" i="16"/>
  <c r="AH34" i="16"/>
  <c r="AI34" i="16" s="1"/>
  <c r="AB24" i="16"/>
  <c r="AG24" i="16" s="1"/>
  <c r="AH24" i="16"/>
  <c r="AI24" i="16" s="1"/>
  <c r="AB24" i="17"/>
  <c r="AG24" i="17" s="1"/>
  <c r="AH24" i="17"/>
  <c r="AI24" i="17" s="1"/>
  <c r="AB30" i="17"/>
  <c r="AG30" i="17" s="1"/>
  <c r="AH30" i="17"/>
  <c r="AI30" i="17" s="1"/>
  <c r="AB55" i="17"/>
  <c r="AG55" i="17" s="1"/>
  <c r="AH55" i="17"/>
  <c r="AI55" i="17" s="1"/>
  <c r="AB39" i="15"/>
  <c r="AH39" i="15"/>
  <c r="AI39" i="15" s="1"/>
  <c r="AB42" i="15"/>
  <c r="AG42" i="15" s="1"/>
  <c r="AH42" i="15"/>
  <c r="AI42" i="15" s="1"/>
  <c r="AB40" i="17"/>
  <c r="AH40" i="17"/>
  <c r="AI40" i="17" s="1"/>
  <c r="AB36" i="16"/>
  <c r="AG36" i="16" s="1"/>
  <c r="AH36" i="16"/>
  <c r="AI36" i="16" s="1"/>
  <c r="AB33" i="17"/>
  <c r="AH33" i="17"/>
  <c r="AI33" i="17" s="1"/>
  <c r="AB28" i="16"/>
  <c r="AH28" i="16"/>
  <c r="AI28" i="16" s="1"/>
  <c r="AB30" i="16"/>
  <c r="AG30" i="16" s="1"/>
  <c r="AH30" i="16"/>
  <c r="AI30" i="16" s="1"/>
  <c r="AB34" i="17"/>
  <c r="AH34" i="17"/>
  <c r="AI34" i="17" s="1"/>
  <c r="AB53" i="15"/>
  <c r="AG53" i="15" s="1"/>
  <c r="AH53" i="15"/>
  <c r="AI53" i="15" s="1"/>
  <c r="AB24" i="15"/>
  <c r="AG24" i="15" s="1"/>
  <c r="AH24" i="15"/>
  <c r="AI24" i="15" s="1"/>
  <c r="U27" i="6"/>
  <c r="W23" i="6"/>
  <c r="V23" i="6"/>
  <c r="U14" i="6"/>
  <c r="U12" i="6"/>
  <c r="V12" i="6"/>
  <c r="W17" i="6"/>
  <c r="U13" i="6"/>
  <c r="V13" i="6"/>
  <c r="W19" i="6"/>
  <c r="W21" i="6"/>
  <c r="W20" i="6"/>
  <c r="W18" i="6"/>
  <c r="V22" i="6"/>
  <c r="U22" i="6"/>
  <c r="W33" i="6" l="1"/>
  <c r="V33" i="6"/>
  <c r="W37" i="6"/>
  <c r="V37" i="6"/>
  <c r="W41" i="6"/>
  <c r="V41" i="6"/>
  <c r="W46" i="6"/>
  <c r="V46" i="6"/>
  <c r="W40" i="6"/>
  <c r="V40" i="6"/>
  <c r="W31" i="6"/>
  <c r="V31" i="6"/>
  <c r="W44" i="6"/>
  <c r="V44" i="6"/>
  <c r="W30" i="6"/>
  <c r="V30" i="6"/>
  <c r="W45" i="6"/>
  <c r="V45" i="6"/>
  <c r="W39" i="6"/>
  <c r="V39" i="6"/>
  <c r="W35" i="6"/>
  <c r="V35" i="6"/>
  <c r="W38" i="6"/>
  <c r="V38" i="6"/>
  <c r="W43" i="6"/>
  <c r="V43" i="6"/>
  <c r="W32" i="6"/>
  <c r="V32" i="6"/>
  <c r="W47" i="6"/>
  <c r="V47" i="6"/>
  <c r="W42" i="6"/>
  <c r="V42" i="6"/>
  <c r="W36" i="6"/>
  <c r="V36" i="6"/>
  <c r="W34" i="6"/>
  <c r="V34" i="6"/>
  <c r="V14" i="6"/>
  <c r="U15" i="6"/>
  <c r="AG40" i="15"/>
  <c r="AG34" i="15"/>
  <c r="AG39" i="17"/>
  <c r="AG46" i="18"/>
  <c r="AG52" i="18"/>
  <c r="AG28" i="17"/>
  <c r="AG22" i="17"/>
  <c r="AG46" i="17"/>
  <c r="AG28" i="18"/>
  <c r="AG28" i="15"/>
  <c r="AG22" i="16"/>
  <c r="AG16" i="16"/>
  <c r="AG46" i="16"/>
  <c r="AG39" i="16"/>
  <c r="AG52" i="17"/>
  <c r="AG58" i="15"/>
  <c r="AG15" i="15"/>
  <c r="AG16" i="15"/>
  <c r="AG34" i="17"/>
  <c r="AG40" i="18"/>
  <c r="AG22" i="18"/>
  <c r="AG52" i="16"/>
  <c r="AG16" i="18"/>
  <c r="AG15" i="18"/>
  <c r="AG16" i="17"/>
  <c r="AG15" i="17"/>
  <c r="AG52" i="15"/>
  <c r="AG58" i="17"/>
  <c r="AG39" i="15"/>
  <c r="AG46" i="15"/>
  <c r="AG34" i="18"/>
  <c r="AG40" i="17"/>
  <c r="AG58" i="16"/>
  <c r="AG40" i="16"/>
  <c r="AG34" i="16"/>
  <c r="AG58" i="18"/>
  <c r="AG39" i="18"/>
  <c r="AG15" i="16"/>
  <c r="AG22" i="15"/>
  <c r="AG28" i="16"/>
  <c r="AI69" i="18"/>
  <c r="AI71" i="18" s="1"/>
  <c r="AI73" i="18" s="1"/>
  <c r="AI69" i="15"/>
  <c r="AI71" i="15" s="1"/>
  <c r="AI73" i="15" s="1"/>
  <c r="W26" i="6"/>
  <c r="V26" i="6"/>
  <c r="AI69" i="17"/>
  <c r="AI71" i="17" s="1"/>
  <c r="AI73" i="17" s="1"/>
  <c r="W25" i="6"/>
  <c r="V25" i="6"/>
  <c r="W28" i="6"/>
  <c r="V28" i="6"/>
  <c r="AI69" i="16"/>
  <c r="AI71" i="16" s="1"/>
  <c r="AI73" i="16" s="1"/>
  <c r="W24" i="6"/>
  <c r="V24" i="6"/>
  <c r="W29" i="6"/>
  <c r="V29" i="6"/>
  <c r="W27" i="6"/>
  <c r="V27" i="6"/>
  <c r="W22" i="6"/>
  <c r="W14" i="6"/>
  <c r="U16" i="6" l="1"/>
  <c r="W13" i="6"/>
  <c r="W12" i="6"/>
  <c r="J15" i="6" l="1"/>
  <c r="G24" i="9"/>
  <c r="G24" i="4"/>
  <c r="F24" i="9"/>
  <c r="F24" i="4"/>
  <c r="T16" i="6" l="1"/>
  <c r="G19" i="4"/>
  <c r="G29" i="4" s="1"/>
  <c r="T15" i="6"/>
  <c r="F19" i="4"/>
  <c r="W68" i="6" l="1"/>
  <c r="V16" i="6"/>
  <c r="V15" i="6"/>
  <c r="W15" i="6"/>
  <c r="W16" i="6"/>
  <c r="W72" i="6" l="1"/>
  <c r="W70" i="6"/>
  <c r="V70" i="6"/>
  <c r="W69" i="6"/>
  <c r="V6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AA11" authorId="0" shapeId="0" xr:uid="{AFE29AF7-9A7C-45C5-8A70-E69124EBC77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FILTRA "A LA VISTA" PARA QUE DEJE UNICAMENTE LOS RENGLONES CON INFORMACION + 2 RENGLONES VACIOS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5FC9AD3F-4EEB-4AF5-8CF2-5AE5B33F195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8A0BA695-584B-4D37-95B3-09C308F4F1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F092C89-0EA8-490F-8E4E-4982295003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4DD194E3-10EF-4828-958F-46D6A703E0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81ABCE0B-4413-49C2-A84A-741D0E324F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D8B062CD-399B-49D9-816E-E52BE75D52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CDDF2F34-6DBB-464F-8603-2C53778D59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F0105A19-E7E2-4152-A6CE-CE7FA66AA2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D371427A-1FDB-420D-8951-3DF8329759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5B03271B-78D8-4A75-90CC-95C6FD5701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EA2B57A3-C995-4F6E-AFA8-4D4CCA83AD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AA03EA59-1475-4674-AB7D-5C40828F64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3CDA3173-E440-49FB-AAC6-C591310DEE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EB602871-BE33-4B80-87E2-1E621F5BF1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631DE97F-E23E-481B-BB74-1950C4CFDD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3387285-CD0A-4883-AEEC-8B404211BF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92E26608-F358-4407-99A7-FE0B24A85D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C1D44C8B-BC27-49DA-8579-EEFBE823F1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D0097E77-E59C-4985-93B4-56D2D0BA56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530ACC1B-55D7-446C-9639-E97B6426E8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FCF5BD2-D4AF-47AD-BDBF-E0A9206F99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9B2330C9-F239-4BC5-B9DE-CBB492CBCB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4039AC91-56A7-4D01-A739-9FCC82D7B5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F96BDA76-D2AD-4234-B582-90C70F4FB2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F26897C-FA43-41D2-B8FD-5CF72F83B2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50F2A9F0-F9F8-4708-8114-F3D2BFBB28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8C6A4BBF-506A-4AF1-8F97-791B55DACF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7BDCE6C4-4DC0-4822-A15C-E7E24325D8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6B408F0E-03AC-4E8D-81CE-1524574324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375E8ADD-94C0-42F2-81C7-B449224630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BCC3937-68DB-46DA-B000-1D7A1289E4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3FB55A19-0046-4FD6-AB24-8B7CD8E223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FED64AF6-8F4E-47C0-AFB7-FD46CEA342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9B5498F6-68C1-4C90-92DE-32BC16E8E4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FBAC2CC1-FDA0-4C75-91D5-7C8E543421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772EBC71-45DB-41D2-8358-1282B4DDE2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50FB907-4AC5-4E3A-8CA7-3B12A36D76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12D29FAE-CB56-4E84-89DD-F4679DDF85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7CE8639B-AE68-4293-8485-74289D58B3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E42EBDA3-9D34-4E42-8C15-AE7FCCA23C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1C4EB548-1ED2-4E94-B4B4-D76D357BE94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FBEBF075-5711-4FF4-9DFA-CC32B0E3CA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8F0D59AC-AE3B-41D0-B936-7283AD1716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9801AEFC-A4BB-47F0-BAD4-6CCD308983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F62F858A-3A18-40BB-BBD3-F38D671C7E2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FB73B94C-0F5C-4B60-A790-12031A4723B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EB86467D-EDEB-4F60-92F3-519AC0BA8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9FC9B0E9-ABB9-4B12-95E6-1F46AF1551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D1C3CC6-DF78-4AA3-BF55-18D9386CC7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24041D54-3819-47FA-9B82-E66AA0719A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D5F8E2E0-3DB0-405A-AC81-46B040ED46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82F31680-7E7A-41E8-A326-8681903661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FD12D16B-E99E-4DB5-87B7-2B0E05E7D6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BDA98EEF-7FEB-4560-9D97-AB095235FE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B8CDDDB1-1859-4D93-924F-96A4B3611F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C0DF12AB-35AC-4762-B498-8CBF647DD4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1A5697E9-E8BC-4CD9-9A69-AF4A498536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3F18C2E8-6538-4AC8-BC6A-ADB0EED2C0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8434220-67CC-4E3C-8334-F355542A9C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5264D050-F8E1-4987-9435-D5506D825D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B56FEB41-6A2D-49AD-A3A0-8DE7717AE3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30140158-BEDF-4D7C-8644-3A6B87D2A4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D021BD39-F3EE-47EA-ABE9-465340A861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BF2CC19F-2A1F-4088-ACC3-F95CC5F73D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699F0100-3147-4851-A30A-72054F6C4C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7781E9B1-B465-4138-82EC-7C14B14665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7305E446-5D29-4C8E-ADDA-7592678C9E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70D5360F-2268-4E02-BFDE-C029A61FA3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4C4FC4CD-0B48-4F78-8FA2-9B4648743A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94B6DBFC-4D67-41BE-AE7E-B3B5153275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EC00707F-4CEE-4AEC-A567-AA0C1DAED8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AD929196-9F67-4891-851F-44E824C8FF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43EF7AA8-D177-447E-9368-33347BD3D3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A800E40-54B9-4575-8114-EBCF52D4A8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8C24035C-A76D-40AF-9265-4004D6357A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D3041F58-9722-404E-A020-371435E53F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3EA0CE7D-0726-4553-A125-AB752B3794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4CD725DE-AE94-4D67-9BD9-594F23A5C5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DDA67170-7051-44E2-B6AE-D294A42E54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5E5E0628-7809-4910-88AD-00346855C4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83EF651A-D6E2-4920-A40E-DCACE20707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445FFDDC-EE0C-429D-8285-E7735A49AB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D8DFABB9-14D2-4E0F-A678-AEA174E913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8E701F7D-889F-47B7-A6C7-85832C8670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60D0B39B-E673-45FA-AA4A-98A3CC9E6A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A2A60315-9B5D-453A-B9BB-00FAC305B3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615AD970-584C-4E73-B03D-7DED8AB39F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C8F11358-AECB-44CF-8ABD-9D9B9E9CBF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AC17EBD6-0AFE-4CF0-8736-7E09CD6FBB5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C0560E54-5550-4954-A133-3CC5B84D4B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CFA7925B-B9CB-4C4D-B231-3C53DFAD2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7974D454-4AF2-49D0-A22E-2A184C98BB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1D294822-4958-41D1-A09D-90CAEFC4A1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77E1208D-721B-46A5-99BD-2A928CB98B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3A7F01FA-4838-4902-BD03-29CF23B401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31636EEC-311E-44DF-9DD6-C32DD8950A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3113E08F-12AB-4EF3-B7B3-0DAFA71759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DC23D05F-929C-4933-BE00-5FDB60DF4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D2BC0FC1-3832-4DA0-A6B1-9176DE5271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C0B0523A-D7A8-4860-AB4F-9262437798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2642E616-21E2-4D49-B7DB-117FE6036C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C30DFC9-D3ED-4F5D-B5BC-B20423AD06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E956F431-DA49-4FEE-914D-57D062CCA3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696D748-12D7-4BCC-9E8D-34E9548247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28CCED9E-5E71-41A4-A83F-5C0C5A3B3C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BC1C034E-8E31-46B2-873F-A1C02090F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5A716707-EB06-4323-A0EA-DDBF5FB4A0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28010EE4-C9B4-4285-806F-B5ECFECE49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750A21A5-553D-4615-9542-03ED695BE8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5AD16052-EF54-437D-99ED-38DDCF5CC9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1A798149-FAF4-48AA-987D-C35F8636A4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9F06B144-D913-4316-99D6-01BD7B200F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B5336D5F-DD53-439C-910D-090650E30E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C141AD21-B830-431A-8817-FFC1A7FCD6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8F404A5F-73FB-44B5-9ABD-F5FCA66E8F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3D4C3B4-CFAB-43FA-BACB-FD34F985D3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AAD2092D-625B-4A58-B369-8359611D8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2A2FF49C-1CC7-4652-9E1B-29307C4B3D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7B0CD2C1-D676-4D9E-A610-B87CF7E2E5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6992F5F3-EFA1-4A3A-AB24-2BFFA845A2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D1429A4D-03CC-4098-9970-147EF857F0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23C54548-EB18-4C7A-AED6-A85E25011E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20A104B7-FF94-44AE-960E-0C3655073B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BCCB1A3C-1A04-48D7-8144-67F6E08374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B56ABEF0-3FFA-4644-99CF-9FA3F2FE31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EB56CFBA-2DCB-4018-8A0B-9EF9D49439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389FADB6-565C-48A3-945A-207F0B68E0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410F151B-32A7-4EE9-B3A5-7589ABFC56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57E3902A-98AF-47A4-9BDF-BFD11733F0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BD4B44BD-7B97-41C4-A227-FFD5ACBEC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E5B8B66E-D67A-485D-A7C8-03AD7F7AA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F5B342AF-6551-4C3D-993C-6578C21240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A6E965FF-7F17-493B-BB50-2E5AC926CB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A9DC4B92-6A7B-4F5D-AA33-EB5D96C1DC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FAE2574C-0C00-4FB5-83DB-6F36D15EE3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363D55CA-17F6-4A05-A4B1-2AFEA9B38B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B6873F85-EB8E-461C-9645-C3D7925787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8371D7FC-94C0-4DBB-9CD0-63F1032B1A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F71A09D7-75C8-4389-9EDD-66EEF75FF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39CEE99E-C106-4769-851C-53073A9566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91CCF4E1-1216-4733-B4C1-177C45F179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67EC1BF6-EBD1-4409-9895-017DFBDB89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73F1F62C-3866-43A6-BC9D-CF1C4E46BB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59EB07C5-21FA-423F-9E4D-1ACF7AF599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766BB2FA-E616-4874-AC23-D9D50CBF7B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EB7EAC03-9743-49F3-B0DF-01A766DCA0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61D71E01-BD61-4EA7-B9A5-EB406AEF31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7FB9C761-13B1-46D7-8638-1B68264437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AC31B0FF-3EB4-49FF-8364-ADFC47B1E6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23A702E3-6786-426E-9E56-666C7BF437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BF448FE7-90E8-4BA9-8C90-0788BE6B08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8DA2EE62-6DA4-437E-91D5-BFE451605A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B383C5B5-8734-41A5-A7EA-005F6B8642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AC3630BC-BF01-4FDC-B0BF-C98B6896DC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A2E19BEC-34C2-405E-AE9F-6271D181FA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F2B7FF8C-1B04-428D-A482-2AE41EB2D6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EB7CD19C-1D16-4E07-87DB-83A6DCE83C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2C125B5B-2ADD-4D3A-B71D-7E62FB3627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6DDD1BC9-3C60-4C27-A6FD-F6EE18FA2B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C16A7CC7-0DB6-49A1-A825-FAD1B78CD5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7F56A41C-2245-4ABA-8DA8-ABE0739B5E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DBC09901-3AE7-4272-9458-1404941618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8DB1F594-32F8-4439-970C-60A39C79E3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806F3C8B-BDC7-4DFF-8A6D-6FF37E20CB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AAAFC41-CA2C-4469-84E7-D29E7FBB95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68B6F6A2-6B18-4D5D-BA30-3799AC7509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7B0D1C60-5819-42AB-885C-2647F3D654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F94B8F23-36F5-4811-BD94-C3E92C3C07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5FF33785-EA60-4DE3-8FAC-3A603A0DAE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E0CD5E50-709B-46B7-BAF9-708F114968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74E27144-D730-4253-AE25-663E1F8CF3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A07CAEB0-C7B5-44F1-AC38-1319B62B6A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581A78FC-5EB4-4F6E-A416-70492C93A4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96BA9477-B966-474F-9442-49B7EF8300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3215570-1413-4763-9622-07F34F7C1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565D0F88-8931-445B-9C78-AD843E59C8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43A896D3-C0E8-4E85-990E-4BC73E2418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A11BC9D1-42BD-415C-B1C9-D40280A63B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6DC2FAD4-8E80-4B35-BAB0-9F95682E25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58F76BDA-70FE-465F-9627-18D1E76825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4FAEF40B-0954-47C6-AC7B-7015CCCBA6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2F011FB6-CCC0-4D8B-95F6-C86B994E4B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EA43F8CD-2BAC-4425-B097-6C99C0A969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D34A509B-D899-4816-BC12-7E58971756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DE483DE5-D58E-4BC3-A1E8-8C36C42B04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FAF1DDC9-43F3-47E9-BD35-D10DB5AF3B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C7A55F35-D4A3-4932-85D6-53D658C833A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F6AA499B-F0D8-450E-B37D-0CFABD5B23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975BCD8-4C89-4985-AB98-65A5A6DC4F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948E9CED-8EAE-4171-8863-6074A8938E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7B2AD3A3-F332-4D43-A742-44F59DE9A8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CFECB26D-AA04-4AB6-8EE0-797A125691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44D1933-91D8-4A43-9EF7-9A5BE97E74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B2ACFE53-826D-4382-99B5-3330FC4CA5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E6B67C39-D9F5-4E63-BA1E-E3194369C9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D791E20A-FBE4-413E-95C7-71BF670B46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C7AE384-61A1-4CF3-BC59-1E3E14667F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5B70310B-8F78-4BDB-8F25-020A401D2F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9490CA02-2B24-4BC3-A76D-DCC859F85B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3AF36A4C-44DC-4059-AEB8-6C75EAC25A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671E0BF2-D4D7-4AD7-8391-EE9E5CA6E4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9B0C3-E4B5-4243-B90F-2FEADDDC7C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50A60B0-7A65-4BDF-A1EF-032924E28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67E355D8-61E2-4C81-9932-475C14BFB4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C634CB91-3E27-46B9-8A01-C22A6374C8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D61A28F6-4058-4D48-A3C7-680053EF0A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C2692F1D-ED23-458E-9BF7-492828E0FB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BB7C2BC5-877D-4C75-B7EF-01C80719C0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CBD2B1A8-F466-49F7-AB26-E043016373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7B933E63-7A1E-4F71-9F91-1E98CC7856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8E51DA59-596E-4CB1-B276-FF1B69606E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A9CFA170-C319-47B4-ADBC-CABB7AC7B5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D1C21B0A-E1A7-462A-B8D4-C2796F4C88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150ED487-AEFA-4FC0-BEA4-5CF4A9BF88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175348AA-A7BD-49B5-8993-37505042C3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E1FE0335-229E-4BFB-B61C-61FF3BE246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F33A6DBD-CA27-4E61-99F8-1F7FCDE11B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1735F4E5-A6A0-4039-87B9-27923DC70D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1187C55F-7BF7-4BB9-807C-E31B54A888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C6A3A3EC-1B5D-4EC9-95C9-D76E0275C8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3400DED8-EB2F-4368-A28C-34554AA119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3736082E-EFB7-4DFF-A5E3-67BC46E07F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7749D10-E5CB-4E61-95E6-7E0493BE55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57B10E14-160E-4B74-8644-CD30191624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AB792144-347D-4CC1-B61D-D42E64E831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1903F01F-5235-4AB0-B041-E2F654C54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E129E223-3872-44F6-87A2-A71CA9E1A8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33D4E2D4-B3E8-43E5-B162-5089CC0B77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BCA1B93E-7D67-4008-AA17-FB2D56FF1B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EDF90BAA-22B0-4A3B-B8C8-D1432E5BF5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70473D30-EC07-43D5-B4A1-988B5C672C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A500F70B-0FCD-4F64-84B9-756B8DEA76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876EB71C-2CD1-40DA-8BF3-C94C0D7BD1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A42B6B61-1132-49B1-91E6-B7F6F961D5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86127531-F40C-47EB-943A-06ECB597FC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25FA3472-506F-4722-B99D-4935F46AF4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4FD95CAF-C013-440D-8E33-FC48B14A88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76642D96-8B8A-4A0D-86AA-2027911034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CCC3FD9D-130D-4E11-B57C-165D5174BB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2660AD8A-B3CD-4BF7-BDD9-68CA6CD860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DAB7DFA6-3DE5-4A19-B32E-6E0C2400C9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71C584A4-5464-44BF-9974-1FC88F125E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5191D0A5-5BCA-4A07-BA0A-E7954636CC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CE75E398-1EF6-4016-97C6-5BCB864866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4E5ACF5-CD7C-4B51-A382-5A6A277AD9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D7535150-F395-49A5-A432-5A009CF3AC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B5A30A10-5DEE-438F-9FE7-3B8729CF12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4F6BD099-1BBF-4DBB-A3D4-12AD38EAC3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EA16C4A7-E505-40C6-827F-BEE9542DF4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5C3D133A-3BE3-4852-B466-ABF9689553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2719C5E0-861F-417C-BF5D-21551B321E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B09BE4AD-86FB-4561-B65B-A33A048DD7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400997A2-FBD8-400C-A4E6-272A3D2ED0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3F0684E0-EA57-4799-8456-B2661BAB6F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58E89778-E9DE-4D4D-B03C-C1E3892C92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76DF8280-5B79-42E8-AD05-D1525D6096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2B722F71-284B-4D2A-9129-3F26F1F40E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4856B33F-1761-4264-980E-E552E73101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A5CC152-2242-4AB9-B163-B74982487F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3F418656-D671-4EE7-8024-301E19BF8A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5BCBC409-2E14-4FE0-B045-8B3CA89CCA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2D6C4551-EF32-47A6-AC3D-F66EF66437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BB5AE337-11BB-4919-97B5-4EC22D7EB5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B8E2BF80-BA83-41CF-BB64-69AC57D791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A4E78515-84A4-4960-A38B-6EBD7ABD60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AF620455-88BB-4D17-B31F-2FA996938DA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ED1F4BA-324D-4E82-BCEB-24A47A6466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B737D608-A764-41FD-850B-54446032EF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D788BD20-EC09-41BE-9E2D-0C0D81325D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12D6319F-7880-415D-85D6-FD3DE1C48D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75E669FA-EC37-4C4E-A45A-4DA12B5A77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60CFB8E2-D4B6-4ABA-A579-8D79AC0618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9321BE07-2D6A-4EC5-B924-DFEFC0FC16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291097E7-F00F-49DA-B06E-CAE225B80D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C3E39EA-82F0-4A1C-92D2-BCC463C80A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F8D5B1CD-203E-48AA-89DC-87A98488EF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243D01E-BC56-4E29-AE2A-44791DF87E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70402107-922B-4714-97BC-FE5293E783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8825ECA9-1AC6-4B90-819A-198B0E9769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C5308A5A-3920-4EC0-B2CC-036615DE75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7044F4A7-92E2-488F-AAB3-DA34BC7F1D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8048F100-4D2F-4225-99B7-8068DBDFA1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980A8C40-E191-4AA3-9A1C-8D3067F22F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7D83084C-2EC4-48AC-B201-6E2AACE1847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362B72EC-0762-46CB-89ED-8B43D73291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EB78C3AE-7D9D-4D73-97DD-CA84C1E724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66F48D3C-C8E8-41F4-9F35-E374482940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7FD102F4-ABC3-4E07-8175-A8939DF385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R15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$3.50 venta de tela Sheer</t>
        </r>
      </text>
    </comment>
    <comment ref="T15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$7.00 venta por Labor Width
Se considera $5.00 estrictamente por Labor Width + $2.00 por los Grommets</t>
        </r>
      </text>
    </comment>
    <comment ref="Q16" authorId="0" shapeId="0" xr:uid="{00000000-0006-0000-0C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4.5" EN RIEL PARA GROMMETS SEPARADOS A 6.5" (144% FULLNESS)
5.25" EN EL RIEL PARA GROMMETS SEPARADOS A 7.5"
SE CUBRE EL 70%  DE LA DISTANCIA ENTRE GROMMETS.</t>
        </r>
      </text>
    </comment>
    <comment ref="D57" authorId="0" shapeId="0" xr:uid="{00000000-0006-0000-0C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tipo de cambio pesos-dollar</t>
        </r>
      </text>
    </comment>
    <comment ref="D62" authorId="0" shapeId="0" xr:uid="{00000000-0006-0000-0C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3" authorId="0" shapeId="0" xr:uid="{00000000-0006-0000-0C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4" authorId="0" shapeId="0" xr:uid="{00000000-0006-0000-0C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5" authorId="0" shapeId="0" xr:uid="{00000000-0006-0000-0C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6" authorId="0" shapeId="0" xr:uid="{00000000-0006-0000-0C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7" authorId="0" shapeId="0" xr:uid="{00000000-0006-0000-0C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8" authorId="0" shapeId="0" xr:uid="{00000000-0006-0000-0C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9" authorId="0" shapeId="0" xr:uid="{00000000-0006-0000-0C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0" authorId="0" shapeId="0" xr:uid="{00000000-0006-0000-0C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1" authorId="0" shapeId="0" xr:uid="{00000000-0006-0000-0C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2" authorId="0" shapeId="0" xr:uid="{00000000-0006-0000-0C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3" authorId="0" shapeId="0" xr:uid="{00000000-0006-0000-0C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4" authorId="0" shapeId="0" xr:uid="{00000000-0006-0000-0C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O1" authorId="0" shapeId="0" xr:uid="{DAD03B0C-8D6A-46B9-B37E-D93151630B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EF879875-D8E8-498C-A284-2392CEDE05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2034E4B3-124D-4882-9852-6B78F8AFD4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7187A7D2-278A-46ED-8AEA-0E80FBF323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98B50CD9-4775-4B21-90F6-F505BA2EB0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64A97F63-3E61-4A4B-8FDD-28FEC2FC0A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29A8CCCB-5DFA-4390-9DCD-8C6482E7E7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247F0E61-7C5F-4EB7-A97C-C4D59E6056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E91E683E-EA31-46B8-903F-9CD6A139FB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4EB26CC4-A1A3-4B69-9D8B-FABC2B98C6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44A9D2EC-5C33-4F36-B54D-EC36A19B72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D9E9C5DC-FC83-4F86-98D3-43909D272F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B3071443-A3D9-408F-90C9-11DF69C687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FEC8B28C-73CF-419A-A9ED-4550682B7B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759E745E-8944-4B7D-AC7D-88DBDD829D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98CE63E7-2F22-4067-BB26-4EE219D267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4D72AC8-76EE-47E6-8A0B-4F57C4C30C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9DBC5C5A-88B0-463F-B90F-8A6454BA19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814D836D-EE5C-405D-B5FC-9596E70356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17840211-16CC-4A54-B47B-1005CE15DD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9432FB4F-A396-43EF-B7BA-554A730585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B7F065A-6A17-4388-BB90-DBAA5D9EF7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B8D17C8E-6F66-49FB-9C81-69918428C0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2AF822F6-A5E9-4CA3-BE34-F14B181C7D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962F42D6-BC83-411B-AF00-5E91531689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9DA6F290-9E9A-49F0-A0AB-2F28D0F719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E64C2B8F-2B2A-488B-BD7A-102EEA143F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3DE52A08-BFFA-41DA-814A-2FD9CAFB42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AA8B5928-B70E-4A8A-B853-5AA8A4F3AB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67D69FFD-0D71-4527-90DA-03981EDC79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5004003C-9F58-4B11-861A-581B43B197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9B4DB583-37E0-4AFE-9DF9-5905DD604A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6BC36F4E-A1B7-4D58-8521-48E48824D4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9E3ACD1F-7312-4289-899F-8A30C48394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D3F631BD-5DCF-43EA-BFED-29E206BB78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6FAA8DE6-F43E-476D-9F0C-8A0ADCC882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DDC9E04B-C565-4585-8D0E-40DCC31D06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C9B4F36-0DEE-4470-8B33-4D3018398B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DA387964-4318-4409-9A94-A3DFCE136C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F94EE7A2-C25D-4521-BB96-EE893FB4C9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57F21E9-9F17-4A7F-A486-6D510DCD9E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936A239B-0B84-4541-AF2D-5F2D085949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34CD6B6A-5FAE-403D-B157-0C8C46802B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F86E15BA-B80E-4947-91AF-A23A177AB9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AC5C6AA7-1704-44A0-8A37-FDFA150DBF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88AA3DAA-23CF-432C-91A5-5BC670BFA8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1C224FF9-EC3C-452F-964D-C1E2332E81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3DD1B32E-87FD-4685-89B1-4C29DD2508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4EA49F0A-6316-4A91-9F3F-E006C76452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EC1C05DA-A0BA-40CA-8807-9A7328BE44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BAC1B0C9-18D7-4CEA-A4B7-A83A3CB2EE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4B02B27F-546E-45D6-ABD5-56B3FAAA83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7C87C5D5-9352-40C6-B7F3-DA81A0645C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7E8EFAE0-9F02-4476-8C40-00AE47E054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7BE40AA1-2768-4501-B4EF-E223BBC026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B03CE38D-0D75-413B-97E4-889107790C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C901B405-E60F-481A-B772-84FF48E2D31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A66851BC-AF5C-4569-943F-70CD4D67AF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4D263139-D228-4DD5-92BE-D42289EDE02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FEE7E792-50EB-4684-92FD-2C3C91B308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E01FCFA4-2D08-48F7-954D-061BE398BB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ECE7625C-95DD-4CF9-BBCE-99A3046A1A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5B4FF44E-76E2-470C-961A-C5DDDBD79A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ABC338A7-A60C-4F6C-9D7B-FB6FBA3E80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C26BEA09-88FF-4608-B397-2BBD8601B4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3168E0D0-3FFB-4EF3-AFA9-F61FACF81B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78DB8D7D-6158-45A5-9796-64883D0678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78380A44-0468-4A34-BBA3-B21A7BEF9F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A08AD459-ACF1-4238-8166-1FF7FB1DFF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858CF143-6196-465A-97C0-07E058AF73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9788830E-55AC-4A2F-B143-19F757A4B8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207E349D-B690-4B43-9C47-847FADDFA4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C270324-9211-44B7-9696-928B7A5542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D4B6267F-B69C-4DB1-82F1-9D343B5210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799DA75E-C075-4A8E-919F-52B59AD055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D852359D-8292-4CFF-81BC-D0926BCD7D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ED544A2D-E216-4007-AEE3-D36A49AA1F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1F97F8AB-9AF8-4DF0-A7DC-6CBA19B3AE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6B445073-F89E-4D2D-A8B6-A51CA8381D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AB04A1F5-A994-4349-B969-A907584C7A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4EDE623E-8DE9-4B0E-8887-B0538D784E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517407FB-BA50-4199-9FBB-33DAC54671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3FF734D5-93B4-4F16-A32A-E643FF741C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48BB7F12-7151-4E98-985C-EE2D1A757E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C293708F-7CF2-4AFD-A3BF-6B004713E1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4DDFDB58-25C3-4467-B95B-40356906C3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9FF269D9-895E-43C1-9830-31870A9E6C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864A5A81-4402-48DC-A844-1D0CE6F95B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D2EED481-217E-4638-B9A0-F0031BCBCB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7C915F3D-508D-4CCF-8932-D237F5447F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7868515E-0EC4-4842-B3FC-C02C2C586D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60474E3F-8B53-4F60-8736-D329361C9A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F69A116A-480C-4F27-AD37-E40900F6D7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D7AEBD6A-E68F-491C-9101-41781644DF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2C0CDB6-C1CB-4350-90D1-D167C991D8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7282EF09-8451-43A2-8265-CFAD8DD36B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17CD1653-F4CE-4136-9CB8-544043D61C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EC8717AA-BCA2-4F79-8F43-9E434CCC28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6102EE17-26E4-42B9-99FB-F33EBC5BFF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83AE3716-A91D-4D6A-9360-8ED84F9457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43ACBDEE-CEC9-4C3A-9A5E-64A18E4566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8360C0B3-E9A9-485D-9A66-A68881B32E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F3B5CF53-62A7-4475-880E-AE5354D13E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89C8F77E-BF24-4ABD-907C-0D0A1F8F50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5D22B2F0-AC4F-4958-83D4-C08C934F34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FFBA61F0-1C08-48FF-915C-9D6BEE9216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135491B7-9930-4D47-8099-A2EDB86E25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547B329C-FF23-458F-A6D1-E9D90A5243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8EDD45D2-3A9B-41F3-B0B5-806752AB23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A032EF80-425E-4BDD-B12B-3E7880A26A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1B9582F9-F64F-46D7-973F-18D157B08C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D77428BD-50AA-4586-9737-D380778F08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2648CDDC-4A06-43AE-97E8-8CB9D18195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3147562A-35D6-4E13-9424-FFAAACDA05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5A91A007-0DD1-4B89-BF0F-81820A686C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3C0E1CC7-4B4B-4384-AA91-D2EDA0B525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193ED5AB-90AF-419F-8B82-B755845848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C5F57BA6-3863-48E8-9665-179CD21014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C60FC3F6-C42F-4A85-9A29-EA29FE2625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5179C91A-24B5-4A18-B4E6-2AF6025C8B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28743213-B2BD-44FC-BB62-6F599D521A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D147F872-979D-4320-B529-2DB51D0F1D2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28322305-0340-437D-9F31-715A4F0B72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3BE3B973-28C9-468C-967F-8CADD8857D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4CBFA1D0-62A9-4057-A0BD-88869048DF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FA743B8D-91C3-4C96-9DBA-4E28396922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DDAD7AAB-EFDA-4705-A98B-47D70835E1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2B354527-0655-40C0-959F-9DBA596A8F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E5212025-CCC6-4940-95F8-AC308A0D0E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AB64" authorId="0" shapeId="0" xr:uid="{D6DA4F39-9BFB-4DF2-96C8-25445606C4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5" authorId="0" shapeId="0" xr:uid="{77A376BA-112B-4968-B6EB-C3F0C80A02C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6" authorId="0" shapeId="0" xr:uid="{0EA1B3AD-571F-44AB-AF31-0E549C4E2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7" authorId="0" shapeId="0" xr:uid="{3C057581-271A-4A41-AFEC-3EAED42242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D21" authorId="0" shapeId="0" xr:uid="{BD11FE7E-05EF-4CA7-99C6-FB7BF1F5A5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2" authorId="0" shapeId="0" xr:uid="{3C20E86D-3C9F-4190-B7EB-2DF5628789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3" authorId="0" shapeId="0" xr:uid="{5380C706-DCA3-4452-AE60-C84A8B431B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L26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Mar-18-22
$7.50 (antes $6.45) PER YD, 54", ATELIER: COLECCIONES: ORVIETO, STRATOSPHERE, OLACHESTRA, HEFEWEIZEN</t>
        </r>
      </text>
    </comment>
    <comment ref="L27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on Mar-18-22
DEJANDO A $5.95 
$5.95 PER YD, 54", BRONI
$4.95 PER YD, 54", SCALA FOREVER CLEAN
$9.90 PER YD, 118", SCALA FOREVER CLEAN
$4.25 PER YD, 54", NOORVIK
$4.95 MAYORIA DE LAS COLLECCIONES </t>
        </r>
      </text>
    </comment>
    <comment ref="L28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Updated on Mar-18-22
$4.03 (ANTES $2.65 PER YD), 118", HANES</t>
        </r>
      </text>
    </comment>
    <comment ref="L29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$7.95 (ANTES $7.90) PER YD, 118", ATELIER, TIPO: VENTONELLA, BREEZA, ETC.</t>
        </r>
      </text>
    </comment>
    <comment ref="F48" authorId="0" shapeId="0" xr:uid="{00000000-0006-0000-06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49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0" authorId="0" shapeId="0" xr:uid="{00000000-0006-0000-06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1" authorId="0" shapeId="0" xr:uid="{00000000-0006-0000-06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D60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
Nov.29-21…cambiando a costo de $5.81 + 1.19 flete = Landed Cost = $7.00</t>
        </r>
      </text>
    </comment>
    <comment ref="E60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1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</t>
        </r>
      </text>
    </comment>
    <comment ref="E61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2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D63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C68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 PER 2 BATONS
Cost updated on Apr-19-22</t>
        </r>
      </text>
    </comment>
    <comment ref="G69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K69" authorId="0" shapeId="0" xr:uid="{00000000-0006-0000-06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P69" authorId="0" shapeId="0" xr:uid="{00000000-0006-0000-06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C80" authorId="0" shapeId="0" xr:uid="{00000000-0006-0000-06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1" authorId="0" shapeId="0" xr:uid="{8B23D5F3-3680-4F11-BC99-0A84EFDF4E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2" authorId="0" shapeId="0" xr:uid="{00000000-0006-0000-06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3" authorId="0" shapeId="0" xr:uid="{BAAAAEFB-AA74-4A78-BDF8-70F672C77E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7" authorId="0" shapeId="0" xr:uid="{00000000-0006-0000-06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EN BASE A SINGLE WALL BRACKETS Y PRECIO COMBINADO DE MADERA Y ALUMINIO</t>
        </r>
      </text>
    </comment>
    <comment ref="C89" authorId="0" shapeId="0" xr:uid="{00000000-0006-0000-06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17 PERO POR FABIAN DEJAR A 22….RIEL DE HASTA 144" POR ALTURA NORMAL.</t>
        </r>
      </text>
    </comment>
    <comment ref="C90" authorId="0" shapeId="0" xr:uid="{00000000-0006-0000-06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LIMITADO HASTA 160" DE ANCHO.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7" authorId="0" shapeId="0" xr:uid="{69C4CAB5-F046-4DA9-B972-AB985B52F7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" authorId="0" shapeId="0" xr:uid="{34AC5E75-7640-44A8-BC77-390FCF4643C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" authorId="0" shapeId="0" xr:uid="{5D8A3F9B-A902-4EC2-969B-E54AACDB59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" authorId="0" shapeId="0" xr:uid="{86B44AFD-9298-45C3-B13D-9C821CC603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" authorId="0" shapeId="0" xr:uid="{71380D46-CDF6-4FF0-943D-E924502BEA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" authorId="0" shapeId="0" xr:uid="{F13B9154-A68E-45A9-8BF8-CC35B1BDA7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" authorId="0" shapeId="0" xr:uid="{9B2652C5-8FFC-4818-97D6-3E7A0FCB0A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" authorId="0" shapeId="0" xr:uid="{D47F76A3-E157-48BA-B8B0-7E8BC9A4C9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" authorId="0" shapeId="0" xr:uid="{8C88B04D-C048-4337-8BE9-80C5DAB192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" authorId="0" shapeId="0" xr:uid="{75A5DF7C-7250-41A6-A7E2-6EF8E6122A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" authorId="0" shapeId="0" xr:uid="{D2BC9BCA-4E4D-4662-9AA8-EA795E590F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" authorId="0" shapeId="0" xr:uid="{0356D4AD-14FB-4BA3-A16B-C712614FD8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" authorId="0" shapeId="0" xr:uid="{1DFB87D3-9307-4242-BA61-789D8CC22B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" authorId="0" shapeId="0" xr:uid="{C8D8B54B-A4EA-4400-B4EE-E88E5EF7E9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" authorId="0" shapeId="0" xr:uid="{C95FDA67-29D2-46D5-A3AB-897B9E77BC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" authorId="0" shapeId="0" xr:uid="{002A9F4E-9225-4BCD-AFC1-2639F2C281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" authorId="0" shapeId="0" xr:uid="{398815EC-A1DF-400E-86FB-FCEBC10255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" authorId="0" shapeId="0" xr:uid="{41DAAA78-6DDB-430B-A4A9-8CEF7A7C94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" authorId="0" shapeId="0" xr:uid="{68C7A1D6-5E45-415D-AFEF-EF24F535BE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" authorId="0" shapeId="0" xr:uid="{5DB5DAEA-B8C3-47A6-8F80-55DA5A4C18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" authorId="0" shapeId="0" xr:uid="{55282852-A466-4037-9CDF-57DDCA9D19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" authorId="0" shapeId="0" xr:uid="{02D66804-9D30-4FA6-8ED2-18A3ADCB34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" authorId="0" shapeId="0" xr:uid="{F9A2ED7F-8C2A-45B0-AEF7-C0A29FA059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" authorId="0" shapeId="0" xr:uid="{42F6528D-F8EE-4604-B4F0-F5D7FFB582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" authorId="0" shapeId="0" xr:uid="{14E83AA5-FA17-4529-B0AD-3A23ED28B0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7C107321-7DB9-4227-949A-3E53EFE4FF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2B544726-CC46-4553-8335-F708949572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19B485F2-A554-44BA-AAA6-26DB3EA23B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B34D0DF9-59D6-4B5A-959B-B5D2490A64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77CB96CB-19F0-4FD1-B74E-74C5D77B12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7C294AD7-95BD-4CC7-8A0A-AC242F9FA2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86165562-E750-4668-A789-4A500AC326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75A7A2B-9EE0-44FE-A676-C28B5D2CBA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B412E228-6CAB-40A1-B4D1-D728B6D273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AB52FCFD-FA02-4FDF-876A-4ABEE9C890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D02E74AB-283D-4340-B53B-44D5088B9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BB65517D-CB00-4839-941A-8216DAE4AE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53C19668-E998-4EC5-A6D1-84B84A6BA8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ACF17141-35CB-4DC9-8928-9F1A4B2D9E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9B1C3F76-D22C-4856-AB92-9EC85F88A7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5BD3FB95-1FBE-4833-A3F5-F9AEF1AA89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9C130F6D-6D47-43CF-84ED-6CA86E844B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37E9DEEA-9707-49E5-8BDE-CCFCE63E46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BECEFEB3-1931-46A4-9062-60466CC151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EFA740D4-6817-457F-8FB0-F63D05CD09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9D9C800D-1517-4918-8645-26248E99E1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DDA8F9BB-5948-497A-8CE2-131A200E3A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BCE5725A-B2CA-4A5C-82FA-8351C4A229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320A811D-7ACD-4A93-AF2E-643BD48338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CF53F3DB-FB81-42B9-924B-0A67002FB7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2CBEBB74-0990-48E5-AD8A-77A0F29C03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1BE612AE-608D-40E4-821D-C473C25744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8D7F5D9E-EBAD-45A1-947D-5868859413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E4B5D851-DBBD-431B-BC86-7580F56DA3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AD92CF2C-D4CE-4FC8-80C9-5A51D87CD8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876372E-A9A3-42DF-8E6F-93F1040ED9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DE598EB6-91CA-4A5F-A6E1-69F43EF5D8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C98AB811-DF5D-419B-92B7-05F5F82E41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F8D71DEF-1607-4315-BEFB-CA70AF5638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238F2E94-9734-46FA-8F74-E6C32F596A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409066B-9480-4272-9EA3-7BFDD05847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C77DACD2-EC87-4D6F-A6E2-F96BAC7381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9C05AA31-7952-464D-A272-48C099199F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4706B9EF-5716-4717-8E29-229F55B9CD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58CBFF25-AD36-40D9-9609-B6C71B7AEA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DCDE8462-350E-4E1A-BA32-8553D83908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548A7657-F053-44FA-988C-660F4C10B4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6C3B6AAA-52C9-43F2-A426-933EAC8C2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27F31C3-0431-4811-838F-DDA74DC18E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C1E294F7-A607-41EA-92F9-9858BBA26C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1AADCA58-A420-4FFF-B54B-F003D3705D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496482CC-5EC5-4B23-BFB7-746AACDE64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BCE80EA-7195-4120-A939-9DDB18B48A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ABB7F2D6-EDB3-460A-982B-405C461E78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97E648E8-0B30-45D5-B946-5104BEFDFF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6AB2A020-8A7D-42D9-A595-FAF6773264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856EA1CD-1D7B-47D8-92EB-D6FC131A31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F447B33A-5218-4E3B-BE89-7C4381C284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4B0CF29F-A835-49A3-9A57-1F1AB5CD10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65B620D8-C6BE-4B04-B6C6-4A5E938CE0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E4D34112-8478-4635-9DEF-6AE917684A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CFE4285E-18D8-4EE1-9689-99A75554CA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560BA276-085B-46FF-9856-2BD60A1586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16DF78DE-28A6-472D-AF92-42532932C7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853A2CDB-52D1-41EF-A698-92A0663181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5CEFA4F9-A4E4-49DD-B559-0152DC36FE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7B8C6AE3-F62E-4F53-8AE6-403E4A12C6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38F5D428-7A67-46F4-9D0C-4DC6101F1B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BDD270F4-89A9-4001-AEC5-7122F4E67A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6380C492-2D17-4CAC-B11A-713A4156C8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44577C1-428E-437D-9A55-3D6D1D71E1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52D16062-91EF-4003-92F9-03049676EE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8CA8A354-451D-4367-ABA8-619C71935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D041B187-C825-4125-A9C6-3ACEAF7F16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1652EB6D-768B-4919-AE1D-F8973EDCA7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108A8776-57E2-4E49-94B6-0546078D43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992DDDF2-A0CA-4F7C-BB02-F9B06A8AF4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53D155EA-16DD-48A1-9805-FD75BACDA5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4D1E71B9-F05E-494C-96C5-24153F4E99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F004113E-7A0E-4CCB-A83E-C38D60C111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9BF4B23D-5555-470D-A0DA-8DE83AE559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E9FD30CB-4C4A-493F-AE0B-32B276FE36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9FF75F1-7A3D-4326-8600-9F2BDA1DB6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66E30649-4DC5-4860-B1A8-C771413BAE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637C40F4-2F13-4457-AEA2-156F343899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5F098B41-E93A-4B5A-97A2-7AE7846786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94356E38-7113-4C29-B3DC-8D1B042850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7274EE4A-1892-4C4C-A5C1-ABC1565578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9E63FDDC-622C-4CC2-B98F-AC8BCCB0F8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2123C1D4-73BA-4AD4-9FED-FE57A70E56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3E13AABE-EE40-4537-AA96-9B63D141F0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24E25FAF-007B-4C89-A4AF-8FA8F66B1B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F3966C4E-BDF8-4BB9-A440-E5E107AF29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11C65BF1-DFC3-4C4C-BDA4-04372FCAEE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939A17A3-7788-4467-A0DC-B4B58553E0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7422649A-DBEB-4904-A324-3538F9B5C6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8F43EEE5-59D4-45D1-BE25-E0300DCA9F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4F5AEBA8-DA36-46BB-A392-E60E97AAA7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5117C40A-CEF6-4916-95DF-A42B5A316F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3F8081EC-6204-47B5-A3C6-285A8B7936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DD4F7ADF-3245-4E9B-8F15-8A4A35E813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C1913994-853F-4806-9429-8FF095F8E4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3FEA83F1-1384-4C8A-B42D-27A000DC2D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8C8C39BD-6B98-4D4A-8515-C0A2CE166A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91E3E225-6D36-434C-BCAA-5B7D81291E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1DD876D5-F519-4710-A468-70A955F6B9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BAAD2373-0087-4CCA-90AF-2AB2C3532A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A3E06099-AA2D-4D75-9208-4C42F2C16B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ECD444FF-25C0-4BD4-A2BE-6FD61BB18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EAD4C405-6EB1-4FE5-9678-822BCA69AF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80CF8F30-A6AD-45F2-8C0E-7B95B63553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F5D29A87-1F3A-4FE1-BDED-8432ABD9F4C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C1E4325C-700A-4D11-9E88-7F3938F332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2AB3DAEE-C7B9-46E6-8697-5D839EF0E6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DB115830-2D3A-43D1-834F-BDC30899B5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A31B6F16-E97F-4257-9629-AA6836D45D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E915A072-C93B-4E2D-89D8-AC777A0D13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ED0BF24E-1D31-4611-A04D-6723767052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1D29566D-A386-4C3B-A5BB-99156148E0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3D7B86F2-5822-4306-A185-8DDF9775F6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BD47BF64-B79F-42C3-89C8-7CAF8076D6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5B083D70-BB18-4CEA-9ADB-B7A7B60901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995817C2-6AC7-45C3-A1C8-43FEFE9FFA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1BB49F23-B365-4C79-A351-311CCE0747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CBA4CB02-2FD9-470C-90F0-EE6F0B54D9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83847536-5F72-4565-95C4-3BFFD71879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A24B205B-D63C-4722-AC94-B64CE37897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693580B9-1E89-4992-A0A2-B36102C0D8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232A654-03F7-48D8-8F28-C8D3973017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ABD22A4E-ADA3-4F01-BB7B-5F3B103BED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2E172E2A-8D70-4483-8F21-19E594FFBA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B253A6EF-1DE8-40B1-B1A1-1C2A5145C0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668E62C-F55F-41A4-8889-312D6564C9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48DEF2B8-D4FA-417C-8F0B-A570016098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47C6865-4F0E-4A9C-858B-454FF0263A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F7895C5F-5DF9-43EB-A942-94C6B16D10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28DC8AB5-A7AE-4D36-ADA0-70B27FABF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50BAE5F-FF25-4497-A304-15018F8FD3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EFB63B1F-62A1-4DE1-B43A-BC8641462E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AE115FE2-3C14-4B37-B86E-87612D8D2C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26E1BC7D-37FC-46B7-8753-8C3AAF6308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68839902-2451-4CC8-9C4C-FA6F355248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3C50A564-DCB9-472A-804A-CF04779BB2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62810B15-D5CC-4135-BA3C-C8BC156CE1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3D9604B1-13C6-475F-8572-AAAA37547BA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3" authorId="0" shapeId="0" xr:uid="{3425BACE-8762-4B2C-B55A-B18E67682A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3" authorId="0" shapeId="0" xr:uid="{9648EEA7-562B-4199-B3EE-1D78A90E41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3" authorId="0" shapeId="0" xr:uid="{FCA491BB-7C9F-4E12-ACBA-8E5FFD09B8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4" authorId="0" shapeId="0" xr:uid="{DBA8F693-5BCC-4182-9D9A-0A025DBEDD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4" authorId="0" shapeId="0" xr:uid="{2D35CE68-1B1F-4B57-B7C9-F3DC942EA4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4" authorId="0" shapeId="0" xr:uid="{83F3873E-4A6A-4154-A250-9EFFA959F7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5" authorId="0" shapeId="0" xr:uid="{AFC0B0B7-267B-42A5-A9EB-26C0C5C633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5" authorId="0" shapeId="0" xr:uid="{976B2AE3-8FB2-48BD-A6A1-B9C303644D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5" authorId="0" shapeId="0" xr:uid="{1DA8664B-9891-40A1-97A3-639B6E319D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6" authorId="0" shapeId="0" xr:uid="{7D1F132C-5B7C-4794-8A3C-F69FEB1B4C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6" authorId="0" shapeId="0" xr:uid="{8C64BB7F-EDE6-4F84-8804-5927997C0F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6" authorId="0" shapeId="0" xr:uid="{E106F79C-5E5E-40F7-B9EB-22533FFDEF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7" authorId="0" shapeId="0" xr:uid="{C6CC5808-77F7-4241-AFAF-A3E8F3739F1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7" authorId="0" shapeId="0" xr:uid="{E626C332-AE14-4A3E-8244-6601A3BD1F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7" authorId="0" shapeId="0" xr:uid="{78AD1B46-C2B5-4961-B201-7177646803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8" authorId="0" shapeId="0" xr:uid="{CA2EAB22-28B5-4291-A12C-3EFAC3355C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8" authorId="0" shapeId="0" xr:uid="{293A7319-616E-47CF-832A-F3A04068C4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8" authorId="0" shapeId="0" xr:uid="{6523E159-33C9-45E1-859C-8B8DDA19AA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9" authorId="0" shapeId="0" xr:uid="{7511AD5A-F893-4F46-A926-40DD85CECA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9" authorId="0" shapeId="0" xr:uid="{DBE3BA2D-6E8E-4117-B1FF-5978C017B8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9" authorId="0" shapeId="0" xr:uid="{52E3F0BB-6386-4C13-AE87-F325614E8B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0" authorId="0" shapeId="0" xr:uid="{EE312C31-0C64-4068-944B-021086D773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0" authorId="0" shapeId="0" xr:uid="{B3703509-384D-4C7C-A32A-930514446E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0" authorId="0" shapeId="0" xr:uid="{042CEEB2-1EBE-4E87-961A-15989A1558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1" authorId="0" shapeId="0" xr:uid="{EC0F44C3-26D9-4E34-A1CB-84431B57DE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1" authorId="0" shapeId="0" xr:uid="{5817DF1F-5BB6-42F3-94D3-916574D617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1" authorId="0" shapeId="0" xr:uid="{CA632510-12A9-4A7E-9516-8B09B1F3F0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2" authorId="0" shapeId="0" xr:uid="{251EC54E-D93C-4BA2-92A2-660D32DF39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2" authorId="0" shapeId="0" xr:uid="{311D1657-A0EC-4F45-A8C0-00A849253B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2" authorId="0" shapeId="0" xr:uid="{3FFC2A7F-6266-4408-8874-2C468C159B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3" authorId="0" shapeId="0" xr:uid="{D0E9B5FB-1D9A-4F5C-8E50-00A0506D1B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3" authorId="0" shapeId="0" xr:uid="{9F89FE1B-3E17-4C09-882B-7C9B3E07B4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3" authorId="0" shapeId="0" xr:uid="{08D1D127-2FEC-45EC-925B-C36207EB28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4" authorId="0" shapeId="0" xr:uid="{CDC7BE06-0E72-45DD-AE2A-7DDF7A8CE1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4" authorId="0" shapeId="0" xr:uid="{EACEA214-7458-4F7A-8698-842EBCEB59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4" authorId="0" shapeId="0" xr:uid="{327F83B9-01F2-439E-AA3D-61E8FEB9EB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5" authorId="0" shapeId="0" xr:uid="{E02F5B76-9834-4DFB-BAB8-FFE4C875A9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5" authorId="0" shapeId="0" xr:uid="{FD4BD900-2050-4BFF-889C-278F2AAB77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5" authorId="0" shapeId="0" xr:uid="{0BC47A91-958F-4951-AFC0-C6A709A2EB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6" authorId="0" shapeId="0" xr:uid="{BCFAF444-4EC0-4898-A338-6696EE5EA5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6" authorId="0" shapeId="0" xr:uid="{916EAE7F-6B46-42CC-941F-B507AF261A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6" authorId="0" shapeId="0" xr:uid="{B20CA31E-CCF0-48AC-8976-952D7A2233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7" authorId="0" shapeId="0" xr:uid="{B9E911FE-077A-4E6C-8221-DBD9205495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7" authorId="0" shapeId="0" xr:uid="{17C504B0-3ED8-459A-A495-08DAA49108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7" authorId="0" shapeId="0" xr:uid="{30560443-7918-44AF-9E6A-4A916FEABB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8" authorId="0" shapeId="0" xr:uid="{88670B8F-034C-47FB-8545-4EFA0F7C2D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8" authorId="0" shapeId="0" xr:uid="{A7BD1207-C853-429B-8D36-814963F83C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8" authorId="0" shapeId="0" xr:uid="{C1186C03-9DB7-4C57-BEFA-7A9DEA3F65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9" authorId="0" shapeId="0" xr:uid="{39145452-ADA6-4BDC-9C93-096DA6B97C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9" authorId="0" shapeId="0" xr:uid="{EDB27713-F3D9-4174-85DC-46D052A033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9" authorId="0" shapeId="0" xr:uid="{9C39143C-7558-4F53-AE03-351089A8A2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0" authorId="0" shapeId="0" xr:uid="{ECDE4CC3-F59A-4FC3-9B97-AAF32F9766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0" authorId="0" shapeId="0" xr:uid="{3B21A8AE-2EE7-478F-B1EC-2EDFEBBD77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0" authorId="0" shapeId="0" xr:uid="{E1AD9BF1-AF57-4215-A69C-E5CDED98C1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1" authorId="0" shapeId="0" xr:uid="{2CF5EF7C-3C67-4183-AF0E-A978C4E83F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1" authorId="0" shapeId="0" xr:uid="{E83302A3-9445-4B88-B059-63F816F0FB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1" authorId="0" shapeId="0" xr:uid="{90E59584-9037-4743-B2A3-27DCC06ABE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2" authorId="0" shapeId="0" xr:uid="{D94922A8-F3C0-4B9F-9A76-69C9459EF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2" authorId="0" shapeId="0" xr:uid="{E9FADE2A-5302-4F07-B5C0-E707AC5D55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2" authorId="0" shapeId="0" xr:uid="{216ADF28-9DB5-4535-A2AC-FA3F0D065DB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3" authorId="0" shapeId="0" xr:uid="{51F5F2F2-167C-4F95-B6DA-AF9D2AB5A7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3" authorId="0" shapeId="0" xr:uid="{0DA6A63E-46BA-4C8D-B6A9-CD48868CD5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3" authorId="0" shapeId="0" xr:uid="{4AE502DF-7948-4A29-A932-F6B725E957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4" authorId="0" shapeId="0" xr:uid="{036DE873-885E-4801-995B-20DB51EFAE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4" authorId="0" shapeId="0" xr:uid="{5DEF8956-14BB-4D94-8D47-47568A5E71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4" authorId="0" shapeId="0" xr:uid="{0D8CD817-CB13-4F6D-B96E-3CC3FE0301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5" authorId="0" shapeId="0" xr:uid="{34E9329F-2726-4683-8927-B32FBFA0BB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5" authorId="0" shapeId="0" xr:uid="{7AA63B00-4C13-4406-8478-BCF1E2975F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5" authorId="0" shapeId="0" xr:uid="{A83A387D-9483-43BC-8EDE-8E45C261F1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6" authorId="0" shapeId="0" xr:uid="{9B601D8B-267B-4923-9AD2-CEDFFF4872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6" authorId="0" shapeId="0" xr:uid="{4410C6D0-4B2F-4975-8BEE-EBC35D7295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6" authorId="0" shapeId="0" xr:uid="{9FA7E241-9809-4368-9DD2-D10E0F021A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7" authorId="0" shapeId="0" xr:uid="{488DAFD9-AD53-40EE-930B-DE0D83BFB8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7" authorId="0" shapeId="0" xr:uid="{3C94348B-BED9-4115-8C3D-6B6CE8193D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7" authorId="0" shapeId="0" xr:uid="{2796B285-F896-41A9-BA7C-4DE08F4608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8" authorId="0" shapeId="0" xr:uid="{4558F796-332F-4882-8C87-F8B9362E62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8" authorId="0" shapeId="0" xr:uid="{16EB0F44-0F30-4309-88EE-DBF106F049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8" authorId="0" shapeId="0" xr:uid="{5B5C11A5-87D9-424E-ACC3-312486B600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9" authorId="0" shapeId="0" xr:uid="{B8547CA3-BC4F-491D-B045-EFD01A43C3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9" authorId="0" shapeId="0" xr:uid="{7E4DD04F-8EFA-4F93-AA62-78954250CE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9" authorId="0" shapeId="0" xr:uid="{EAFE642B-A3D7-456E-BAD9-E57EC0A6FC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0" authorId="0" shapeId="0" xr:uid="{E5F8A9BD-F68A-47E7-86EC-85E3BBD82F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0" authorId="0" shapeId="0" xr:uid="{5D852B0C-415D-4395-A81B-8CBC14FE0F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0" authorId="0" shapeId="0" xr:uid="{974F0C39-20C4-45B1-A42E-683873303A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1" authorId="0" shapeId="0" xr:uid="{43A01F99-8F99-4B7C-81A0-083BE55D36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1" authorId="0" shapeId="0" xr:uid="{0EB57B63-0A69-48B3-8688-AF9B0BDB3E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1" authorId="0" shapeId="0" xr:uid="{FF4EF217-AC8D-447B-A4B0-A72D3A9F15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2" authorId="0" shapeId="0" xr:uid="{D5EA4C99-DBB7-48E7-82F7-D5809B239C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2" authorId="0" shapeId="0" xr:uid="{2BD22821-8D7D-40D2-BFDA-4412360A06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2" authorId="0" shapeId="0" xr:uid="{BB12A7B6-172B-4E5E-9127-39723DCF88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3" authorId="0" shapeId="0" xr:uid="{91DFE780-6064-4DB9-95DE-A256C4C814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3" authorId="0" shapeId="0" xr:uid="{E0B5AD8D-A227-4D7E-8335-D9F79309FE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3" authorId="0" shapeId="0" xr:uid="{18468F19-FF23-472E-B189-37FBAAEAB8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4" authorId="0" shapeId="0" xr:uid="{F54CB563-9C78-4667-97E7-3972C246E8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4" authorId="0" shapeId="0" xr:uid="{66A00680-3516-4C30-8C58-DB12B4B006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4" authorId="0" shapeId="0" xr:uid="{035CE3D6-1992-4A67-A261-8DA217F1FB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5" authorId="0" shapeId="0" xr:uid="{DF327141-C8FF-4A8C-B838-F336263CC6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5" authorId="0" shapeId="0" xr:uid="{BFC44030-E514-4BAB-AA79-45B84D7F30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5" authorId="0" shapeId="0" xr:uid="{0A568C53-A244-4FC7-9C31-3B67F4043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6" authorId="0" shapeId="0" xr:uid="{DB045C78-9A4D-48CE-A610-83F3BE29C6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6" authorId="0" shapeId="0" xr:uid="{B363D84F-5D69-414E-9F1E-0B34E5754D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6" authorId="0" shapeId="0" xr:uid="{A93D8359-BB13-4966-A976-91B836C1A1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7" authorId="0" shapeId="0" xr:uid="{470413E0-035A-49C6-ABEE-67300AB519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7" authorId="0" shapeId="0" xr:uid="{9B81A3C6-70B5-42AD-B691-72AB55CF07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7" authorId="0" shapeId="0" xr:uid="{C4B8C496-FC27-443B-8380-4F91F27FFC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8" authorId="0" shapeId="0" xr:uid="{8154774C-DE13-4C5F-8079-47215983B5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8" authorId="0" shapeId="0" xr:uid="{4C366AF2-F3D0-4D56-B2B4-E9FB62C6B62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8" authorId="0" shapeId="0" xr:uid="{C0122918-CA9D-4BD2-B730-ADD5249CE5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9" authorId="0" shapeId="0" xr:uid="{13C24E0A-5921-4516-8DDB-4D2AE9559F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9" authorId="0" shapeId="0" xr:uid="{0BAE94FF-A85A-4FEC-ADD2-375F2CF79D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9" authorId="0" shapeId="0" xr:uid="{1A9566FF-E0DF-41BE-A02E-D1B48D741F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0" authorId="0" shapeId="0" xr:uid="{543AF5AE-52D7-42D8-A663-2878F87E15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0" authorId="0" shapeId="0" xr:uid="{59832ED9-7A65-476C-A57C-676BA4AD46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0" authorId="0" shapeId="0" xr:uid="{857177AB-4113-4F3F-A5AF-48360D22CB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1" authorId="0" shapeId="0" xr:uid="{94D98A28-DF93-4921-8567-13578088D2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1" authorId="0" shapeId="0" xr:uid="{B19634F8-A227-4AD5-B6F2-BBC277E40B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1" authorId="0" shapeId="0" xr:uid="{9ACF0ECC-60BA-4857-99F5-C1DB9D076E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2" authorId="0" shapeId="0" xr:uid="{7372AD77-5E64-4321-8311-C56F75366E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2" authorId="0" shapeId="0" xr:uid="{56455325-0972-4961-AFAD-D03F80A1EB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2" authorId="0" shapeId="0" xr:uid="{671D2A91-3B33-4019-9CB8-8476DBC1BE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3" authorId="0" shapeId="0" xr:uid="{B25692A4-9261-4F78-8AD3-440698970E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3" authorId="0" shapeId="0" xr:uid="{79911472-6CCB-45B0-9A95-6DFB2E4D2B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3" authorId="0" shapeId="0" xr:uid="{AF103EFB-F8F8-468C-9BEF-9C878F6FA1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5" authorId="0" shapeId="0" xr:uid="{84EBC355-2178-45F3-BCB9-A8C4DE8E45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5" authorId="0" shapeId="0" xr:uid="{6400F58F-03B0-4D1D-AA78-7EF21810F4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5" authorId="0" shapeId="0" xr:uid="{51529371-5AB4-4A14-A0B9-77EFA80D0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6" authorId="0" shapeId="0" xr:uid="{D7815290-DE60-49C0-9668-748CF76B9D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6" authorId="0" shapeId="0" xr:uid="{7434C14D-1DB5-4908-96D6-6998C27CA9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6" authorId="0" shapeId="0" xr:uid="{A4876B48-8FA1-4D9C-9A5C-20C95707AF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7" authorId="0" shapeId="0" xr:uid="{37AC32B8-29A3-495C-B7C0-FC357B41E4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7" authorId="0" shapeId="0" xr:uid="{570EF888-4508-48CE-94CB-D1E03ED56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7" authorId="0" shapeId="0" xr:uid="{2B4BF628-F71C-43B4-B491-10B7513F39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8" authorId="0" shapeId="0" xr:uid="{AFF58194-B6E2-4D3C-B33B-062F48FFBA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8" authorId="0" shapeId="0" xr:uid="{B2499C7C-5308-4D24-AB1A-4A00A2BCDD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8" authorId="0" shapeId="0" xr:uid="{BED5A0DB-83BD-474C-A6CF-B1D6F97E19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9" authorId="0" shapeId="0" xr:uid="{736D28D2-E481-4891-8B2E-E03393B026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9" authorId="0" shapeId="0" xr:uid="{A997A4D4-7668-4663-9414-39B0CC2C8A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9" authorId="0" shapeId="0" xr:uid="{E4F67CA4-0501-41D9-A3E0-6880DDF005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0" authorId="0" shapeId="0" xr:uid="{71B14289-D18C-4D76-9956-3D2E5773BB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0" authorId="0" shapeId="0" xr:uid="{A70BD58D-4E82-4F90-89DD-796D538A85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0" authorId="0" shapeId="0" xr:uid="{A4F07E25-894E-44C7-8DCE-2C820759DC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1" authorId="0" shapeId="0" xr:uid="{347B50FD-10D1-4BFC-9D43-74AAFD33DF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1" authorId="0" shapeId="0" xr:uid="{70E9299D-5971-452F-AADF-DF7C46E10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1" authorId="0" shapeId="0" xr:uid="{B5C2E8CD-D3C3-415C-BD63-6FD74FB26F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2" authorId="0" shapeId="0" xr:uid="{861C88C5-6764-4825-B670-11AC9A48785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2" authorId="0" shapeId="0" xr:uid="{8D95E4D0-1B62-4585-9DF5-EAE03C09AB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2" authorId="0" shapeId="0" xr:uid="{B29B3B62-30B3-43F6-B722-FFAE300C0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3" authorId="0" shapeId="0" xr:uid="{BD90D986-4E93-4F3F-8A73-394CD8D7C4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3" authorId="0" shapeId="0" xr:uid="{E14F8344-C58E-49DB-884C-4EBA837CA4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3" authorId="0" shapeId="0" xr:uid="{29A855EF-C74D-4309-BDC4-DAAFA1B7A2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4" authorId="0" shapeId="0" xr:uid="{ED44062A-3C70-4A75-942A-DD79F9C7C6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4" authorId="0" shapeId="0" xr:uid="{5D479CE1-D3ED-4398-948F-29FC64F364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4" authorId="0" shapeId="0" xr:uid="{1C661A7C-A7E3-460D-8E60-EF3DACD91C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5" authorId="0" shapeId="0" xr:uid="{58D9222E-D068-45B5-AAF2-F56F4D7D3B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5" authorId="0" shapeId="0" xr:uid="{EF0AA8EF-E170-4935-AF31-CE1347ABFE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5" authorId="0" shapeId="0" xr:uid="{311937AE-E752-4288-9E45-033826A639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6" authorId="0" shapeId="0" xr:uid="{F5229F9B-6141-476C-A3E1-B0DAD88F0F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6" authorId="0" shapeId="0" xr:uid="{E0378640-5542-43BD-8145-F31819A368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6" authorId="0" shapeId="0" xr:uid="{DFEDC8D9-5F85-4C09-9042-10BB45B635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7" authorId="0" shapeId="0" xr:uid="{8B967E32-407A-40F5-AECF-6D9612ECDB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7" authorId="0" shapeId="0" xr:uid="{77BDAB7B-C8B3-45B6-83CD-91CE26FB16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7" authorId="0" shapeId="0" xr:uid="{5E4D5D33-46C7-4D08-80D2-2D95A7E92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8" authorId="0" shapeId="0" xr:uid="{DE515F71-B147-44E1-8F79-93520E492E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8" authorId="0" shapeId="0" xr:uid="{D9509D7D-F63C-410B-9153-5BDA8541DF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8" authorId="0" shapeId="0" xr:uid="{82D03B10-225A-49D3-82DF-8BF14C43C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9" authorId="0" shapeId="0" xr:uid="{8C32D2E2-F5F9-4AA1-A746-2121B7970D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9" authorId="0" shapeId="0" xr:uid="{3E2B90A8-9302-4E7B-A69F-6FBE898EF4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9" authorId="0" shapeId="0" xr:uid="{3ABBE907-9AE8-499B-BFD8-046069BB8A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0" authorId="0" shapeId="0" xr:uid="{7772C02E-A6B7-4571-8D47-E4F50DF6BC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0" authorId="0" shapeId="0" xr:uid="{E362DC2F-7C08-4DF2-86D9-C04089546D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0" authorId="0" shapeId="0" xr:uid="{C11D6428-7E6E-4C05-830A-6DBDB4B064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1" authorId="0" shapeId="0" xr:uid="{11F09AA3-22EB-4DEF-A41D-D77391AE98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1" authorId="0" shapeId="0" xr:uid="{C4143400-11EF-425B-9D7C-811BB642BE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1" authorId="0" shapeId="0" xr:uid="{EA9A753C-D5A7-4BBC-8C32-CBE0CCC0A3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2" authorId="0" shapeId="0" xr:uid="{91290E0F-FC53-4173-96A8-B5716EDFC2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2" authorId="0" shapeId="0" xr:uid="{543FC7F7-0A6C-460A-A52D-1C17022653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2" authorId="0" shapeId="0" xr:uid="{C68F258F-3D8B-4EAD-BC98-B34AC97894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3" authorId="0" shapeId="0" xr:uid="{ECCBFF9F-965D-4920-BF9B-6D44022DAA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3" authorId="0" shapeId="0" xr:uid="{29DFEE8B-1009-4908-A520-7F67EA852C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3" authorId="0" shapeId="0" xr:uid="{0130969A-C5E2-4EE8-8D33-DA5BEFB4E2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4" authorId="0" shapeId="0" xr:uid="{C6C877BF-0E4E-40B9-887E-594941051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4" authorId="0" shapeId="0" xr:uid="{069B16D4-4C09-47E0-BF0F-BC24F5C699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4" authorId="0" shapeId="0" xr:uid="{7BDFDA35-539C-4B7D-88BC-5C13FFBEE0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5" authorId="0" shapeId="0" xr:uid="{7745F467-3482-48A5-B16D-ED11C8FADA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5" authorId="0" shapeId="0" xr:uid="{B207900F-C154-4FAB-AB7E-6FEC70D66C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5" authorId="0" shapeId="0" xr:uid="{94CAE529-FC77-4CBA-B227-DAFE0F7F95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6" authorId="0" shapeId="0" xr:uid="{CE775780-8FDC-4099-83AC-8FD6068674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6" authorId="0" shapeId="0" xr:uid="{E030A751-4E17-498C-8AD0-99BFAB7F2A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6" authorId="0" shapeId="0" xr:uid="{3C2CB1CB-6959-448A-A5F0-59D5B0C9C7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7" authorId="0" shapeId="0" xr:uid="{67E959E9-992A-48AB-9847-4761F40D21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7" authorId="0" shapeId="0" xr:uid="{CA0D21FA-2069-4062-A277-96AD34A677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7" authorId="0" shapeId="0" xr:uid="{88C30279-6172-4B2D-8766-C40C42F96F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8" authorId="0" shapeId="0" xr:uid="{1DD94C5B-4AB5-4BF6-A3C7-75DC2E70AF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8" authorId="0" shapeId="0" xr:uid="{82D7F47B-F09B-43B6-90CD-C56C245E37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8" authorId="0" shapeId="0" xr:uid="{54B34FD7-627D-4F7B-9193-50F65D095F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9" authorId="0" shapeId="0" xr:uid="{72EDDF91-7F47-4374-834D-EB1C3C2046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9" authorId="0" shapeId="0" xr:uid="{2994E55A-F8B2-4C6B-ACB4-6DCB3509BA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9" authorId="0" shapeId="0" xr:uid="{992EC28F-994F-4DD3-A8C8-4187F1B3B0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0" authorId="0" shapeId="0" xr:uid="{BAED1F47-94B1-4DBF-B4E0-89C37AF621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0" authorId="0" shapeId="0" xr:uid="{74936A77-DDC1-449B-AA38-4AFDB48AFE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0" authorId="0" shapeId="0" xr:uid="{FA69CEB0-EC2C-4A20-83B9-417CDBC6B0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1" authorId="0" shapeId="0" xr:uid="{7E885B6F-79B9-4E13-8D02-D1EE95A628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1" authorId="0" shapeId="0" xr:uid="{5B303B01-DD1C-4999-B25B-7A4BF2AE1E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1" authorId="0" shapeId="0" xr:uid="{484A8C68-023C-421B-A40D-60946EF015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2" authorId="0" shapeId="0" xr:uid="{C7EE03A2-B545-418C-B82A-2DA1D8159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2" authorId="0" shapeId="0" xr:uid="{1574392F-891A-4FBB-A14C-F9ECE703EA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2" authorId="0" shapeId="0" xr:uid="{AA920E84-9BF4-4454-B7EB-E538D744B8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3" authorId="0" shapeId="0" xr:uid="{6A7F05BC-53BD-4CB0-8E71-55A8D517CB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3" authorId="0" shapeId="0" xr:uid="{3D248A65-52CB-4BA1-9535-F1C5F2B7F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3" authorId="0" shapeId="0" xr:uid="{F3AD2F82-4257-4610-B797-17C6E40D1E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4" authorId="0" shapeId="0" xr:uid="{6C6B20FC-423C-4454-88F7-F40C8D66CD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4" authorId="0" shapeId="0" xr:uid="{986D187B-693E-46EB-8BFA-A0CFDEF7AA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4" authorId="0" shapeId="0" xr:uid="{2CAF38EE-9B90-438E-ABB9-51AC286519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5" authorId="0" shapeId="0" xr:uid="{5BF02B7D-22D1-42DD-AE71-EA398FA1A6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5" authorId="0" shapeId="0" xr:uid="{9365C463-813B-4179-A670-71BFB70A79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5" authorId="0" shapeId="0" xr:uid="{4D1BE5A8-660B-466D-8CCB-3198837B98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6" authorId="0" shapeId="0" xr:uid="{0D5DDF6B-698A-4815-A97B-EC410511DD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6" authorId="0" shapeId="0" xr:uid="{1E317CF8-D28E-4A54-AF5B-B22E379946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6" authorId="0" shapeId="0" xr:uid="{0FCAFC7F-7463-4DBD-8530-8323EE3796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7" authorId="0" shapeId="0" xr:uid="{EF046FA2-A89C-4141-BDBF-CF91FDC03C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7" authorId="0" shapeId="0" xr:uid="{96D47D21-6510-4421-850D-C429AF41A9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7" authorId="0" shapeId="0" xr:uid="{2E727CD1-DA0A-4D88-B5E1-F1AE89AB38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8" authorId="0" shapeId="0" xr:uid="{E29D4F84-247D-433B-8071-DDA92E0500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8" authorId="0" shapeId="0" xr:uid="{7ABAFA0B-292A-4461-AE65-5A483F58CF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8" authorId="0" shapeId="0" xr:uid="{BFE6E4E4-927F-4FBB-AF73-D53E40701D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9" authorId="0" shapeId="0" xr:uid="{F70A2B07-D798-4B72-9E29-7FC59FAF51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9" authorId="0" shapeId="0" xr:uid="{CACEA28C-5DD9-4774-BC6B-A2D8264128A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9" authorId="0" shapeId="0" xr:uid="{F348E761-7C2E-4C5A-8437-AEF58B40DC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0" authorId="0" shapeId="0" xr:uid="{6CFC37F9-C68B-44B3-B134-AB17CAAAB6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0" authorId="0" shapeId="0" xr:uid="{25E0958B-7B60-4C53-BB36-FD26F65AD9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0" authorId="0" shapeId="0" xr:uid="{27CC1C5C-9450-400B-AF51-7268F2AD82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1" authorId="0" shapeId="0" xr:uid="{B9639CAA-380C-4B82-8355-A297259822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1" authorId="0" shapeId="0" xr:uid="{6BA5EAD3-53E5-4B03-A2A6-DD104A17AE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1" authorId="0" shapeId="0" xr:uid="{094445C6-5D33-4C81-BACF-EC104020CE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2" authorId="0" shapeId="0" xr:uid="{D379B9A7-D2AE-4BFC-8B6D-5A708D7878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2" authorId="0" shapeId="0" xr:uid="{D4B278C3-2C5C-45D4-B705-A2290CDC48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2" authorId="0" shapeId="0" xr:uid="{B99E9ACA-FA4E-4A4D-B39A-F19869D9A0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3" authorId="0" shapeId="0" xr:uid="{82A7AA4C-CE0D-42EE-B33A-528E58F0BF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3" authorId="0" shapeId="0" xr:uid="{DB7D6068-C2BB-4017-9CF2-2853127578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3" authorId="0" shapeId="0" xr:uid="{37554146-DE4A-4EA0-B5B3-50EEECB4B4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4" authorId="0" shapeId="0" xr:uid="{9EBF2227-0A67-4F8D-8393-D72A4240AF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4" authorId="0" shapeId="0" xr:uid="{7E07A505-60C3-4900-B824-1E6BB86E09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4" authorId="0" shapeId="0" xr:uid="{2D7D9A4A-D291-4E97-8686-1012C7C232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5" authorId="0" shapeId="0" xr:uid="{D609F053-EFF5-437A-9CB7-506C71046F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5" authorId="0" shapeId="0" xr:uid="{BB55EC15-21D6-475B-905E-F9270F1238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5" authorId="0" shapeId="0" xr:uid="{888FBA1F-48F2-43A6-A2A6-94257FFF68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6" authorId="0" shapeId="0" xr:uid="{A559642D-7110-4D06-A1E8-A615804AAA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6" authorId="0" shapeId="0" xr:uid="{E3D7FEC6-977F-49A4-97C7-4116FC9F72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6" authorId="0" shapeId="0" xr:uid="{858783D8-7701-4739-846C-BCBD117597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7" authorId="0" shapeId="0" xr:uid="{EF6C6EE5-A1AC-401F-A0E2-17C9ADA40F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7" authorId="0" shapeId="0" xr:uid="{4E66DBCC-0A45-4012-B04D-B8D191E073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7" authorId="0" shapeId="0" xr:uid="{EC1259BD-2EBB-4240-BD52-9ACDDFE4EA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8" authorId="0" shapeId="0" xr:uid="{1F5B90DB-AAA7-4E48-BC9C-F077A9491B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8" authorId="0" shapeId="0" xr:uid="{0C851ED5-17A1-48AF-935B-6BAEBD5B79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8" authorId="0" shapeId="0" xr:uid="{9AF6613C-8328-45C8-B1A4-28D6885CF3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9" authorId="0" shapeId="0" xr:uid="{40DF5B75-DC60-44A8-92FD-6267060B44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9" authorId="0" shapeId="0" xr:uid="{158E63FD-5E64-412E-BA1D-6C7FA39C09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9" authorId="0" shapeId="0" xr:uid="{4A07F388-99CF-4E6E-84C0-8FA8CCC0D6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0" authorId="0" shapeId="0" xr:uid="{014C1C2B-5CF6-46EE-ACA6-F82F21DBA3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0" authorId="0" shapeId="0" xr:uid="{2AB653CE-81B9-43F0-A7F2-512713B4C0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0" authorId="0" shapeId="0" xr:uid="{113BC378-A44E-4C48-B5F3-529E895CFB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1" authorId="0" shapeId="0" xr:uid="{0680BE0F-98F4-485D-BCEA-4A48000011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1" authorId="0" shapeId="0" xr:uid="{348496CE-0BE1-46DD-93D2-8F718820A5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1" authorId="0" shapeId="0" xr:uid="{73AAAFC1-5D70-4D9D-A34B-5B802FE10F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2" authorId="0" shapeId="0" xr:uid="{9BEFB6FD-FCDB-4101-BCC7-18B2933989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2" authorId="0" shapeId="0" xr:uid="{4DAA41BB-003A-4FE4-8F8C-D0707AE39F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2" authorId="0" shapeId="0" xr:uid="{C0D4DFB5-3A37-434D-9413-C7823E6788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4" authorId="0" shapeId="0" xr:uid="{10015240-A5A4-4955-9424-D25AFCEE0E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4" authorId="0" shapeId="0" xr:uid="{65D0FF90-2F53-4B7D-A23D-350EC3A026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4" authorId="0" shapeId="0" xr:uid="{B55CAEDF-3C4A-4061-938C-CC71600013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5" authorId="0" shapeId="0" xr:uid="{94FDB621-5B54-47AE-9B57-06B0F7360D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5" authorId="0" shapeId="0" xr:uid="{B7B09DE2-E7B7-4D17-93FC-E7F3CF4FD5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5" authorId="0" shapeId="0" xr:uid="{18A29BDD-1735-4F6A-9DDD-55B2ACA813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6" authorId="0" shapeId="0" xr:uid="{1D02A33A-6ADE-4B93-B083-6F1386B189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6" authorId="0" shapeId="0" xr:uid="{2D289E45-C0D6-4C93-ABA2-081EA80410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6" authorId="0" shapeId="0" xr:uid="{207B13FE-8073-4DD2-9174-A3F1884188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7" authorId="0" shapeId="0" xr:uid="{BCD94222-14CE-4C98-AB73-EAD65C716F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7" authorId="0" shapeId="0" xr:uid="{58ACBDC7-8B8E-425F-8503-6C32EDAE53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7" authorId="0" shapeId="0" xr:uid="{BE398BAD-DE28-437A-ABF8-5516D28C8F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8" authorId="0" shapeId="0" xr:uid="{AF0FB17E-36E6-4EA6-8316-694FE2E0D2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8" authorId="0" shapeId="0" xr:uid="{C42AC30D-36D9-442D-9CE2-32183C2EF8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8" authorId="0" shapeId="0" xr:uid="{A093ED8C-D0C3-46BC-B639-C4BC084EBD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9" authorId="0" shapeId="0" xr:uid="{F1880283-7CFE-4A94-8A09-E850A8E5B7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9" authorId="0" shapeId="0" xr:uid="{2FD402A1-F6AE-42B7-80CA-EEE603E75F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9" authorId="0" shapeId="0" xr:uid="{19EB4202-1789-43ED-AA58-077F4C8D84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0" authorId="0" shapeId="0" xr:uid="{E666E870-3565-4F07-974D-5CCA2FEF97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0" authorId="0" shapeId="0" xr:uid="{635E288D-C35F-4A80-B5FB-5D4A52A475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0" authorId="0" shapeId="0" xr:uid="{F974D920-56C0-4A2B-8994-B5258340F3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1" authorId="0" shapeId="0" xr:uid="{661E0FA0-C2D8-4AF8-82AA-92702EE3E8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1" authorId="0" shapeId="0" xr:uid="{C27FB883-63BF-42CB-8394-C5422E3157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1" authorId="0" shapeId="0" xr:uid="{32A04A0B-446F-4509-A888-411FB8407F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2" authorId="0" shapeId="0" xr:uid="{1750F3CF-73D2-4261-A985-8E152B93E5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2" authorId="0" shapeId="0" xr:uid="{2FEFBD64-A20D-40FE-9917-558DBA378B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2" authorId="0" shapeId="0" xr:uid="{21583FB8-744F-4B5E-A8F8-61E30F136D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3" authorId="0" shapeId="0" xr:uid="{4C1D17EA-E201-4E50-BCBE-08C2070F12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3" authorId="0" shapeId="0" xr:uid="{4CEB04AD-C005-46BD-A225-878D739FBD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3" authorId="0" shapeId="0" xr:uid="{EDEF2C48-14A7-4214-8968-B3A2E0CD08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4" authorId="0" shapeId="0" xr:uid="{6BBBFAC9-9E2E-4BC7-9191-D590485365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4" authorId="0" shapeId="0" xr:uid="{4C1A57A1-CC8E-48C0-BFEC-38E108BBE8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4" authorId="0" shapeId="0" xr:uid="{76FEB51C-0576-4BD2-AD13-AC34167DBB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5" authorId="0" shapeId="0" xr:uid="{BF1A8A79-FA97-434C-BE59-8E063F71F5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5" authorId="0" shapeId="0" xr:uid="{D8FA57BD-FA45-4576-B4D3-BD34033B8E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5" authorId="0" shapeId="0" xr:uid="{858C86E0-547D-4145-8F93-31FC4B44E5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6" authorId="0" shapeId="0" xr:uid="{925D9C7E-C3CA-42C2-85E3-785128315C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6" authorId="0" shapeId="0" xr:uid="{D50B452D-D48F-4F36-8715-53C1C6AD6E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6" authorId="0" shapeId="0" xr:uid="{A958F9E4-0022-428E-A4B8-1F53CD1A45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7" authorId="0" shapeId="0" xr:uid="{C0E260AE-1B21-4547-BC8D-71E5B6F9D3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7" authorId="0" shapeId="0" xr:uid="{FC2B6DA2-E280-44C7-9C79-227E3A23C5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7" authorId="0" shapeId="0" xr:uid="{A45A52DE-C40E-452C-B149-FE5B3C98A7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8" authorId="0" shapeId="0" xr:uid="{5FA31D41-0B37-43A1-9DF6-493ACB56AE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8" authorId="0" shapeId="0" xr:uid="{45F342F7-9A13-4354-8A31-9BFCC7657A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8" authorId="0" shapeId="0" xr:uid="{D8798386-254C-4BE9-8458-C8E8D5557B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9" authorId="0" shapeId="0" xr:uid="{B898BBE8-69D1-42EA-B8C4-876602B3A1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9" authorId="0" shapeId="0" xr:uid="{B91328B8-4306-43F3-AE35-163D24F5C1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9" authorId="0" shapeId="0" xr:uid="{F50DC9BA-405A-4131-9248-41C799B1C2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0" authorId="0" shapeId="0" xr:uid="{F024D0F5-31CB-49E1-BD24-14A219F487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0" authorId="0" shapeId="0" xr:uid="{73D001FB-6573-498E-9777-FBAEBACBFD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0" authorId="0" shapeId="0" xr:uid="{81934365-962C-497B-9FE7-37C5367392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1" authorId="0" shapeId="0" xr:uid="{8F476F2A-42B1-415D-9D24-FC5CFB3835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1" authorId="0" shapeId="0" xr:uid="{FFEE239C-4FBE-462C-9AB2-B81E0B2F0D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1" authorId="0" shapeId="0" xr:uid="{4D1E99AE-9F58-420F-A64D-D78F63F6A6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2" authorId="0" shapeId="0" xr:uid="{F5840715-720A-4509-A606-40A979BFDD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2" authorId="0" shapeId="0" xr:uid="{78CB5C33-DAC1-47AA-A414-948D3027A1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2" authorId="0" shapeId="0" xr:uid="{123C860E-6492-4C3C-A0B3-A50083304F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3" authorId="0" shapeId="0" xr:uid="{F7C82B2C-8331-456F-939E-29876D6FDE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3" authorId="0" shapeId="0" xr:uid="{8402E1EE-5ED8-4DB8-9442-2D2ACA93A9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3" authorId="0" shapeId="0" xr:uid="{1E1BEED9-6B5F-4E02-9CD5-9042682508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4" authorId="0" shapeId="0" xr:uid="{D082F2D9-4DB9-4484-95CE-E6292B6426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4" authorId="0" shapeId="0" xr:uid="{B89863CD-5CAC-4A61-A249-7507EA4589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4" authorId="0" shapeId="0" xr:uid="{6CF5AC19-EE48-42AE-9A8F-D9E0AD8ED7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5" authorId="0" shapeId="0" xr:uid="{25F5D0DD-CD19-437B-B8FD-4C6D9594CB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5" authorId="0" shapeId="0" xr:uid="{73E81CE7-EF0D-463F-B210-BE6216A384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5" authorId="0" shapeId="0" xr:uid="{B0633794-F036-4252-8A77-1D2DA43BC8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6" authorId="0" shapeId="0" xr:uid="{2151B06D-D512-4772-8359-2772FCAC5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6" authorId="0" shapeId="0" xr:uid="{F816DE7D-FD29-4760-A826-0CF7A69E5D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6" authorId="0" shapeId="0" xr:uid="{83DE8DFF-04CE-4DF6-A82F-F922A5C751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7" authorId="0" shapeId="0" xr:uid="{9DCD62A5-D107-4DAF-B106-43F805D4E5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7" authorId="0" shapeId="0" xr:uid="{70B99D20-E6E4-4EE3-A390-D98BFA598B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7" authorId="0" shapeId="0" xr:uid="{6EB1F9A6-242D-4F27-93E6-1C35D1730F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8" authorId="0" shapeId="0" xr:uid="{746EEDF5-4C6C-4BB2-9D4C-1C5E331B1A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8" authorId="0" shapeId="0" xr:uid="{6BF97E07-D7A5-42DB-8014-06146A2DB7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8" authorId="0" shapeId="0" xr:uid="{E81F9216-DC31-41E2-881D-DA9F03277C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9" authorId="0" shapeId="0" xr:uid="{79A06AD6-7184-487F-BD5D-9F2A838200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9" authorId="0" shapeId="0" xr:uid="{0B1C1696-0C3E-4A44-B79C-B021EBCA4E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9" authorId="0" shapeId="0" xr:uid="{B50F8DBD-E86A-427B-8B1E-8CAE436E00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0" authorId="0" shapeId="0" xr:uid="{B641AAB1-0385-49AF-AAB6-FCD9529F80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0" authorId="0" shapeId="0" xr:uid="{8C061055-0733-4720-999D-6A1DAD4078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0" authorId="0" shapeId="0" xr:uid="{34EB569D-3645-48A9-9DF2-B43B3C87DF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1" authorId="0" shapeId="0" xr:uid="{1431BC20-3C7B-499B-A128-11C0CF0234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1" authorId="0" shapeId="0" xr:uid="{CAAF30AF-CDC8-4528-A759-C5BA71DD9F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1" authorId="0" shapeId="0" xr:uid="{95F874C8-0252-40A6-B02A-C68A6F53A9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2" authorId="0" shapeId="0" xr:uid="{A7868E5E-1F6F-4134-B228-5A26DFDCA8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2" authorId="0" shapeId="0" xr:uid="{A0765DAA-F453-49AE-949B-BE64C8637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2" authorId="0" shapeId="0" xr:uid="{A5120DCE-CF16-47C6-A000-90C2323A09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3" authorId="0" shapeId="0" xr:uid="{B8D72F11-0751-4EB7-A295-57CF16F95A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3" authorId="0" shapeId="0" xr:uid="{875AD52F-80BA-4FC5-B73E-9A8BF98213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3" authorId="0" shapeId="0" xr:uid="{7A6AEC3D-61AE-4BF6-A41A-881E8BA877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4" authorId="0" shapeId="0" xr:uid="{15FEE891-40FE-4D6D-A21D-108F357077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4" authorId="0" shapeId="0" xr:uid="{554D9E1D-80B4-4511-A66A-8EEAF85179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4" authorId="0" shapeId="0" xr:uid="{BDA740A5-AFA6-4FC4-B01D-B6E55BB3CD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5" authorId="0" shapeId="0" xr:uid="{DD84DED3-BC22-4517-974F-356C036AD1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5" authorId="0" shapeId="0" xr:uid="{73C67FD4-F723-433B-9155-6BAB569A0B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5" authorId="0" shapeId="0" xr:uid="{CB81F157-922A-4501-8838-267D0D4AB5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6" authorId="0" shapeId="0" xr:uid="{F6CF69EB-F818-4AFF-AEC9-37EFEA159A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6" authorId="0" shapeId="0" xr:uid="{78E5FDCD-AA44-469A-B836-EDB58D5982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6" authorId="0" shapeId="0" xr:uid="{85C25D3E-B1C0-41B2-B2EA-BBB464B727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7" authorId="0" shapeId="0" xr:uid="{886B3625-71F1-4D08-ACD2-28BC8AEBCC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7" authorId="0" shapeId="0" xr:uid="{96EBC522-8C7C-429B-A97E-0BD177A1F6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7" authorId="0" shapeId="0" xr:uid="{99E6743A-E572-4CB1-87CF-0BA997B7AF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8" authorId="0" shapeId="0" xr:uid="{A69B5E94-15FC-491F-826F-DED8373537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8" authorId="0" shapeId="0" xr:uid="{FE7A5253-9D8A-4F7D-8D9E-657F3B015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8" authorId="0" shapeId="0" xr:uid="{C5D8B01E-A158-4EEE-9FA9-84B538A47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9" authorId="0" shapeId="0" xr:uid="{1CB067F4-9620-4197-A1C0-7D107A1B01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9" authorId="0" shapeId="0" xr:uid="{71C5A960-FF76-47F2-848F-98909CB388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9" authorId="0" shapeId="0" xr:uid="{530A1DB9-6E34-43FE-8CE6-D69FFA36FC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0" authorId="0" shapeId="0" xr:uid="{F74EC6EF-4D1D-458E-8578-CA7D85685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0" authorId="0" shapeId="0" xr:uid="{06D5C001-BEBE-4DD5-808E-8A1A1254FE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0" authorId="0" shapeId="0" xr:uid="{37FB3250-ECEB-404A-A4DE-98186423EF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1" authorId="0" shapeId="0" xr:uid="{A89C8F47-FBC5-4D45-B1E3-DF4419BDBB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1" authorId="0" shapeId="0" xr:uid="{4A825F7A-D68A-42A2-894A-37F019AE80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1" authorId="0" shapeId="0" xr:uid="{083EBA3B-8411-4495-AD68-9741146284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2" authorId="0" shapeId="0" xr:uid="{1EEB1B25-5015-4E7C-A110-1092C03B67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2" authorId="0" shapeId="0" xr:uid="{F5D3C6C5-26FB-4603-8300-C06A108298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2" authorId="0" shapeId="0" xr:uid="{84FA88D8-5619-41BC-B334-F4ADAA6A16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3" authorId="0" shapeId="0" xr:uid="{BF803424-555B-4725-BA24-4CEBF5BA4A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3" authorId="0" shapeId="0" xr:uid="{9E7D4EEB-1CEB-4CA3-A893-594E5D98F9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3" authorId="0" shapeId="0" xr:uid="{5EA5103A-A486-4A40-9F1C-E126BEDA4DD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4" authorId="0" shapeId="0" xr:uid="{9E4D78D2-65D1-4058-B2B2-CBA65F11BD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4" authorId="0" shapeId="0" xr:uid="{EA58548F-DDD0-4FFA-AC13-4F4CBB212E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4" authorId="0" shapeId="0" xr:uid="{BB83C604-9917-4AC7-A97D-2ED84610B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5" authorId="0" shapeId="0" xr:uid="{66A9D443-CD1D-498A-AAC4-19ECF72CE1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5" authorId="0" shapeId="0" xr:uid="{BB8C4DA7-F660-4582-8C5F-96F0A90B56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5" authorId="0" shapeId="0" xr:uid="{00B34C24-BD03-4BF4-A42D-9D52D80BB4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6" authorId="0" shapeId="0" xr:uid="{5FA4A785-DF2B-4175-9702-07B82D6BC7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6" authorId="0" shapeId="0" xr:uid="{9DB17FAD-126D-4863-84C5-CC54C8A96D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6" authorId="0" shapeId="0" xr:uid="{ED4C6194-4123-43F5-926B-66AEED4E01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7" authorId="0" shapeId="0" xr:uid="{1CB8FC81-F0F3-4EF9-9394-05AE0969FE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7" authorId="0" shapeId="0" xr:uid="{05BD3AD0-0660-48E5-A197-CB44C2A7FA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7" authorId="0" shapeId="0" xr:uid="{0ABA317F-E3C8-4386-9F9A-EEFCED0C62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8" authorId="0" shapeId="0" xr:uid="{F428986F-E0DC-42AD-9CA7-F18B17C7AE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8" authorId="0" shapeId="0" xr:uid="{4B388C31-D324-4831-ACC6-CFDE9F92D8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8" authorId="0" shapeId="0" xr:uid="{E35B126B-BB75-4A90-AF02-9C38394584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9" authorId="0" shapeId="0" xr:uid="{6AEFCA11-7F31-4994-8761-A118E629B3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9" authorId="0" shapeId="0" xr:uid="{062086C5-A148-4E73-A955-4DF1D2B881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9" authorId="0" shapeId="0" xr:uid="{597C5471-E60A-404A-8C12-AB59A938DA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0" authorId="0" shapeId="0" xr:uid="{1B94DC2B-24BC-46C5-97BA-AB2ECF5EBC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0" authorId="0" shapeId="0" xr:uid="{C898CDFD-F160-4A35-AE93-D5D4986DD2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0" authorId="0" shapeId="0" xr:uid="{CFD73778-2B47-4DAE-A361-D4A4C93A58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1" authorId="0" shapeId="0" xr:uid="{BA1D8B68-2766-4B2B-B9A3-8CF0E07FE2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1" authorId="0" shapeId="0" xr:uid="{0C582319-F8F9-4CC5-8D03-AB7C1D8DA7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1" authorId="0" shapeId="0" xr:uid="{74C97AE2-9FD9-47B7-8242-96435BB86F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3" authorId="0" shapeId="0" xr:uid="{D943667D-3BBC-4474-AE0D-904268996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3" authorId="0" shapeId="0" xr:uid="{BC23153F-0B1B-4AD6-8602-A581F862E8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3" authorId="0" shapeId="0" xr:uid="{51F6CA8B-2FB6-48C9-9F81-C451BCE204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4" authorId="0" shapeId="0" xr:uid="{AD7F6E56-3EA1-4A8C-B3ED-25329DA9DDC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4" authorId="0" shapeId="0" xr:uid="{E3F31E37-5854-4C7E-A6A6-8111CBF904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4" authorId="0" shapeId="0" xr:uid="{46E67016-4CDD-478F-895E-7FC566C883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5" authorId="0" shapeId="0" xr:uid="{D9ECD85D-5E58-466E-81D2-F093AC6381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5" authorId="0" shapeId="0" xr:uid="{D4AE169F-4A36-479A-8DFC-63B0F15E19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5" authorId="0" shapeId="0" xr:uid="{8AB2CA73-CAB4-4F0E-AD9E-66C8C1C1A1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6" authorId="0" shapeId="0" xr:uid="{09B1D75E-5DDD-4255-9066-6EB85243A9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6" authorId="0" shapeId="0" xr:uid="{2DFACF32-1FE6-4569-8C97-BF9B8676D1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6" authorId="0" shapeId="0" xr:uid="{2C3D9C8A-EA9E-4F0A-86B2-7D586A2944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7" authorId="0" shapeId="0" xr:uid="{4CCE3DB7-3C0A-4418-9700-705B9562FE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7" authorId="0" shapeId="0" xr:uid="{C0AA0B53-E2F8-404C-837D-0431855BE8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7" authorId="0" shapeId="0" xr:uid="{0CB24525-656C-4DA7-B267-CEF0349871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8" authorId="0" shapeId="0" xr:uid="{E67FF47B-C409-4983-802C-2A2997CA64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8" authorId="0" shapeId="0" xr:uid="{ABB845FC-7B13-4C70-AEFA-077731238F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8" authorId="0" shapeId="0" xr:uid="{7FE871EF-2E64-4064-ACAB-DDDDFC550F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9" authorId="0" shapeId="0" xr:uid="{4F164D42-A113-449B-B7F3-53A924A5D5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9" authorId="0" shapeId="0" xr:uid="{5F02516A-9ABE-431A-9292-A7D3369BE1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9" authorId="0" shapeId="0" xr:uid="{9D327D00-61B2-4D34-84DD-CDFDE47478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0" authorId="0" shapeId="0" xr:uid="{52CFA8A6-A963-4AF7-A501-11A94DE665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0" authorId="0" shapeId="0" xr:uid="{8AE912AF-8F92-4EF5-9B47-0445F5EA77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0" authorId="0" shapeId="0" xr:uid="{7A9D5DCA-202E-4FF3-A499-BB8946B4D4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1" authorId="0" shapeId="0" xr:uid="{CD465EB6-DD1E-4A67-BA43-8D1A102182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1" authorId="0" shapeId="0" xr:uid="{C97DE3E6-F8A2-4C7B-AFC3-FF174081BC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1" authorId="0" shapeId="0" xr:uid="{6CC75A48-3E8A-4943-BCDE-E9B3B70BA7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2" authorId="0" shapeId="0" xr:uid="{68D4C6D0-E12D-4EA1-8559-E6589C979E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2" authorId="0" shapeId="0" xr:uid="{98583A3F-9B3E-4C8B-B174-5D664C4D9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2" authorId="0" shapeId="0" xr:uid="{DF5133AD-43A5-4F35-AD1C-C34B3FF021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3" authorId="0" shapeId="0" xr:uid="{01FF6587-EC9D-4476-B926-0E9421C2C4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3" authorId="0" shapeId="0" xr:uid="{C88EF7EA-B967-45C9-A7E0-A339B8B3F4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3" authorId="0" shapeId="0" xr:uid="{F0C1127F-FC9F-40E5-B035-D44F328DEE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4" authorId="0" shapeId="0" xr:uid="{C6C259C8-4285-40C3-BC74-6BED299A07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4" authorId="0" shapeId="0" xr:uid="{7EFAE8A2-C967-4870-9C4F-371E470446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4" authorId="0" shapeId="0" xr:uid="{3446D03E-C4D5-4F27-BD3D-DD09DC69B0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5" authorId="0" shapeId="0" xr:uid="{942BB174-6124-45EC-BD44-922C50B5A2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5" authorId="0" shapeId="0" xr:uid="{70A40959-9C86-4390-964E-0755EA508B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5" authorId="0" shapeId="0" xr:uid="{DB29E8FB-72CD-450E-BC6B-3DC7F2888B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6" authorId="0" shapeId="0" xr:uid="{0283EB86-35C5-4BE2-8AEB-2F05CA7829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6" authorId="0" shapeId="0" xr:uid="{DFB3B17D-6134-4B65-8FF7-1CD41204F0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6" authorId="0" shapeId="0" xr:uid="{B5B32F11-2D94-4A27-AFAD-E1862F9D71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7" authorId="0" shapeId="0" xr:uid="{4F319BD0-5DF0-4FAF-9C62-C0B6423CD1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7" authorId="0" shapeId="0" xr:uid="{EBA03EA6-F5C5-4D92-BD50-8A183E00CB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7" authorId="0" shapeId="0" xr:uid="{2D6BDCAB-0F1D-4B66-9B7A-8AEC9F47D3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8" authorId="0" shapeId="0" xr:uid="{25E610AB-2598-455F-9C41-E8D91142C1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8" authorId="0" shapeId="0" xr:uid="{BC0C0EC1-AA55-4D9B-A1D3-CA00BA5CB6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8" authorId="0" shapeId="0" xr:uid="{08D3981C-1A82-44BF-B9FE-86E2F793A9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9" authorId="0" shapeId="0" xr:uid="{DD02FF71-3180-4601-AE02-A818FF16C3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9" authorId="0" shapeId="0" xr:uid="{F8CAE750-1C1C-4EE7-98CD-70D42B51DA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9" authorId="0" shapeId="0" xr:uid="{A08F38F9-C64F-4276-BC39-27C2A2EED5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0" authorId="0" shapeId="0" xr:uid="{36321359-9C7C-47C5-B78E-931AE4E45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0" authorId="0" shapeId="0" xr:uid="{D04A9F1F-CAF0-4064-AF68-FB59B1EBCC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0" authorId="0" shapeId="0" xr:uid="{52693933-558E-4C81-9D85-D82C7E2940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1" authorId="0" shapeId="0" xr:uid="{C1DAB16B-4940-46A8-8BE2-5402458B1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1" authorId="0" shapeId="0" xr:uid="{624CAC3C-E9AD-4793-9191-FFBB77C4F3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1" authorId="0" shapeId="0" xr:uid="{66FADD84-6290-4364-8535-6084808377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2" authorId="0" shapeId="0" xr:uid="{DA699BBA-FFF7-49B3-9EEA-7DFE5F548A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2" authorId="0" shapeId="0" xr:uid="{BA804AC0-7D1F-4B57-BFFB-69A0A2AF64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2" authorId="0" shapeId="0" xr:uid="{C7479DDE-439C-4AEB-B517-8BD58A0897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3" authorId="0" shapeId="0" xr:uid="{7C5DD6AA-527D-4769-B7D7-C45C8CE3FF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3" authorId="0" shapeId="0" xr:uid="{2BC0BC1F-B058-4529-8E16-72DC329F45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3" authorId="0" shapeId="0" xr:uid="{8696FC0C-0484-4EF5-BB30-835CB18701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4" authorId="0" shapeId="0" xr:uid="{CABA5E86-E15C-42E8-A6F2-B7A4AFDEA4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4" authorId="0" shapeId="0" xr:uid="{0FC7B3EB-2B77-4251-BAB2-2057680073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4" authorId="0" shapeId="0" xr:uid="{A38C5C8E-B27A-4119-90C7-86916E9018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5" authorId="0" shapeId="0" xr:uid="{13E93903-9A29-4936-AB06-09977FD6F9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5" authorId="0" shapeId="0" xr:uid="{7F00FD74-A78E-4349-893E-A0A4762321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5" authorId="0" shapeId="0" xr:uid="{10D2950A-385E-4F9C-B1B5-ADAB82E9E8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6" authorId="0" shapeId="0" xr:uid="{50FD4EBB-8695-4680-9C60-88C24598A0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6" authorId="0" shapeId="0" xr:uid="{E6CB0589-1EF3-47EF-B7BC-0FF2DC9C3F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6" authorId="0" shapeId="0" xr:uid="{334CA8AD-5BD5-4926-B8A3-5877905524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7" authorId="0" shapeId="0" xr:uid="{BB9D6F39-1EEF-4FBB-85C5-28D322EDCF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7" authorId="0" shapeId="0" xr:uid="{D903A391-0333-4D3B-8633-28B108E55A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7" authorId="0" shapeId="0" xr:uid="{016CC4E0-F9F1-4A89-BF65-1CFB56DBF0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8" authorId="0" shapeId="0" xr:uid="{988BEB06-2744-4E06-930E-E5C056E921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8" authorId="0" shapeId="0" xr:uid="{20B5A2B4-163D-4BA4-93A2-C19EF42741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8" authorId="0" shapeId="0" xr:uid="{A786F85A-0C95-4078-8529-A746E0B8F6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9" authorId="0" shapeId="0" xr:uid="{56DBF471-665D-445F-B48A-7A763DAF18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9" authorId="0" shapeId="0" xr:uid="{C535B04B-CDD8-45A3-ACF1-0ABAA6B6A0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9" authorId="0" shapeId="0" xr:uid="{059500A1-D3B3-473D-87BD-288979FD1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0" authorId="0" shapeId="0" xr:uid="{2D59CDCD-6785-4BD0-95D8-334FE96B34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0" authorId="0" shapeId="0" xr:uid="{F082BFFF-E6E3-4468-ABAF-F5458A8407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0" authorId="0" shapeId="0" xr:uid="{696E3573-6988-4BDF-A3C2-C58542A1AC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1" authorId="0" shapeId="0" xr:uid="{787BC79F-5C20-4D35-9573-E0863C017B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1" authorId="0" shapeId="0" xr:uid="{18213B3E-0A9E-4D6C-8953-59A70E307B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1" authorId="0" shapeId="0" xr:uid="{E466089E-8AD3-40C0-8190-8281BBA7E7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2" authorId="0" shapeId="0" xr:uid="{DC9B50DD-1C2C-4C59-8564-4F8D173F1F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2" authorId="0" shapeId="0" xr:uid="{0726502F-3668-4270-A07B-820B211B6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2" authorId="0" shapeId="0" xr:uid="{C69FE4EA-6D25-42AE-8973-45EB47AA88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3" authorId="0" shapeId="0" xr:uid="{17B39D20-0D2E-4F16-B255-69C6C0E5FD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3" authorId="0" shapeId="0" xr:uid="{9F4AFA32-2476-450E-A60A-3593D75F53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3" authorId="0" shapeId="0" xr:uid="{B7936DB4-958E-4A0F-8CB4-08F6EC5DB0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4" authorId="0" shapeId="0" xr:uid="{B633457E-3A4A-4CD7-B953-BD0652EFF4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4" authorId="0" shapeId="0" xr:uid="{05FCCA7D-BEE5-4711-8127-B58B911090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4" authorId="0" shapeId="0" xr:uid="{432AD83B-1E2E-43ED-9F16-CAB93BB633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5" authorId="0" shapeId="0" xr:uid="{9C1DC4A2-5777-4942-9FBA-6979C216D2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5" authorId="0" shapeId="0" xr:uid="{BB5715C1-EDB1-4966-B0A0-324039F013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5" authorId="0" shapeId="0" xr:uid="{E7742EFB-B4D8-4267-9F7B-0B4273E24B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6" authorId="0" shapeId="0" xr:uid="{0365E7E9-2E67-479C-8614-E8F72CA812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6" authorId="0" shapeId="0" xr:uid="{B44950E7-54C8-494C-A80D-CB22F4036A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6" authorId="0" shapeId="0" xr:uid="{86CDAD99-0154-4B1F-84E0-8237606A0D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7" authorId="0" shapeId="0" xr:uid="{EE63FCB3-7B06-4F02-AF60-8BE158257E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7" authorId="0" shapeId="0" xr:uid="{3007B78E-B24A-4726-8910-EF47D1CD2D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7" authorId="0" shapeId="0" xr:uid="{36DAD20E-A19C-4970-A477-1337BBE0C0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8" authorId="0" shapeId="0" xr:uid="{0F52751E-2354-4595-B3E7-8FA894C510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8" authorId="0" shapeId="0" xr:uid="{EDBBAAA5-E388-4BAB-B2A4-22099E494E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8" authorId="0" shapeId="0" xr:uid="{DEBCF29F-F21F-4D73-91E4-9696CB0573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9" authorId="0" shapeId="0" xr:uid="{E8B4B4F5-4A47-46DD-B831-0AFEA2ECDB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9" authorId="0" shapeId="0" xr:uid="{B5846FF5-4E8A-4C88-97A0-2AFE4F63C9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9" authorId="0" shapeId="0" xr:uid="{C8F8E051-6305-4C31-860C-682E7E3F7F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0" authorId="0" shapeId="0" xr:uid="{CF347154-97E9-4984-9AAD-03DFE773C0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0" authorId="0" shapeId="0" xr:uid="{AA498EB1-FA88-4D78-AD2A-C288B89C11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0" authorId="0" shapeId="0" xr:uid="{4B4B5257-6BD1-4707-BA0A-12AA565820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1" authorId="0" shapeId="0" xr:uid="{6ADEDCE2-0C75-4129-AB93-0CC7D97B95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1" authorId="0" shapeId="0" xr:uid="{5683874B-3ECD-47B4-AB8C-9CB9804A5D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1" authorId="0" shapeId="0" xr:uid="{24268E17-ED4E-4EE2-89CA-CC4FCB20A3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2" authorId="0" shapeId="0" xr:uid="{CDA72363-5DC5-4AD9-9942-D0C004785E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2" authorId="0" shapeId="0" xr:uid="{76F8EC20-57CB-4111-83B4-092EB17A49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2" authorId="0" shapeId="0" xr:uid="{B3F3A705-0EF3-46A9-A7C1-AF838BEB69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3" authorId="0" shapeId="0" xr:uid="{C738BD6D-D3F4-4A15-A7C7-9FC9F52181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3" authorId="0" shapeId="0" xr:uid="{46349F43-9F0A-4835-959D-3E985CFE14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3" authorId="0" shapeId="0" xr:uid="{A70F58E9-B166-4084-9DE0-AF0FDC7237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4" authorId="0" shapeId="0" xr:uid="{111D4455-51A5-4F39-8EB3-F0BAE15811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4" authorId="0" shapeId="0" xr:uid="{B29017E3-32DB-4240-8798-EC6D7F15DDE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4" authorId="0" shapeId="0" xr:uid="{50955A25-9B25-4375-9885-A76BF71722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5" authorId="0" shapeId="0" xr:uid="{4996A581-F455-4371-80DF-19D702EE1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5" authorId="0" shapeId="0" xr:uid="{C5A11C2D-EED6-4317-8814-68123E5A39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5" authorId="0" shapeId="0" xr:uid="{B3724082-EAB5-44C1-8B51-EF8E2B2348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6" authorId="0" shapeId="0" xr:uid="{3AB932CC-C1D7-478A-B4FA-1895EBA8A3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6" authorId="0" shapeId="0" xr:uid="{4C88A8CD-88CD-45E2-ACAB-65E2548C64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6" authorId="0" shapeId="0" xr:uid="{C8613A7B-0726-4B39-8192-3A5E99E67D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7" authorId="0" shapeId="0" xr:uid="{F10AD7D7-36A1-4E8D-AFFB-6BCEB80955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7" authorId="0" shapeId="0" xr:uid="{08029AF6-0E4B-4B6C-8ADF-51C81EBDE6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7" authorId="0" shapeId="0" xr:uid="{D17B3878-492C-4E92-865B-B71283F33E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8" authorId="0" shapeId="0" xr:uid="{C17F32B3-7A2B-4F13-9069-3C5B501CF8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8" authorId="0" shapeId="0" xr:uid="{2E921623-E7FA-4F76-8485-94CD5EDE90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8" authorId="0" shapeId="0" xr:uid="{7D8EEA30-251A-484F-9DB9-70E2D02F99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9" authorId="0" shapeId="0" xr:uid="{9CDE4897-6A6F-4921-B114-D9230B1AA0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9" authorId="0" shapeId="0" xr:uid="{61FD39F4-EAFD-4FAF-AE4A-2BAA0F7E25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9" authorId="0" shapeId="0" xr:uid="{897BC8B4-E9D4-4D40-99F7-ABA9911C1E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0" authorId="0" shapeId="0" xr:uid="{C5B69CE8-9619-463D-BD38-216F0D450B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0" authorId="0" shapeId="0" xr:uid="{58FA9BE0-B06D-4683-9D33-FEB573B61C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0" authorId="0" shapeId="0" xr:uid="{D013B610-45E5-4B5A-80F9-F3B18822A4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2" authorId="0" shapeId="0" xr:uid="{4268F218-F073-489F-8966-653BE82933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2" authorId="0" shapeId="0" xr:uid="{3494EAA4-960B-43B7-9D31-3DA667BF68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2" authorId="0" shapeId="0" xr:uid="{B4C1C9E3-27EE-4210-9AB2-CBD4996DAB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3" authorId="0" shapeId="0" xr:uid="{EDE3B829-B420-4F5D-92AB-CAF4D59D0F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3" authorId="0" shapeId="0" xr:uid="{7AD75A5A-68D6-42E8-82DB-C95719F6AD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3" authorId="0" shapeId="0" xr:uid="{B14DC5E8-0F43-44B7-B343-32997D61CF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4" authorId="0" shapeId="0" xr:uid="{BC818683-ADAC-4D99-8DEE-D16B996530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4" authorId="0" shapeId="0" xr:uid="{C72D19AB-F121-4795-88A5-4B61747FB7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4" authorId="0" shapeId="0" xr:uid="{4F17E4D6-0E83-4920-AFC1-556039154A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5" authorId="0" shapeId="0" xr:uid="{C3E699AB-3153-4C75-AF9E-55C397B5F2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5" authorId="0" shapeId="0" xr:uid="{2D9A0E8F-6D84-4F9B-8273-5627B28685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5" authorId="0" shapeId="0" xr:uid="{E4425B16-05E4-4803-8790-5493519656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6" authorId="0" shapeId="0" xr:uid="{1C12BA12-2CD7-44B8-96CA-98520F2C6A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6" authorId="0" shapeId="0" xr:uid="{0635B311-2BB1-443E-BB13-131E552F35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6" authorId="0" shapeId="0" xr:uid="{FE4B3532-4707-4B48-885D-6BAC73DCEE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7" authorId="0" shapeId="0" xr:uid="{7F2EBC6A-FC38-4EAE-9376-AC5EA5047A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7" authorId="0" shapeId="0" xr:uid="{26E3863F-E1F9-43D3-A2D6-3CA3FCEDEC9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7" authorId="0" shapeId="0" xr:uid="{32E39980-114A-4AE3-AD3B-C5FB8C5E2B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8" authorId="0" shapeId="0" xr:uid="{E8DE097C-60E2-4B7D-9F9D-851AD2FE0C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8" authorId="0" shapeId="0" xr:uid="{E08D12A2-DFF0-46EA-B415-916B2FD5A8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8" authorId="0" shapeId="0" xr:uid="{3806DD6B-1B70-46B0-AA47-454E140C5E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9" authorId="0" shapeId="0" xr:uid="{C4FFB4F7-F22E-4EF6-8911-C91836D0C7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9" authorId="0" shapeId="0" xr:uid="{CF9BF663-173C-44D5-8F1F-62899179C8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9" authorId="0" shapeId="0" xr:uid="{4050030D-7BF4-487D-8D64-ABFDB25DB6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0" authorId="0" shapeId="0" xr:uid="{83E9CBDB-B5FB-425D-A147-3FC0552B50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0" authorId="0" shapeId="0" xr:uid="{9811DA07-8A02-4F15-8382-4E19B29EF5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0" authorId="0" shapeId="0" xr:uid="{43859D2D-CA85-4119-B41D-2DB3BE74D9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1" authorId="0" shapeId="0" xr:uid="{99311813-8E2B-4A87-9A9F-F3C302E940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1" authorId="0" shapeId="0" xr:uid="{141E3418-3FFA-49E1-8FD3-734879FD48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1" authorId="0" shapeId="0" xr:uid="{8A5D3B6F-F3F4-4073-9428-20B3A63262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2" authorId="0" shapeId="0" xr:uid="{0545EDBB-76BC-40F3-A76D-C0D10BA80D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2" authorId="0" shapeId="0" xr:uid="{F4CE5221-DADC-4FEE-9E79-C82EF5C644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2" authorId="0" shapeId="0" xr:uid="{2A4D44AB-6555-4C5A-8EA0-91A2C6A867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3" authorId="0" shapeId="0" xr:uid="{137DB776-055D-4EE0-BD91-A79A4015FB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3" authorId="0" shapeId="0" xr:uid="{05CD0979-F56C-4091-B683-2DC0251ADD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3" authorId="0" shapeId="0" xr:uid="{9320CEA5-16FE-4407-B0DD-3B8B77FAD6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4" authorId="0" shapeId="0" xr:uid="{755F5645-23DD-4F43-9E87-831AC050BB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4" authorId="0" shapeId="0" xr:uid="{41A5424F-3EA0-4F0F-B90C-9CC37AFA4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4" authorId="0" shapeId="0" xr:uid="{E3804AC2-B314-412C-8E76-B65C05B1D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5" authorId="0" shapeId="0" xr:uid="{1390D76A-C733-4DB2-9C98-10111A8B8E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5" authorId="0" shapeId="0" xr:uid="{D38EBC20-B02A-4728-86BD-64A1F46C67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5" authorId="0" shapeId="0" xr:uid="{A3DD3FDD-7EAD-4AF1-90C7-F6227D9AA4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6" authorId="0" shapeId="0" xr:uid="{E56A5911-8362-4658-AFBA-8145D14BF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6" authorId="0" shapeId="0" xr:uid="{099E3491-C77B-41D0-BE97-8C26C1C318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6" authorId="0" shapeId="0" xr:uid="{A94EF179-003E-46A6-B1F8-914E8CEC57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7" authorId="0" shapeId="0" xr:uid="{03A26ACC-E9FF-4916-AA6D-C3C7E84360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7" authorId="0" shapeId="0" xr:uid="{F5DE5347-7C18-442A-A358-A94A82C699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7" authorId="0" shapeId="0" xr:uid="{B3E571D7-8DE9-42A0-AAE6-1CE7FEEB0C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8" authorId="0" shapeId="0" xr:uid="{483B666C-A790-4E9C-BC0C-BB01A04F20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8" authorId="0" shapeId="0" xr:uid="{D6911BFA-3CCF-4111-8392-62D799470B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8" authorId="0" shapeId="0" xr:uid="{F9B6B229-B0ED-476B-905B-E368C400FC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9" authorId="0" shapeId="0" xr:uid="{5143B05D-C7D2-4847-B6EF-A7CA2FBE76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9" authorId="0" shapeId="0" xr:uid="{2B235ADC-0EFD-4451-AD29-C31CB53244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9" authorId="0" shapeId="0" xr:uid="{6D9C282E-25AD-4969-8E84-8F8EE65109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0" authorId="0" shapeId="0" xr:uid="{D6C97B51-8D1B-45DC-BF71-9FADC7678F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0" authorId="0" shapeId="0" xr:uid="{9459E5A7-924C-4BD9-B02A-4A0FAEB7A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0" authorId="0" shapeId="0" xr:uid="{CFF31F6E-7597-48B3-9B2F-61D540F146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1" authorId="0" shapeId="0" xr:uid="{5596B000-035A-42E7-99E6-98A2B63384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1" authorId="0" shapeId="0" xr:uid="{E0C765A4-2309-4117-BE06-EEBEC72AA2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1" authorId="0" shapeId="0" xr:uid="{D4A52C2B-D4C3-4B15-B0D4-7E371B57CF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2" authorId="0" shapeId="0" xr:uid="{FE749678-97E9-456D-899C-B3DB32A5BD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2" authorId="0" shapeId="0" xr:uid="{4D3A4A1A-22A2-4F98-97B6-8888E0D8D6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2" authorId="0" shapeId="0" xr:uid="{13B5D8B2-6B24-46D0-8618-34E38780AB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3" authorId="0" shapeId="0" xr:uid="{2AD1D76B-F32D-4A2E-864B-C7F879F5942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3" authorId="0" shapeId="0" xr:uid="{6D1C87BA-339C-415A-A9B4-693D2DFCD5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3" authorId="0" shapeId="0" xr:uid="{6B905D67-7E6E-4B96-AD8B-12055490B2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4" authorId="0" shapeId="0" xr:uid="{999DD7AE-EADD-4910-B632-B1A00E3091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4" authorId="0" shapeId="0" xr:uid="{13CF990B-35D6-4BD0-B31B-DEEEBBDAF0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4" authorId="0" shapeId="0" xr:uid="{6BFC92F0-9287-46B6-9C85-750898419D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5" authorId="0" shapeId="0" xr:uid="{73477D83-4131-45E4-AE4C-CAF3DF72EA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5" authorId="0" shapeId="0" xr:uid="{3E76C0F8-4FBD-4B4A-B9C8-DF987F5FA6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5" authorId="0" shapeId="0" xr:uid="{4ABFACFA-DFF4-443A-8CBF-48C3EF1E68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6" authorId="0" shapeId="0" xr:uid="{AB92C66D-3F2C-4D5C-A9C1-D2AA61ED5F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6" authorId="0" shapeId="0" xr:uid="{97A8CB71-E56C-43AE-8535-41290485CF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6" authorId="0" shapeId="0" xr:uid="{2CB7AF1A-44DE-4F83-A9D1-1D8B9EEFE9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7" authorId="0" shapeId="0" xr:uid="{470250BF-5C74-44B7-991F-E0FE00B804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7" authorId="0" shapeId="0" xr:uid="{9699EDDC-048A-47B6-8FF1-E7CFF06535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7" authorId="0" shapeId="0" xr:uid="{DC46B722-57A5-4CBD-A856-DCD6AA700D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8" authorId="0" shapeId="0" xr:uid="{A8AA4271-75F6-48B0-945F-0788B7B5F0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8" authorId="0" shapeId="0" xr:uid="{E3A61553-CB61-4B1C-BFCD-DBF2BA09C3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8" authorId="0" shapeId="0" xr:uid="{D70B696E-F5CC-4185-A3C9-5E8C31CFCF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9" authorId="0" shapeId="0" xr:uid="{18ACAF4B-26D0-4615-AF03-607A3C9CDE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9" authorId="0" shapeId="0" xr:uid="{1B970946-521C-4F3F-A94B-3DBE2B892F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9" authorId="0" shapeId="0" xr:uid="{1956EC3D-4339-4C17-BD06-311F63BA3C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0" authorId="0" shapeId="0" xr:uid="{1ACAD680-2102-4E9D-B139-38574988B4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0" authorId="0" shapeId="0" xr:uid="{61CDFCFF-9C7A-4A31-9440-0EE044443B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0" authorId="0" shapeId="0" xr:uid="{22677DEF-5272-40B5-AE6E-F34B6C7448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1" authorId="0" shapeId="0" xr:uid="{34F8BB80-1F9F-4D7F-9EC0-C845F113D3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1" authorId="0" shapeId="0" xr:uid="{51A0609D-71F1-4EF0-B8EA-86B9E8DB9D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1" authorId="0" shapeId="0" xr:uid="{9F2FEF4C-D28A-4320-9E78-E9EE8985C4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2" authorId="0" shapeId="0" xr:uid="{4567DD77-4506-4575-964A-A55E2EAFF3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2" authorId="0" shapeId="0" xr:uid="{7872CE22-1B1C-420D-A579-A3C9358FEB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2" authorId="0" shapeId="0" xr:uid="{4B84A6D9-28ED-4661-8C36-7913717D9D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3" authorId="0" shapeId="0" xr:uid="{C3B7AD46-DE5D-421A-97F3-1FFB619EC5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3" authorId="0" shapeId="0" xr:uid="{32E43C05-58F2-44CB-9EC8-36607249A0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3" authorId="0" shapeId="0" xr:uid="{3E3E82FC-F254-4491-84FD-77E56AD379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4" authorId="0" shapeId="0" xr:uid="{4068FD00-BAEE-4B33-9524-1350A6357A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4" authorId="0" shapeId="0" xr:uid="{FDBBFCAB-D42B-40C2-BAE5-AFA8EF0D91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4" authorId="0" shapeId="0" xr:uid="{5A8469A2-2CDC-4AB2-B10F-F6C5DD211F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5" authorId="0" shapeId="0" xr:uid="{E0861D5A-8429-4427-A7FE-5F1FCAF250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5" authorId="0" shapeId="0" xr:uid="{EEF36A4C-5B60-4E70-9FF4-6B100CEDBA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5" authorId="0" shapeId="0" xr:uid="{E9EE6B60-42E0-42F5-883C-5979E09039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6" authorId="0" shapeId="0" xr:uid="{61EFBC36-3234-496E-AC63-33D650A608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6" authorId="0" shapeId="0" xr:uid="{A1D23863-B8E9-4AD4-ADB7-6EC2F8028D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6" authorId="0" shapeId="0" xr:uid="{B163206D-908B-48A7-AB11-AE9ADBBF11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7" authorId="0" shapeId="0" xr:uid="{163DEA63-72BC-4E83-8CA6-5D3D0A1C1C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7" authorId="0" shapeId="0" xr:uid="{F1772CAE-C256-4F4F-944F-D5C76434CA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7" authorId="0" shapeId="0" xr:uid="{2B3CEAE2-7830-49F0-B423-9A3BC991E4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8" authorId="0" shapeId="0" xr:uid="{4BD93786-52A9-4CF0-A5B5-35228577C5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8" authorId="0" shapeId="0" xr:uid="{57E9D2A8-1C1B-4D6C-A1F1-BBE8342C2F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8" authorId="0" shapeId="0" xr:uid="{9D99A6B0-D37F-4088-97CA-A1AF2C0C5E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9" authorId="0" shapeId="0" xr:uid="{F5D974E5-6DA7-4B26-A28A-AFC33F9AED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9" authorId="0" shapeId="0" xr:uid="{498F68A4-EDDB-4694-8404-C49662D827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9" authorId="0" shapeId="0" xr:uid="{1111C9AF-5318-41E0-956E-AE5AE034FD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0" authorId="0" shapeId="0" xr:uid="{43686176-3428-44CB-8B79-C7981ACC63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0" authorId="0" shapeId="0" xr:uid="{85EBB56A-F934-430D-980D-B7BDEF8594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0" authorId="0" shapeId="0" xr:uid="{258CE6C2-0A3B-4F82-A341-56EA3964A7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1" authorId="0" shapeId="0" xr:uid="{1A10ED01-DF1E-4DF0-BCCE-C188469C5C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1" authorId="0" shapeId="0" xr:uid="{DCB8B1D9-F378-4559-A7D4-B5D0ADBA5F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1" authorId="0" shapeId="0" xr:uid="{55241DE1-4983-4D3F-959E-300579F1C4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2" authorId="0" shapeId="0" xr:uid="{FED5D3ED-E5A4-462C-A956-C9D766F4F7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2" authorId="0" shapeId="0" xr:uid="{2C140EB5-FB64-4D9B-97F1-F1D0C8F3A8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2" authorId="0" shapeId="0" xr:uid="{3C92B182-C012-458D-8EC2-0ECD32B4DA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3" authorId="0" shapeId="0" xr:uid="{4594B1B1-1B3B-4BDF-983E-76B6287704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3" authorId="0" shapeId="0" xr:uid="{E9403B3C-4B88-479A-9FB3-A76145A516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3" authorId="0" shapeId="0" xr:uid="{AA01AEA4-6B4C-41DC-8599-18392A14C2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4" authorId="0" shapeId="0" xr:uid="{0405925B-EA7D-4FCF-8BDF-07EFAF6339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4" authorId="0" shapeId="0" xr:uid="{34BA5C7C-2EE4-495E-8348-E20BBB7084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4" authorId="0" shapeId="0" xr:uid="{0825F91F-FDC0-4B02-AD6F-55155E0A0D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5" authorId="0" shapeId="0" xr:uid="{4004947D-BCCB-4B0E-8651-C50AA909A5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5" authorId="0" shapeId="0" xr:uid="{77FA81DB-324B-45D8-801E-79D99B921C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5" authorId="0" shapeId="0" xr:uid="{BE76C590-C85E-424D-920A-2D0F6889CC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6" authorId="0" shapeId="0" xr:uid="{F54D868F-2362-4686-82CC-52B3667792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6" authorId="0" shapeId="0" xr:uid="{306DAB49-6A5D-4117-A8FC-37DDCB55BE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6" authorId="0" shapeId="0" xr:uid="{CAF09BC1-30FD-4C4A-9662-87FDEA1C50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7" authorId="0" shapeId="0" xr:uid="{F931F4FE-6983-44CC-BA2F-59B5868D7B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7" authorId="0" shapeId="0" xr:uid="{9DEA82DE-3047-43AB-8B72-18F41FB7A4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7" authorId="0" shapeId="0" xr:uid="{1AA5CBC2-863E-4974-9A90-380A3592C5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8" authorId="0" shapeId="0" xr:uid="{EC5D002A-C357-42B3-9C47-CAACC24379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8" authorId="0" shapeId="0" xr:uid="{BB2C0989-4882-4C0C-B193-81FEF05A21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8" authorId="0" shapeId="0" xr:uid="{A5055A8A-404C-4D10-BDDC-E32CB1E87B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9" authorId="0" shapeId="0" xr:uid="{140B3EF2-1B15-4174-8086-B3B6008360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9" authorId="0" shapeId="0" xr:uid="{207F0263-974D-43F3-B7D5-C6A33A955C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9" authorId="0" shapeId="0" xr:uid="{8A94FE73-6042-4D60-97E3-4FBBDE2B2B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6789BD63-0C70-41DD-9564-9CA116D111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FDA7D7AE-5735-4191-9642-2CEE88341C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E6EB9F93-C454-4BBF-B6CF-24008C5942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AA971AEC-F0AA-4DC9-B986-5922E2BB7E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F1850426-0D67-416A-9446-919F7687EC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A9A8789D-8B13-41E5-AEC5-8D09E635CD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3EF0424C-A4C9-4E15-AF6D-982B8C7C8C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428A8297-0577-4A63-ABA3-C5F67F52EE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2054C7BD-7564-40BC-83C9-2039096E60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11666E9A-FE54-4EB1-9AD5-4DC55A9CB2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1F829CF3-39D0-4FA7-906C-4A276B9DB4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F83153F6-2101-4894-B2DA-FB6A3385CF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C8AB9224-3F7D-473D-87C9-55B07C3C93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D51421DF-1963-4111-94C0-4FDE7FB960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8850E859-3482-495C-BC2D-FAC486912F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103B48D2-B79E-4AE7-A022-60859329E9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9E258177-906D-409E-A6D6-519E7A8A3A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7BAFD890-57F7-4056-86A2-9DF445E80E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C651BE6B-EBE5-42CA-A9CD-0328D12337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48ECD7E-02EA-4779-8BBD-40669F48ED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25369515-EF30-48DD-A23F-38000A95E8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29954F93-C94D-4753-B2CE-9A5122D20F7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6CC8B51B-8E22-4EA4-AFEC-42084522BF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82029C9F-6140-4EC2-B241-FED29C380C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AF947CA-2535-4166-9195-459DB88178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5EB39AD9-886B-41D1-ADF5-0969E423AE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D4E73779-2127-4B77-936A-EDFB429149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DBCFD8F2-03AC-4563-A72E-FC4D24BB03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24A069FF-C9E9-45D3-801C-59039C9B7B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37D2463A-6A7A-4D0B-A393-A8D2C1EAB2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F46489D-7EC7-493E-A4D9-A365F7413F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74002A41-FEA2-4EEF-9BFF-63407B5FFA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DEEE9D82-59D0-4224-9047-DBEE401AFE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962E3166-D010-4B01-B026-89C9D0803E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29E0498E-CA67-42F8-A869-30C370BF50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A659533-6E23-49A4-B5C2-31197FD835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DCA6182-909C-4DE8-9205-5E4A1FB317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2DC4A00A-8230-41A1-B1D1-AAD0711CAB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822843B5-6BB1-415F-ABF5-6AD243B770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4333E862-DA0F-479C-B9D7-419BA908A1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42A1A535-C466-41CD-801C-972C339521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6AF80C54-69C9-42B4-B41D-ADDF98FA35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4C372AE6-FA56-40AE-A977-4A091794D9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564F8293-8565-45E3-BFE2-035255C99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4456DAB4-B508-4700-A330-E1204B6B14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B3B0DA10-2D9F-4724-A22E-61E9C8A0C5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F61B265B-64A5-4B51-8CC3-7AB83BB1A3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19CE12BA-A3CE-498C-B182-2C60981C07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53098669-E20A-4FC6-BF2B-EF9E17A884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13B17968-E5AC-4234-9AA8-67851EC662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BEF9B104-827C-4A44-A4CE-07134A2BBA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48068EA4-1CDE-4925-B3CF-6CD2CB9811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CE4C4A7F-16EA-4BA5-B55E-692E675B5C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1C3D2197-8558-40C6-AD90-D15797384F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FB89DFBD-DF97-4FDA-BAEC-B38CFBA6D55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DB1F7081-4D3B-47D6-AECF-100662FA59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42246430-0BD9-418E-A75E-A70C857760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87405FDB-5862-4EFD-9E2A-E9308E283B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051A0D6-F4B7-467A-9AA5-17A5FDAA80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240C4F95-ED65-4810-A82E-A280FFE508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EE081E82-A42F-4750-B04F-F0056D8D41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5CC91D70-6236-4D53-8E8E-FF398B6A42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E36AB4E8-F3D5-4A13-AB51-724BF13E8F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E8A9D6D4-2078-43AD-80DF-4CF2026FFC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199B8092-0CA7-45B2-896E-D41E536019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4AD3081D-E057-4C36-8941-B747C38CF7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CA58CD50-137F-40E2-AE84-94C088E7F8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AB19234A-A0F7-4D6B-B59B-0CACBD8997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1426A6B1-4F40-436B-BB7D-33FE527827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4A433073-7FEC-4D21-BB1F-D555387506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A3279B40-39EF-4C49-9A62-40EB9FA987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440F4377-39AB-4474-9356-2ED1922BF1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7C9A7ADD-66A5-424D-B556-42C935D61B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241907BD-B948-4AD7-8ECC-64FF011538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1832CFED-0DF9-452B-8AA2-4D1A0C3D31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3A2DE34F-50D0-4F45-AE16-67ACC1D45C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ED6820E0-F38F-46FC-BB57-22D6D38D4A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B330879C-C310-441E-B7FC-EA5788D2B3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B826D739-72EA-4FFF-A007-5BE00BF6C1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E94A0749-ED92-46C0-A89C-493BCAF0D9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8B7F5C6E-A7D1-49D7-9C21-5270650A64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25C219A2-27B2-495C-85AC-56AEB455BA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3E20EE50-03B7-4222-A4D0-467BC301E2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9E46B0EC-B2F0-484C-9FE0-9565809DA4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F0F1193C-ABD3-4804-A094-57B0BFEA83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A673C46B-564E-44D0-9907-937B798934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F53DE944-A5BE-4B72-8FE2-6F11036AB6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8CC99A64-092E-49BA-A1A0-B83060CCE1B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A0168936-DD21-433E-BA6B-B5591B929D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7CFC0198-7FE6-4286-A39C-F09398A3A3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7654ACF0-AE74-4628-84A8-154B167E8D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C01AFE81-9EF9-41DB-B2B4-86B6AAF289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DD99325C-2BD3-47A0-A179-2E712C3DF7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3E54CD30-89FF-44CD-8F47-C467EBED89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72BB069A-E5EE-45B9-AD35-91A8846597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BAB2CDA2-2708-4C9F-BDAD-0DEF814027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B69A8289-751B-491E-ABAD-5F8FF2E058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5EDD0028-EF9E-443C-A80F-8522D744C3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844D03F3-51EB-4CD9-9133-88F6A627C7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836AE4C0-DA54-4A9B-9D4E-BDFB7F22CA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38BD7B8F-F0F1-4463-B4D1-59FB00103C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6A2438F5-9DD3-49B9-B313-5BBD832226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6A4EB47C-DE7C-446B-9EEF-931EC03E48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515610BF-2829-46F4-BF78-EB6E14F179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D352B434-CB76-4239-9CA8-1B04A1508D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24999812-28E6-4C34-B824-F3141D23D7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2D9E2342-16EA-41D5-9F0B-7E6DBCC193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68E2B67-2AA0-4E07-98E6-B1BE258FEF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A28DCD6-B31E-44CB-A2B0-8007293844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ACF31FD9-1707-4BFD-9346-8FE68294F7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3D22408E-A23D-4D13-9C58-45F18192C4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3EB76FCC-826B-47BB-9E27-1781D8712F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22067AF-D8E4-4C2F-9618-5DDD2FE010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B571F4E1-6EEF-4967-824B-F84E64B4A8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72F5DE8A-3E5B-4DE8-A623-A5BEE39880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6F85230E-EC90-4C3B-957B-0D54D571C4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A02DCE9D-BE23-4322-BEEE-98C73BF555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393BB56B-B8E6-4EE6-8A19-2A6AAE861F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F7EE4C55-7C68-4B1C-8C8F-7DD128477C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5333570D-B3C6-47AB-8E61-8A5A829753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B0622121-9A89-4485-A3E0-A8F9B5F76F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2DA4EE7B-B8B0-4780-837D-0A3D6A653A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9BB994B4-8B84-4EF7-BDEB-236DA4B217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49BDC928-97A3-4F84-82CB-D6C943D58A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3FD858A6-284A-402E-8387-763703AB8C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C92DA8CC-3451-42CB-A912-0430FBE96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F0DF7B93-907E-4629-B6FA-3EEB6393AC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90DCADB5-A09A-45F0-86BC-E82299DFF9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988BE1DE-6FF9-49BA-A891-513FC2CB9E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51A5AF0D-9430-49BE-A2BA-9B3726688F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F4318E61-D6EA-4881-AFC5-690C038769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7F5C3BE3-AA38-498B-96F8-9ACB88FE7C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940605A-EF38-4FE5-9132-FC843912E3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328D9B1-02FB-4728-AC6F-AEDE8077B7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7675C5D7-A428-46AC-872C-CFCCED0621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637B9BD4-5D10-4AC9-97BD-22D844688A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E0B548DB-221E-405F-BFFA-9180165A0F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107EFCA7-40C4-4578-8867-8176956EEA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908A28E4-0C95-43D3-AE77-24938860A8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755DAA3-DAE8-439E-B0E4-9CAD1B113B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7F29C236-5205-4642-B8BF-CDE0A29021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F5F64CB6-DDC1-4763-A308-F292D766DD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C7EAED6A-7605-42D9-949E-4CFF6A4E3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48C902B-DD55-4C34-97E2-C828A03656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2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2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2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2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2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2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2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2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2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2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2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2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2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2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2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2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2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2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2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2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2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2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2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2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2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2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2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2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2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2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2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2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2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2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2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2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2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2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2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2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2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2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2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2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2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2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2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2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2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2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2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2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2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2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2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2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2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2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2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2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2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2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2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2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2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2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2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2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2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2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2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2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2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2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2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2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2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2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2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2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2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2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2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2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2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2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2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2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2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2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2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2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2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2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2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2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2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2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2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2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2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2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2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2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2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2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2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2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2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2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2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2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2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2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2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2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2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2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2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2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3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3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3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3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3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3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3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3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3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3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3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3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3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3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3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3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3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3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3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3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3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3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3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3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3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3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3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3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3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3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3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3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3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3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3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3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3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3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3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3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3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3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3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3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3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3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3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3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3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3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3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3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3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3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3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3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3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3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3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3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3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3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3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3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3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3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3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3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3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3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3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3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3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3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3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3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3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3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3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3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3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3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3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3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3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3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3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3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3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3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3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3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3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3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3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3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3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3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3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3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3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3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3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3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3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3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3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3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3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3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3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3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3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3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3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3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3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3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3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3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3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3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3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4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4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4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4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4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4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4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4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4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4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4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4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4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4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4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4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4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4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4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4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4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4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4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4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4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4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4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4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4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4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4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4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4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4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4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4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4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4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4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4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4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4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4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4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4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4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4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4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4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4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4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4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4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4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4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4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4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4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4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4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4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4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4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4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4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4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4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4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4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4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4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4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4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4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4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4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4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4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4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4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4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4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4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4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4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4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4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4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4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4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4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4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4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4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4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4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4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4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4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4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4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4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4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4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4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4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4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4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4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4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4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4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4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4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4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4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4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4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4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4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4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4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4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4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4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4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4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4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4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4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4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4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sharedStrings.xml><?xml version="1.0" encoding="utf-8"?>
<sst xmlns="http://schemas.openxmlformats.org/spreadsheetml/2006/main" count="9863" uniqueCount="788">
  <si>
    <t>PROGRAMA ECONOMICO DE 'TOP GROMMET DRAPERIES'</t>
  </si>
  <si>
    <t>FULLNESS:</t>
  </si>
  <si>
    <t>HARDWARE:</t>
  </si>
  <si>
    <t>PAR ó PANEL:</t>
  </si>
  <si>
    <t>PANEL (ESTACIONARIO ú OPERADO A MANO)</t>
  </si>
  <si>
    <t>CABEZA:</t>
  </si>
  <si>
    <t>BASTILLA DE ABAJO:</t>
  </si>
  <si>
    <t>BASTILLA LATERAL:</t>
  </si>
  <si>
    <t>TIPO DE BASTILLA:</t>
  </si>
  <si>
    <t>COSTURA RECTA</t>
  </si>
  <si>
    <t>PESAS:</t>
  </si>
  <si>
    <t>SOLO EN ESQUINAS Y UNIONES.</t>
  </si>
  <si>
    <t>TELA:</t>
  </si>
  <si>
    <t>BLACKOUT TEXTURIZADO / COLOR POR ESCOGER / ROLLO DE 54"</t>
  </si>
  <si>
    <t>GROMMETS / OJILLOS:</t>
  </si>
  <si>
    <t>GROMMET No.12 CON DIAMETRO INTERNO DE 1 9/16", COLOR: BRONZE ó NICKEL.</t>
  </si>
  <si>
    <t>TUBO DE ACERO DE 1.25" DE DIAMETRO QUE INCLUYE TAPONES SENCILLO. COLOR: BRONCE ó NICKEL.</t>
  </si>
  <si>
    <t>PRODUCTO:</t>
  </si>
  <si>
    <t>TOP GROMMET BO UNLINED DRAPERIES</t>
  </si>
  <si>
    <t>ANCHO</t>
  </si>
  <si>
    <t>DE RIEL</t>
  </si>
  <si>
    <t>ALTURA</t>
  </si>
  <si>
    <t>FINAL</t>
  </si>
  <si>
    <t>CORTE</t>
  </si>
  <si>
    <t>ALTO</t>
  </si>
  <si>
    <t>LIENZOS</t>
  </si>
  <si>
    <t>DE TELA</t>
  </si>
  <si>
    <t>TEORICOS</t>
  </si>
  <si>
    <t>GROMMETS</t>
  </si>
  <si>
    <t>DISTANCIA</t>
  </si>
  <si>
    <t>EXTREMOS</t>
  </si>
  <si>
    <t>ESPACIO</t>
  </si>
  <si>
    <t>TEORICO</t>
  </si>
  <si>
    <t>ENTRE</t>
  </si>
  <si>
    <t>COBERTURA</t>
  </si>
  <si>
    <t>EN RIEL</t>
  </si>
  <si>
    <t>overcut width en las 2 bastillas laterales</t>
  </si>
  <si>
    <t>overcut altura en cabeza</t>
  </si>
  <si>
    <t>overcut altura en pies</t>
  </si>
  <si>
    <t>fabric width</t>
  </si>
  <si>
    <t>BASTI-</t>
  </si>
  <si>
    <t>LLADO</t>
  </si>
  <si>
    <t>DESEADO</t>
  </si>
  <si>
    <t>CANTIDAD</t>
  </si>
  <si>
    <t>DIREMOS QUE CORTINA DE 1 LIENZO CUBRE RIEL DE HASTA 24"</t>
  </si>
  <si>
    <t>DIREMOS QUE CORTINA DE 2 LIENZOS CUBRE RIEL DE HASTA 54"</t>
  </si>
  <si>
    <t>YARDAGE</t>
  </si>
  <si>
    <t>CONCLUSION:</t>
  </si>
  <si>
    <t>CALCULOS PARA CORTINA</t>
  </si>
  <si>
    <t>PIES</t>
  </si>
  <si>
    <t>LINEALES</t>
  </si>
  <si>
    <t>TUBO 1.25"</t>
  </si>
  <si>
    <t>COSTO</t>
  </si>
  <si>
    <t>VENTA</t>
  </si>
  <si>
    <t>PINTADO</t>
  </si>
  <si>
    <t xml:space="preserve">VENTA </t>
  </si>
  <si>
    <t>PIE LN.</t>
  </si>
  <si>
    <t>BRACKETS</t>
  </si>
  <si>
    <t>POR RIEL</t>
  </si>
  <si>
    <t>TAMAÑO</t>
  </si>
  <si>
    <t>DE TUBO</t>
  </si>
  <si>
    <t>BRACKET</t>
  </si>
  <si>
    <t>SENCILLO</t>
  </si>
  <si>
    <t>EST. MYDR</t>
  </si>
  <si>
    <t>END CAPS</t>
  </si>
  <si>
    <t>CADA</t>
  </si>
  <si>
    <t>END CAP</t>
  </si>
  <si>
    <t xml:space="preserve">POR </t>
  </si>
  <si>
    <t>P / BWS</t>
  </si>
  <si>
    <t>MYDR-BWS</t>
  </si>
  <si>
    <t>MYDR</t>
  </si>
  <si>
    <t>SERVICIO</t>
  </si>
  <si>
    <t>DE PINTADO</t>
  </si>
  <si>
    <t>POR SISTEMA</t>
  </si>
  <si>
    <t>TUBO</t>
  </si>
  <si>
    <t>DECORATIVO</t>
  </si>
  <si>
    <t>DE</t>
  </si>
  <si>
    <t>BWS</t>
  </si>
  <si>
    <t>$$ ESP.</t>
  </si>
  <si>
    <t>DE BWS</t>
  </si>
  <si>
    <t>DE CADA</t>
  </si>
  <si>
    <t>COMPLETO</t>
  </si>
  <si>
    <t>POR PIE LN.</t>
  </si>
  <si>
    <t>CALCULOS DE SISTEMA DE HARWARE DECORATIVO (TUBO 1.25" DIA. - BRACKET SENCILLOS - END CAPS)</t>
  </si>
  <si>
    <t>POR YARDA</t>
  </si>
  <si>
    <t>POR CORTINA</t>
  </si>
  <si>
    <t>POR LIENZO</t>
  </si>
  <si>
    <t>CORTINA</t>
  </si>
  <si>
    <t>MANUF. Y EMP.</t>
  </si>
  <si>
    <t>ANCHO TUBO</t>
  </si>
  <si>
    <t>PRECIO</t>
  </si>
  <si>
    <t>SISTEMA HERRAJE SENCILLO</t>
  </si>
  <si>
    <t>SISTEMA HERRAJE DOBLE</t>
  </si>
  <si>
    <t>LIENZOS:</t>
  </si>
  <si>
    <t>1 HOJA</t>
  </si>
  <si>
    <t>HERRAJE</t>
  </si>
  <si>
    <t>PAR</t>
  </si>
  <si>
    <t>PRECIO VENTA CORTINA DE 1 HOJA - PANELES  (BWS)</t>
  </si>
  <si>
    <t>PRECIO VENTA CORTINAS DE 2 HOJAS - PARES  (BWS)</t>
  </si>
  <si>
    <t>1 + 1 (PAR)</t>
  </si>
  <si>
    <t>1.5 + 1.5 (PAR)</t>
  </si>
  <si>
    <t>2 + 2 (PAR)</t>
  </si>
  <si>
    <t>2 HOJAS</t>
  </si>
  <si>
    <t>DOBLE</t>
  </si>
  <si>
    <t>FECHA:</t>
  </si>
  <si>
    <t>PANEL (ESTACIONARIO ú OPERADO A MANO) ó PAR</t>
  </si>
  <si>
    <t>TOP GROMMET SHEER DRAPERIES</t>
  </si>
  <si>
    <t>DIRECCION</t>
  </si>
  <si>
    <t>DE LA</t>
  </si>
  <si>
    <t>TELA</t>
  </si>
  <si>
    <t>DE TELA EN</t>
  </si>
  <si>
    <t>BASE A 54"</t>
  </si>
  <si>
    <t>DE TELA 54"</t>
  </si>
  <si>
    <t>A LO</t>
  </si>
  <si>
    <t xml:space="preserve">CORTE </t>
  </si>
  <si>
    <t>TIPO CORTINA</t>
  </si>
  <si>
    <t>SHEER</t>
  </si>
  <si>
    <t>SHEER DE STOCK / COLOR POR ESCOGER / ROLLO DE 118"</t>
  </si>
  <si>
    <t>LIENZOS DE TRAB.:</t>
  </si>
  <si>
    <t>Custom Interior &amp; Exterior Draperies - Roman &amp; Solar Shades</t>
  </si>
  <si>
    <t>Roller Shades - Shutters - Wood Blinds - Fauxwood Blinds</t>
  </si>
  <si>
    <t xml:space="preserve">Blvd. Popotla #11 Playas de Rosarito, B.C. </t>
  </si>
  <si>
    <t>N/A</t>
  </si>
  <si>
    <t>clave celdas protegidas en hoja 'COTIZACION':</t>
  </si>
  <si>
    <t>GROMMET</t>
  </si>
  <si>
    <t>NICKEL</t>
  </si>
  <si>
    <t>COLOR</t>
  </si>
  <si>
    <t>NIKEL</t>
  </si>
  <si>
    <t>NEGRO</t>
  </si>
  <si>
    <t>BRONZE</t>
  </si>
  <si>
    <t>ESTILO CORTINA</t>
  </si>
  <si>
    <t>PINCH PLEATED</t>
  </si>
  <si>
    <t>RIPPLEFOLD</t>
  </si>
  <si>
    <t>INVERTED PLEATED</t>
  </si>
  <si>
    <t>TOP GROMMET</t>
  </si>
  <si>
    <t>BOLD</t>
  </si>
  <si>
    <t>BOD</t>
  </si>
  <si>
    <t>SELF-LINED</t>
  </si>
  <si>
    <t>STAT. BOLD</t>
  </si>
  <si>
    <t>STAT. BOD</t>
  </si>
  <si>
    <t>STAT. SHEER</t>
  </si>
  <si>
    <t>OFF-SET PR</t>
  </si>
  <si>
    <t>STAT.</t>
  </si>
  <si>
    <t>TAB TOP</t>
  </si>
  <si>
    <t>ANCHO TELA</t>
  </si>
  <si>
    <t>ANCHO LINING</t>
  </si>
  <si>
    <t>TIPO LINING</t>
  </si>
  <si>
    <t>3-PASS WW</t>
  </si>
  <si>
    <t>SELL YD</t>
  </si>
  <si>
    <t>FULLNESS</t>
  </si>
  <si>
    <t>P.P. 2-FINGER</t>
  </si>
  <si>
    <t>P.P. 1-FINGER</t>
  </si>
  <si>
    <t>MONTAJE</t>
  </si>
  <si>
    <t>AL TECHO</t>
  </si>
  <si>
    <t>A LA PARED</t>
  </si>
  <si>
    <t>MOT. - BATTERY</t>
  </si>
  <si>
    <t>LINING</t>
  </si>
  <si>
    <t>FOLD BACK:</t>
  </si>
  <si>
    <t>RETORNO:</t>
  </si>
  <si>
    <t>OVERLAP:</t>
  </si>
  <si>
    <t>SPRING BACK:</t>
  </si>
  <si>
    <t>UNL. DRAPERY</t>
  </si>
  <si>
    <t>STAT. UNL. DRAPERY</t>
  </si>
  <si>
    <t>POLYCOTTON WHITE</t>
  </si>
  <si>
    <t>POLYCOTTON IVORY</t>
  </si>
  <si>
    <t>3-PASS IV-EC</t>
  </si>
  <si>
    <t>COST/YD FOB MILL</t>
  </si>
  <si>
    <t>FREIGHT COST PER YD</t>
  </si>
  <si>
    <t>COST LANDED</t>
  </si>
  <si>
    <t>UPDATED:</t>
  </si>
  <si>
    <t>COST/LABOR WIDTH</t>
  </si>
  <si>
    <t>SELL PER LABOR WIDTH</t>
  </si>
  <si>
    <t>MARK UP</t>
  </si>
  <si>
    <t>COST/LABOR WIDTH (ADJUSTED)</t>
  </si>
  <si>
    <t>BAJA SHADES</t>
  </si>
  <si>
    <t>RETAIL</t>
  </si>
  <si>
    <t>PRODUCT</t>
  </si>
  <si>
    <t>TIPO TELA</t>
  </si>
  <si>
    <t>BO TEXTURIZADO</t>
  </si>
  <si>
    <t>TELA DECORATIVA</t>
  </si>
  <si>
    <t xml:space="preserve">TIPO TELA </t>
  </si>
  <si>
    <t>TELA DE STOCK DE BWS</t>
  </si>
  <si>
    <t>COST/YD AT BWS</t>
  </si>
  <si>
    <t>SHEER DECORATIVA</t>
  </si>
  <si>
    <t>SHEER PLAIN (BATISTE)</t>
  </si>
  <si>
    <t>TELA DE LINEA (COMPRADA POR BWS A ATELIER Y HANES)</t>
  </si>
  <si>
    <t>CATEGORIA  DE  TELA</t>
  </si>
  <si>
    <t>STOCK</t>
  </si>
  <si>
    <t>BOTTOM HEM LINING:</t>
  </si>
  <si>
    <t>HARDWARE</t>
  </si>
  <si>
    <t>BLANCO</t>
  </si>
  <si>
    <t>TRANSPARENTE</t>
  </si>
  <si>
    <t>METALICO</t>
  </si>
  <si>
    <t xml:space="preserve">TIPO BASTON </t>
  </si>
  <si>
    <t>TIPO DE HERRAJE</t>
  </si>
  <si>
    <t>COST / LN. FT.</t>
  </si>
  <si>
    <t>COST PAIR OF BATONS</t>
  </si>
  <si>
    <t>BASTONES</t>
  </si>
  <si>
    <t>LABOR</t>
  </si>
  <si>
    <t>TELAS STOCK</t>
  </si>
  <si>
    <t>RESIDENCIA BAJA MAR</t>
  </si>
  <si>
    <t>BAJA MAR MISION SAN DIEGO 6028</t>
  </si>
  <si>
    <t>DEPOSIT</t>
  </si>
  <si>
    <t>NO</t>
  </si>
  <si>
    <t>LINDA ANDERSON</t>
  </si>
  <si>
    <t>RICARDO GARCIA</t>
  </si>
  <si>
    <t>Baja Shades</t>
  </si>
  <si>
    <t>661 100 6377</t>
  </si>
  <si>
    <t>INGLES</t>
  </si>
  <si>
    <t>INSTALLATION INCLUDED ON ALL PRODUCTS!</t>
  </si>
  <si>
    <t>Product delivery may vary depending on components or fabric stock</t>
  </si>
  <si>
    <t>On automated systems, property must supply electric outputs</t>
  </si>
  <si>
    <t>Property must be ready for installation or charges will be apply</t>
  </si>
  <si>
    <t>On wifi system integration, a technician must evaluate the conditions to make proper installations</t>
  </si>
  <si>
    <t>ESPAÑOL</t>
  </si>
  <si>
    <t>INSTALACION INCLUIDA EN TODOS LOS PRODUCTOS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</si>
  <si>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</si>
  <si>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</si>
  <si>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</si>
  <si>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</si>
  <si>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DOLLARS</t>
  </si>
  <si>
    <t>SUB TOTAL=</t>
  </si>
  <si>
    <t>Tipo de Cambio</t>
  </si>
  <si>
    <t>MONEDA (CURRENCY)</t>
  </si>
  <si>
    <t>PESOS</t>
  </si>
  <si>
    <t>The prices are in:</t>
  </si>
  <si>
    <t>Los precios son en:</t>
  </si>
  <si>
    <t>Experts in:</t>
  </si>
  <si>
    <t>FOLD-BACK + RETORNO + OVERLAP</t>
  </si>
  <si>
    <t>SPRING BACK</t>
  </si>
  <si>
    <t>OVERCUT HEAD</t>
  </si>
  <si>
    <t>OVERCUT BOTTOM HEM</t>
  </si>
  <si>
    <t>CORTE ANCHO</t>
  </si>
  <si>
    <t>CORTE ALTO</t>
  </si>
  <si>
    <t>ANCHO ROLLO DE TELA</t>
  </si>
  <si>
    <t>LIENZOS TEORICOS DE TELA</t>
  </si>
  <si>
    <t>LIENZOS REALES DE TELA</t>
  </si>
  <si>
    <t>LIENZOS DE TRABAJO</t>
  </si>
  <si>
    <t>YARDAGE EACH</t>
  </si>
  <si>
    <t>YARDAGE ALL</t>
  </si>
  <si>
    <t>ANCHO ROLLO DE LINING</t>
  </si>
  <si>
    <t>DIRECION DEL LINING</t>
  </si>
  <si>
    <t>PIES LIN. DE HARDWARE</t>
  </si>
  <si>
    <t>TAMAÑO DEL BASTON</t>
  </si>
  <si>
    <t>VENTA DE TELA POR YARDA</t>
  </si>
  <si>
    <t>VENTA DE TELA POR CORTINA</t>
  </si>
  <si>
    <t>VENTA DE LINING POR YARDA</t>
  </si>
  <si>
    <t>VENTA DE LINING POR CORTINA</t>
  </si>
  <si>
    <t>VENTA POR MANO DE OBRA DE CADA LIENZO</t>
  </si>
  <si>
    <t>VENTA POR MANO DE OBRA POR CORTINA</t>
  </si>
  <si>
    <t>VENTA POR CORTINA</t>
  </si>
  <si>
    <t>VENTA POR RIEL ENSAMBLADO</t>
  </si>
  <si>
    <t>VENTA POR BASTONES</t>
  </si>
  <si>
    <t>VENTA POR HERRAJE COMPLETO</t>
  </si>
  <si>
    <t>VENTA TOTAL</t>
  </si>
  <si>
    <t>DIRECCION DE LA TELA</t>
  </si>
  <si>
    <t>CALCULOS DE 'OVERCUT' DE TELA</t>
  </si>
  <si>
    <t>CALCULOS YARDAGES DE TELA</t>
  </si>
  <si>
    <t>CALCULOS YARDAGE DE LINING</t>
  </si>
  <si>
    <t>TASA DE DESCUENTO (%)</t>
  </si>
  <si>
    <t>COTIZADOR PARA CORTINAS EN GENERAL PARA VENTA LOCAL</t>
  </si>
  <si>
    <t>mikalo@gmail.com</t>
  </si>
  <si>
    <t>50% prepayment is required to start production</t>
  </si>
  <si>
    <t>50% de anticipo es requerido para comenzar la produccion</t>
  </si>
  <si>
    <t>CTO. PRINCIPAL</t>
  </si>
  <si>
    <t>Rosangel Guzman</t>
  </si>
  <si>
    <t>TO WALL</t>
  </si>
  <si>
    <t>&lt;100.01</t>
  </si>
  <si>
    <t>&gt;100.011, &lt;112.01</t>
  </si>
  <si>
    <t>&gt;112.011, &lt;124.01</t>
  </si>
  <si>
    <t>&gt;124.011, &lt;136.01</t>
  </si>
  <si>
    <t>METALLIC</t>
  </si>
  <si>
    <t>PNL-R</t>
  </si>
  <si>
    <t>PNL-L</t>
  </si>
  <si>
    <t>STD. TRACK - BATON</t>
  </si>
  <si>
    <t>DECORATIVO RIEL-H, MOTORIZADO</t>
  </si>
  <si>
    <t>DECORATIVE H-RAIL, MOTORIZED</t>
  </si>
  <si>
    <t>DECORATIVE-NEO TRACK</t>
  </si>
  <si>
    <t>DECORATIVO-NEO TRACK</t>
  </si>
  <si>
    <t>DECORATIVO-VISTA TRACK</t>
  </si>
  <si>
    <t>DECORATIVE-VISTA TRACK</t>
  </si>
  <si>
    <t>MOT. - BATERIA</t>
  </si>
  <si>
    <t xml:space="preserve">MOT. - WIFI </t>
  </si>
  <si>
    <t>MOT. - ELECTRICO</t>
  </si>
  <si>
    <t>MOT. - PLUG-IN</t>
  </si>
  <si>
    <t>MOT. - WIFI - ELECTRICO</t>
  </si>
  <si>
    <t>MOUNTING</t>
  </si>
  <si>
    <t>TO CEILING</t>
  </si>
  <si>
    <t>BATON TYPE</t>
  </si>
  <si>
    <t>WHITE</t>
  </si>
  <si>
    <t>CLEAR</t>
  </si>
  <si>
    <t>LINING TYPE</t>
  </si>
  <si>
    <t>TIPO DE FORRO</t>
  </si>
  <si>
    <t>3-PASOS WW</t>
  </si>
  <si>
    <t>3-PASOS IV-EC</t>
  </si>
  <si>
    <t>LIGERO BLANCO</t>
  </si>
  <si>
    <t>LIGERO CREMA</t>
  </si>
  <si>
    <t>TIPO DE BASTON</t>
  </si>
  <si>
    <t>PAIR</t>
  </si>
  <si>
    <t>PNL-DER.</t>
  </si>
  <si>
    <t>PNL-IZQ.</t>
  </si>
  <si>
    <t>PAR-DISPAR</t>
  </si>
  <si>
    <t>FIJO</t>
  </si>
  <si>
    <t>PAR-PNL</t>
  </si>
  <si>
    <t>PAIR-PNL</t>
  </si>
  <si>
    <t>DRAPERY STYLE</t>
  </si>
  <si>
    <t>PLIEGUES-GANCHOS</t>
  </si>
  <si>
    <t>ONDULADO</t>
  </si>
  <si>
    <t>FABRIC CATEGORY</t>
  </si>
  <si>
    <t>EN EXISTENCIA</t>
  </si>
  <si>
    <t>POR ORDENAR</t>
  </si>
  <si>
    <t>IDIOMA</t>
  </si>
  <si>
    <t>CORTINA CON FORRO</t>
  </si>
  <si>
    <t>CORTINA 'BLACKOUT'</t>
  </si>
  <si>
    <t>FRESCURA (TERGAL)</t>
  </si>
  <si>
    <t>CORTINA SIN FORRO</t>
  </si>
  <si>
    <t>CORTINA CON FORRO PROPIO</t>
  </si>
  <si>
    <t>FIJA CON FORRO</t>
  </si>
  <si>
    <t>FIJA 'BLACKOUT'</t>
  </si>
  <si>
    <t>FIJA FRESCURA</t>
  </si>
  <si>
    <t>FIJA SIN FORRO</t>
  </si>
  <si>
    <t>TEXTURED BO</t>
  </si>
  <si>
    <t>DECORATIVE FABRIC</t>
  </si>
  <si>
    <t>DECORATIVE SHEER</t>
  </si>
  <si>
    <t>FABRIC TYPE</t>
  </si>
  <si>
    <t>TIPO DE TELA</t>
  </si>
  <si>
    <t>C.O.M.</t>
  </si>
  <si>
    <t>DEL CLIENTE</t>
  </si>
  <si>
    <t>LABOR PRICES WITH FABRIC INCLUDED</t>
  </si>
  <si>
    <t>LABOR PRICES USING C.O.M. FABRICS</t>
  </si>
  <si>
    <t>NOTA IMPORTANTE:</t>
  </si>
  <si>
    <t xml:space="preserve">ESTA HOJA ES SOLO PARA IMPRESION…NO DEBES AGREGAR O QUITAR INFORMACION.  </t>
  </si>
  <si>
    <t>CUALQUIER LLENADO DE INFORMACION Y / O CAMBIO DE INFORMACION DEBE HACERSE</t>
  </si>
  <si>
    <t>EN LA 2DA PESTAÑA: "FILL QUOTE-CALCULATIONS".</t>
  </si>
  <si>
    <t>H-RAIL</t>
  </si>
  <si>
    <t>SINGLE BRACKET</t>
  </si>
  <si>
    <t>COMPONENTS</t>
  </si>
  <si>
    <t>COST PER SINGLE TRACK</t>
  </si>
  <si>
    <t>COST PER LN. FT.</t>
  </si>
  <si>
    <t>ROD SIZE</t>
  </si>
  <si>
    <t>(MYDR) DECORATIVE H-RAIL, MANUAL</t>
  </si>
  <si>
    <t>(MYDR) DECORATIVO RIEL-H, MANUAL</t>
  </si>
  <si>
    <t>(CBTX) DECORATIVE H-RAIL, MANUAL</t>
  </si>
  <si>
    <t>(CBTX) DECORATIVO RIEL-H, MANUAL</t>
  </si>
  <si>
    <t>VENDOR:</t>
  </si>
  <si>
    <t>VERTILUX MEXICO</t>
  </si>
  <si>
    <t>(VERTISOL)</t>
  </si>
  <si>
    <t>PRICING DATE:</t>
  </si>
  <si>
    <t>BWS MARK UP</t>
  </si>
  <si>
    <t>Categoria</t>
  </si>
  <si>
    <t># PARTE</t>
  </si>
  <si>
    <t>DESCRIPCION</t>
  </si>
  <si>
    <t>Composición</t>
  </si>
  <si>
    <t>Ancho (mts)</t>
  </si>
  <si>
    <t>Ancho (")</t>
  </si>
  <si>
    <t>LN MT ($ pesos)</t>
  </si>
  <si>
    <t>LN YD ($ pesos)</t>
  </si>
  <si>
    <t>LN YD ($ usd)</t>
  </si>
  <si>
    <t>YDS / RLL</t>
  </si>
  <si>
    <t>Precio con descuento (30%)</t>
  </si>
  <si>
    <t>FLETE / YD (usd)</t>
  </si>
  <si>
    <t>Precio Landedd(usd)</t>
  </si>
  <si>
    <t>Sheer</t>
  </si>
  <si>
    <t>0-007-01-0XXXX</t>
  </si>
  <si>
    <t>Drape Traslúcido Smooth Texture 3.05 Mts</t>
  </si>
  <si>
    <t>100% Poliester</t>
  </si>
  <si>
    <t>0-007-01-01103</t>
  </si>
  <si>
    <t>Drape Traslúcido Smooth Texture 3.05 Mts (cotton)</t>
  </si>
  <si>
    <t>cotton</t>
  </si>
  <si>
    <t>0-007-01-02403</t>
  </si>
  <si>
    <t>Drape Traslúcido Smooth Texture 3.05 Mts (sand)</t>
  </si>
  <si>
    <t>sand</t>
  </si>
  <si>
    <t>0-007-01-02603</t>
  </si>
  <si>
    <t>Drape Traslúcido Smooth Texture 3.05 Mts (smoke)</t>
  </si>
  <si>
    <t>smoke</t>
  </si>
  <si>
    <t>0-007-01-02703</t>
  </si>
  <si>
    <t>Drape Traslúcido Smooth Texture 3.05 Mts (snow)</t>
  </si>
  <si>
    <t>snow</t>
  </si>
  <si>
    <t>0-007-01-03303</t>
  </si>
  <si>
    <t>Drape Traslúcido Smooth Texture 3.05 Mts (wood)</t>
  </si>
  <si>
    <t>wood</t>
  </si>
  <si>
    <t>0-007-01-01003</t>
  </si>
  <si>
    <t>Drape Traslúcido Smooth Texture 3.05 Mts (cloudy)</t>
  </si>
  <si>
    <t>cloudy</t>
  </si>
  <si>
    <t>0-007-02-0XXXX</t>
  </si>
  <si>
    <t xml:space="preserve">Drape Traslúcido Stripes 3.00 Mts </t>
  </si>
  <si>
    <t>100% Fibreas de poliester con Retardante de fuego inherente</t>
  </si>
  <si>
    <t>0-007-02-02703</t>
  </si>
  <si>
    <t>Drape Traslúcido Stripes 3.00 Mts (zebra)</t>
  </si>
  <si>
    <t>zebra</t>
  </si>
  <si>
    <t>0-007-02-03403</t>
  </si>
  <si>
    <t>Drape Traslúcido Stripes 3.00 Mts (snow)</t>
  </si>
  <si>
    <t>0-007-02-02103</t>
  </si>
  <si>
    <t>Drape Traslúcido Stripes 3.00 Mts (line)</t>
  </si>
  <si>
    <t>line</t>
  </si>
  <si>
    <t>0-007-03-0XXXX</t>
  </si>
  <si>
    <t>Drape Traslúcido Living 3.00 Mts</t>
  </si>
  <si>
    <t>0-007-03-02603</t>
  </si>
  <si>
    <t>Drape Traslúcido Living 3.00 Mts (smoke)</t>
  </si>
  <si>
    <t>0-007-03-02703</t>
  </si>
  <si>
    <t>Drape Traslúcido Living 3.00 Mts (snow)</t>
  </si>
  <si>
    <t>0-007-03-03003</t>
  </si>
  <si>
    <t>Drape Traslúcido Living 3.00 Mts (straw)</t>
  </si>
  <si>
    <t>straw</t>
  </si>
  <si>
    <t>0-007-03-02403</t>
  </si>
  <si>
    <t>Drape Traslúcido Living 3.00 Mts (sand)</t>
  </si>
  <si>
    <t>0-007-04-0XXXX</t>
  </si>
  <si>
    <t>Drape Traslúcido Dining 3.00 Mts</t>
  </si>
  <si>
    <t>0-007-04-02203</t>
  </si>
  <si>
    <t>Drape Traslúcido Dining 3.00 Mts (olive)</t>
  </si>
  <si>
    <t>olive</t>
  </si>
  <si>
    <t>0-007-04-02303</t>
  </si>
  <si>
    <t>Drape Traslúcido Dining 3.00 Mts (pearl)</t>
  </si>
  <si>
    <t>pearl</t>
  </si>
  <si>
    <t>0-007-04-02903</t>
  </si>
  <si>
    <t>Drape Traslúcido Dining 3.00 Mts (stone)</t>
  </si>
  <si>
    <t>stone</t>
  </si>
  <si>
    <t>0-007-04-00503</t>
  </si>
  <si>
    <t>Drape Traslúcido Dining 3.00 Mts (blanket)</t>
  </si>
  <si>
    <t>blanket</t>
  </si>
  <si>
    <t>0-007-05-0XXXX</t>
  </si>
  <si>
    <t>Drape Traslúcido Grid 2.90 Mts</t>
  </si>
  <si>
    <t>DESCONTINUADA 50 % DE DESCUENTO EN LO EXISTENTE</t>
  </si>
  <si>
    <t>0-007-05-00329</t>
  </si>
  <si>
    <t>Drape Traslúcido Grid 2.90 Mts (black)</t>
  </si>
  <si>
    <t>black</t>
  </si>
  <si>
    <t>0-007-05-00629</t>
  </si>
  <si>
    <t>Drape Traslúcido Grid 2.90 Mts (blue)</t>
  </si>
  <si>
    <t>blue</t>
  </si>
  <si>
    <t>0-007-05-00929</t>
  </si>
  <si>
    <t>Drape Traslúcido Grid 2.90 Mts (brown)</t>
  </si>
  <si>
    <t>brown</t>
  </si>
  <si>
    <t>0-007-05-02429</t>
  </si>
  <si>
    <t>Drape Traslúcido Grid 2.90 Mts (sand)</t>
  </si>
  <si>
    <t>0-007-05-00229</t>
  </si>
  <si>
    <t>Drape Traslúcido Grid 2.90 Mts (beige)</t>
  </si>
  <si>
    <t>beige</t>
  </si>
  <si>
    <t>007-06-0XXXX</t>
  </si>
  <si>
    <t>Drape Traslúcido Freefall 3.20 Mts</t>
  </si>
  <si>
    <t>007-06-00332</t>
  </si>
  <si>
    <t>Drape Traslúcido Freefall 3.20 Mts (black)</t>
  </si>
  <si>
    <t>007-06-00932</t>
  </si>
  <si>
    <t>Drape Traslúcido Freefall 3.20 Mts (brown)</t>
  </si>
  <si>
    <t>007-06-01632</t>
  </si>
  <si>
    <t>Drape Traslúcido Freefall 3.20 Mts (grey)</t>
  </si>
  <si>
    <t>grey</t>
  </si>
  <si>
    <t>007-06-02032</t>
  </si>
  <si>
    <t>Drape Traslúcido Freefall 3.20 Mts (light grey)</t>
  </si>
  <si>
    <t>light grey</t>
  </si>
  <si>
    <t>007-06-02432</t>
  </si>
  <si>
    <t>Drape Traslúcido Freefall 3.20 Mts (sand)</t>
  </si>
  <si>
    <t>007-06-03132</t>
  </si>
  <si>
    <t>Drape Traslúcido Freefall 3.20 Mts (white)</t>
  </si>
  <si>
    <t>white</t>
  </si>
  <si>
    <t>007-06-00232</t>
  </si>
  <si>
    <t>Drape Traslúcido Freefall 3.20 Mts (beige)</t>
  </si>
  <si>
    <t>007-07-0XXXX</t>
  </si>
  <si>
    <t>Drape Traslúcido Slide 3.05 Mts</t>
  </si>
  <si>
    <t>007-07-00703</t>
  </si>
  <si>
    <t>Drape Traslúcido Slide 3.05 Mts (bone)</t>
  </si>
  <si>
    <t>bone</t>
  </si>
  <si>
    <t>007-07-01203</t>
  </si>
  <si>
    <t>Drape Traslúcido Slide 3.05 Mts (dark)</t>
  </si>
  <si>
    <t>dark</t>
  </si>
  <si>
    <t>007-07-02603</t>
  </si>
  <si>
    <t>Drape Traslúcido Slide 3.05 Mts (smoke)</t>
  </si>
  <si>
    <t>007-07-02703</t>
  </si>
  <si>
    <t>Drape Traslúcido Slide 3.05 Mts (snow)</t>
  </si>
  <si>
    <t>007-07-0X3303</t>
  </si>
  <si>
    <t>Drape Traslúcido Slide 3.05 Mts (wood)</t>
  </si>
  <si>
    <t>007-07-00103</t>
  </si>
  <si>
    <t>Drape Traslúcido Slide 3.05 Mts (almond)</t>
  </si>
  <si>
    <t>almond</t>
  </si>
  <si>
    <t>0-007-08-0XXXX</t>
  </si>
  <si>
    <t>Drape Traslúcido Stones 3.05 Mts</t>
  </si>
  <si>
    <t>0-007-08-01503</t>
  </si>
  <si>
    <t>Drape Traslúcido Stones 3.05 Mts (gold)</t>
  </si>
  <si>
    <t>gold</t>
  </si>
  <si>
    <t>0-007-08-01903</t>
  </si>
  <si>
    <t>Drape Traslúcido Stones 3.05 Mts (iron)</t>
  </si>
  <si>
    <t>iron</t>
  </si>
  <si>
    <t>0-007-08-02503</t>
  </si>
  <si>
    <t>Drape Traslúcido Stones 3.05 Mts (silver)</t>
  </si>
  <si>
    <t>silver</t>
  </si>
  <si>
    <t>0-007-08-00803</t>
  </si>
  <si>
    <t>Drape Traslúcido Stones 3.05 Mts (bronze)</t>
  </si>
  <si>
    <t>bronze</t>
  </si>
  <si>
    <t>black out</t>
  </si>
  <si>
    <t>0-007-09-0XXXX</t>
  </si>
  <si>
    <t>Drape Black Out Nighttime 3.00 Mts</t>
  </si>
  <si>
    <t>T/R 80/20 con revestimiento de silicón</t>
  </si>
  <si>
    <t>0-007-09-02028</t>
  </si>
  <si>
    <t>Drape Black Out Nighttime 3.00 Mts (light grey)</t>
  </si>
  <si>
    <t>0-007-09-03103</t>
  </si>
  <si>
    <t>Drape Black Out Nighttime 3.00 Mts (pearl)</t>
  </si>
  <si>
    <t>0-007-09-02428</t>
  </si>
  <si>
    <t>Drape Black Out Nighttime 3.00 Mts (sand)</t>
  </si>
  <si>
    <t>0-007-09-02303</t>
  </si>
  <si>
    <t>Drape Black Out Nighttime 3.00 Mts (white)</t>
  </si>
  <si>
    <t>0-007-09-01328</t>
  </si>
  <si>
    <t>Drape Black Out Nighttime 3.00 Mts (dark grey)</t>
  </si>
  <si>
    <t>dark grey</t>
  </si>
  <si>
    <t>Drape Black Out Nighttime 2.80 Mts</t>
  </si>
  <si>
    <t>Drape Black Out Nighttime 2.80 Mts (light grey)</t>
  </si>
  <si>
    <t>Drape Black Out Nighttime 2.80 Mts (pearl)</t>
  </si>
  <si>
    <t>Drape Black Out Nighttime 2.8 Mts (sand)</t>
  </si>
  <si>
    <t>Drape Black Out Nighttime 2.80 Mts (white)</t>
  </si>
  <si>
    <t>Drape Black Out Nighttime 2.80 Mts (dark grey)</t>
  </si>
  <si>
    <t>0-007-10-0XXXX</t>
  </si>
  <si>
    <t>Drape Black Out Decorative Night l 2.80 Mts</t>
  </si>
  <si>
    <t>0-007-10-02328</t>
  </si>
  <si>
    <t>Drape Black Out Decorative Night l 2.80 Mts (pearl)</t>
  </si>
  <si>
    <t>0-007-10-02628</t>
  </si>
  <si>
    <t>Drape Black Out Decorative Night l 2.80 Mts (smoke)</t>
  </si>
  <si>
    <t>0-007-10-03328</t>
  </si>
  <si>
    <t>Drape Black Out Decorative Night l 2.80 Mts (wood)</t>
  </si>
  <si>
    <t>0-007-10-01828</t>
  </si>
  <si>
    <t>Drape Black Out Decorative Night l 2.80 Mts (honey)</t>
  </si>
  <si>
    <t>honey</t>
  </si>
  <si>
    <t>007-11-0XXXX</t>
  </si>
  <si>
    <t>Drape Black Out Decorative Night ll 2.80 Mts</t>
  </si>
  <si>
    <t>100% poliester con revestimiento de silicón</t>
  </si>
  <si>
    <t>007-11-02703</t>
  </si>
  <si>
    <t>Drape Black Out Decorative Night ll 2.80 Mts (snow)</t>
  </si>
  <si>
    <t>007-11-01403</t>
  </si>
  <si>
    <t>Drape Black Out Decorative Night ll 2.80 Mts (fossil)</t>
  </si>
  <si>
    <t>fossil</t>
  </si>
  <si>
    <t>007-11-02303</t>
  </si>
  <si>
    <t>Drape Black Out Decorative Night ll 2.80 Mts (pearl)</t>
  </si>
  <si>
    <t>007-11-02403</t>
  </si>
  <si>
    <t>Drape Black Out Decorative Night ll 2.80 Mts (sand)</t>
  </si>
  <si>
    <t>007-11-02603</t>
  </si>
  <si>
    <t>Drape Black Out Decorative Night ll 2.80 Mts (smoke)</t>
  </si>
  <si>
    <t>007-11-02803</t>
  </si>
  <si>
    <t>Drape Black Out Decorative Night ll 2.80 Mts (steel)</t>
  </si>
  <si>
    <t>steel</t>
  </si>
  <si>
    <t>007-11-03303</t>
  </si>
  <si>
    <t>Drape Black Out Decorative Night ll 2.80 Mts (wood)</t>
  </si>
  <si>
    <t>007-11-03103</t>
  </si>
  <si>
    <t>Drape Black Out Decorative Night ll 2.80 Mts (white)</t>
  </si>
  <si>
    <t>0-007-13-0XXXX</t>
  </si>
  <si>
    <t>Drape Traslúcido Scrawls 3.00 Mts</t>
  </si>
  <si>
    <t>0-007-13-02603</t>
  </si>
  <si>
    <t>Drape Traslúcido Scrawls 3.00 Mts (smoke)</t>
  </si>
  <si>
    <t>0-007-13-02703</t>
  </si>
  <si>
    <t>Drape Traslúcido Scrawls 3.00 Mts (snow)</t>
  </si>
  <si>
    <t>0-007-13-03003</t>
  </si>
  <si>
    <t>Drape Traslúcido Scrawls 3.00 Mts (straw)</t>
  </si>
  <si>
    <t>0-007-13-03303</t>
  </si>
  <si>
    <t>Drape Traslúcido Scrawls 3.00 Mts (wood)</t>
  </si>
  <si>
    <t>0-007-13-03503</t>
  </si>
  <si>
    <t>Drape Traslúcido Scrawls 3.00 Mts (lilac)</t>
  </si>
  <si>
    <t>lilac</t>
  </si>
  <si>
    <t>0-007-13-02303</t>
  </si>
  <si>
    <t>Drape Traslúcido Scrawls 3.00 Mts (pearl)</t>
  </si>
  <si>
    <t>0-007-12-0XXXX</t>
  </si>
  <si>
    <t>Drape Traslúcido Stones Scrawls 3.20 Mts</t>
  </si>
  <si>
    <t>0-007-12-01732</t>
  </si>
  <si>
    <t>Drape Traslúcido Stones Scrawls 3.20 Mts (grey)</t>
  </si>
  <si>
    <t>0-007-12-03232</t>
  </si>
  <si>
    <t>Drape Traslúcido Stones Scrawls 3.20 Mts (white)</t>
  </si>
  <si>
    <t>0-007-12-00432</t>
  </si>
  <si>
    <t>Drape Traslúcido Stones Scrawls 3.20 Mts (black)</t>
  </si>
  <si>
    <t>0-007-15-0XXXX</t>
  </si>
  <si>
    <t>Drape Black Out Samt 3.00 Mts</t>
  </si>
  <si>
    <t>100% poliester</t>
  </si>
  <si>
    <t>0-007-15-00303</t>
  </si>
  <si>
    <t>Drape Black Out Samt 3.00 Mts (black)</t>
  </si>
  <si>
    <t>0-007-15-01303</t>
  </si>
  <si>
    <t>Drape Black Out Samt 3.00 Mts (dark grey)</t>
  </si>
  <si>
    <t>0-007-15-02403</t>
  </si>
  <si>
    <t>Drape Black Out Samt 3.00 Mts (sand)</t>
  </si>
  <si>
    <t>0-007-15-03103</t>
  </si>
  <si>
    <t>Drape Black Out Samt 3.00 Mts (white)</t>
  </si>
  <si>
    <t>0-007-15-03603</t>
  </si>
  <si>
    <t>Drape Black Out Samt 3.00 Mts (taupe)</t>
  </si>
  <si>
    <t>taupe</t>
  </si>
  <si>
    <t>0-007-15-03703</t>
  </si>
  <si>
    <t>Drape Black Out Samt 3.00 Mts (coffee)</t>
  </si>
  <si>
    <t>coffee</t>
  </si>
  <si>
    <t>0-007-15-03803</t>
  </si>
  <si>
    <t>Drape Black Out Samt 3.00 Mts (lemon grass)</t>
  </si>
  <si>
    <t>lemon grass</t>
  </si>
  <si>
    <t>0-007-15-03903</t>
  </si>
  <si>
    <t>Drape Black Out Samt 3.00 Mts (navy blue)</t>
  </si>
  <si>
    <t>navy blue</t>
  </si>
  <si>
    <t>0-007-15-04003</t>
  </si>
  <si>
    <t>Drape Black Out Samt 3.00 Mts (asphalt)</t>
  </si>
  <si>
    <t>asphalt</t>
  </si>
  <si>
    <t>0-007-15-00103</t>
  </si>
  <si>
    <t>Drape Black Out Samt 3.00 Mts (almond)</t>
  </si>
  <si>
    <t>0-007-16-0XXXX</t>
  </si>
  <si>
    <t>Drape Traslúcido Veil 3.00 Mts</t>
  </si>
  <si>
    <t>0-007-16-04103</t>
  </si>
  <si>
    <t>Drape Traslúcido Veil 3.00 Mts (pearl grey)</t>
  </si>
  <si>
    <t>pearl gray</t>
  </si>
  <si>
    <t>0-007-16-04203</t>
  </si>
  <si>
    <t>Drape Traslúcido Veil 3.00 Mts (custard)</t>
  </si>
  <si>
    <t>custard</t>
  </si>
  <si>
    <t>0-007-16-03103</t>
  </si>
  <si>
    <t>Drape Traslúcido Veil 3.00 Mts (white)</t>
  </si>
  <si>
    <t>0-007-12-012XX</t>
  </si>
  <si>
    <t>Drape Black Out Decorative Matt 2.80 mts.</t>
  </si>
  <si>
    <t>100% poliester con recubrimiento acrilico</t>
  </si>
  <si>
    <t>0-007-12-01201</t>
  </si>
  <si>
    <t>Drape Black Out Decorative Matt 2.80 mts. (linen)</t>
  </si>
  <si>
    <t xml:space="preserve">linen </t>
  </si>
  <si>
    <t>0-007-12-01202</t>
  </si>
  <si>
    <t>Drape Black Out Decorative Matt 2.80 mts. (shell)</t>
  </si>
  <si>
    <t>shell</t>
  </si>
  <si>
    <t>0-007-12-01203</t>
  </si>
  <si>
    <t>Drape Black Out Decorative Matt 2.80 mts. (cloud)</t>
  </si>
  <si>
    <t>cloud</t>
  </si>
  <si>
    <t>0-007-12-01204</t>
  </si>
  <si>
    <t>Drape Black Out Decorative Matt 2.80 mts. (driftwood)</t>
  </si>
  <si>
    <t>driftwood</t>
  </si>
  <si>
    <t>0-007-12-01205</t>
  </si>
  <si>
    <t>Drape Black Out Decorative Matt 2.80 mts. (charcoal)</t>
  </si>
  <si>
    <t>charcoal</t>
  </si>
  <si>
    <t>0-007-17-1200X</t>
  </si>
  <si>
    <t>Drape Traslúcido Lumina 3.05 mts.</t>
  </si>
  <si>
    <t>0-007-17-12001</t>
  </si>
  <si>
    <t>Drape Traslúcido Lumina 3.05 mts. (white)</t>
  </si>
  <si>
    <t>0-007-17-12002</t>
  </si>
  <si>
    <t>Drape Traslúcido Lumina 3.05 mts. (pearl)</t>
  </si>
  <si>
    <t>0-007-18-1300X</t>
  </si>
  <si>
    <t>Drape Traslúcido Serenity 3.05 mts.</t>
  </si>
  <si>
    <t>Drape Traslúcido Serenity 3.05 mts. (white)</t>
  </si>
  <si>
    <t>Drape Traslúcido Serenity 3.05 mts. (bone)</t>
  </si>
  <si>
    <t>Drape Traslúcido Serenity 3.05 mts. (stone)</t>
  </si>
  <si>
    <t>Drape Traslúcido Serenity 3.05 mts. (sand)</t>
  </si>
  <si>
    <t>0-007-19-1400X</t>
  </si>
  <si>
    <t>Drape Traslúcido Sonne 3.05 mts.</t>
  </si>
  <si>
    <t>0-007-19-14001</t>
  </si>
  <si>
    <t>Drape Traslúcido Sonne 3.05 mts. (snow)</t>
  </si>
  <si>
    <t>0-007-19-14002</t>
  </si>
  <si>
    <t>Drape Traslúcido Sonne 3.05 mts. (beige)</t>
  </si>
  <si>
    <t>0-007-19-14003</t>
  </si>
  <si>
    <t>Drape Traslúcido Sonne 3.05 mts. (stone)</t>
  </si>
  <si>
    <t>0-007-19-14004</t>
  </si>
  <si>
    <t>Drape Traslúcido Sonne 3.05 mts. (light grey)</t>
  </si>
  <si>
    <t>0-007-19-14005</t>
  </si>
  <si>
    <t>Drape Traslúcido Sonne 3.05 mts. (black)</t>
  </si>
  <si>
    <t>0-007-14-1100X</t>
  </si>
  <si>
    <t>Drape Traslúcido Lace 3.20 mts.</t>
  </si>
  <si>
    <t>96% Poliester + 4% Lino</t>
  </si>
  <si>
    <t>0-007-14-11001</t>
  </si>
  <si>
    <t>Drape Traslúcido Lace 3.20 mts. (taupe)</t>
  </si>
  <si>
    <t>0-007-14-11002</t>
  </si>
  <si>
    <t>Drape Traslúcido Lace 3.20 mts. (linen)</t>
  </si>
  <si>
    <t>linen</t>
  </si>
  <si>
    <t>0-007-14-11003</t>
  </si>
  <si>
    <t>Drape Traslúcido Lace 3.20 mts. (grey)</t>
  </si>
  <si>
    <t>0-007-14-11004</t>
  </si>
  <si>
    <t>Drape Traslúcido Lace 3.20 mts. (charcoal)</t>
  </si>
  <si>
    <t>A</t>
  </si>
  <si>
    <t>B</t>
  </si>
  <si>
    <t>C</t>
  </si>
  <si>
    <t>D</t>
  </si>
  <si>
    <t>Blackout</t>
  </si>
  <si>
    <t>SHORT DESCRIPTION</t>
  </si>
  <si>
    <t xml:space="preserve">ANCHO </t>
  </si>
  <si>
    <t>TELA DE LINEA (COMPRADA POR BWS A VERTILUX MEXICO)</t>
  </si>
  <si>
    <t>LINE-VTLUX</t>
  </si>
  <si>
    <t>BO TAN</t>
  </si>
  <si>
    <t>SHEER LUXURY</t>
  </si>
  <si>
    <t>VERTILUX</t>
  </si>
  <si>
    <t>precios trasladado a rollo de 54"</t>
  </si>
  <si>
    <t>110, 118</t>
  </si>
  <si>
    <t>GROUP 1</t>
  </si>
  <si>
    <t>GROUP 2</t>
  </si>
  <si>
    <t>GROUP 3</t>
  </si>
  <si>
    <t>GROUP 4</t>
  </si>
  <si>
    <t>BLACKOUT</t>
  </si>
  <si>
    <t>BO-VTX-NIGHTTIME</t>
  </si>
  <si>
    <t>BO-VTX-DEC. MATT</t>
  </si>
  <si>
    <t>BO-VTX-DEC. NIGHT I</t>
  </si>
  <si>
    <t>BO-VTX-DEC. NIGHT II</t>
  </si>
  <si>
    <t>SH-VTX-LUMINA</t>
  </si>
  <si>
    <t>SH-VTX-SLIDE</t>
  </si>
  <si>
    <t>SH-VTX-FREEFALL</t>
  </si>
  <si>
    <t>SH-VTX-SONNE</t>
  </si>
  <si>
    <t>SH-VTX-LACE</t>
  </si>
  <si>
    <t>SH-VTX-SERENITY</t>
  </si>
  <si>
    <t>SH-VTX-DINING</t>
  </si>
  <si>
    <t>SH-VTX-SMOOTH</t>
  </si>
  <si>
    <t>SH-VTX-VEIL</t>
  </si>
  <si>
    <t>SH-VTX-STRIPES</t>
  </si>
  <si>
    <t>SH-VTX-LIVING</t>
  </si>
  <si>
    <t>SH-VTX-STONES SCRAWLS</t>
  </si>
  <si>
    <t>SH-VTX-SCRAWLS</t>
  </si>
  <si>
    <t>LINE-ATELIER</t>
  </si>
  <si>
    <t>COSTO UNITARIO $$</t>
  </si>
  <si>
    <t>PRECIO DE LISTA</t>
  </si>
  <si>
    <t>% DESCUENTO</t>
  </si>
  <si>
    <t>pesos</t>
  </si>
  <si>
    <t>dlls.</t>
  </si>
  <si>
    <t>conversion dlls</t>
  </si>
  <si>
    <t>veil</t>
  </si>
  <si>
    <t>PLATA</t>
  </si>
  <si>
    <t>MU 40/40/30</t>
  </si>
  <si>
    <t>VERTILUX VS BWS</t>
  </si>
  <si>
    <t>% COST UP</t>
  </si>
  <si>
    <t>TELAS LINEA - ATELIER Y HANES</t>
  </si>
  <si>
    <t>TELAS LINEA - VERTILUX</t>
  </si>
  <si>
    <t>RETAIL SELL PER YARD</t>
  </si>
  <si>
    <t>TRACKS</t>
  </si>
  <si>
    <t>COST AVERAGE PER LN. FT.</t>
  </si>
  <si>
    <t>COSTING CALCULATIONS FOR MILLENIUM DECO HW BY MYDR  (APRIL-19-22)</t>
  </si>
  <si>
    <t/>
  </si>
  <si>
    <t>CORTINAS</t>
  </si>
  <si>
    <t>`</t>
  </si>
  <si>
    <t>ANALISIS DE COSTEO BWS VS VERTILUX</t>
  </si>
  <si>
    <t>HOJA DE CONTROL DE MARK UP's</t>
  </si>
  <si>
    <t>Proporcion=</t>
  </si>
  <si>
    <t>costo</t>
  </si>
  <si>
    <t>SELL LN. FT.</t>
  </si>
  <si>
    <t>SELL LN.FT.</t>
  </si>
  <si>
    <t>monto de ahorro y luego descuento.</t>
  </si>
  <si>
    <t>CRITERIOS DE DESCUENTOS</t>
  </si>
  <si>
    <t>maximo descuento a venta a Decoradores</t>
  </si>
  <si>
    <t>maximo descuento venta Residencial</t>
  </si>
  <si>
    <t>ADICIONAL .- En el caso de vender con tela de Stock en lugar de tela de Linea y/o Vertilux</t>
  </si>
  <si>
    <t>RESIDENCIAL</t>
  </si>
  <si>
    <t>DECORADORES</t>
  </si>
  <si>
    <t>TIPO DE VENTA</t>
  </si>
  <si>
    <t>SALE TYPE</t>
  </si>
  <si>
    <t>CON DESCUENTO</t>
  </si>
  <si>
    <t>PRECIO CON DESCUENTO</t>
  </si>
  <si>
    <t xml:space="preserve"> DECORATORS</t>
  </si>
  <si>
    <t>RESIDENTIAL</t>
  </si>
  <si>
    <t xml:space="preserve"> DECORADORES</t>
  </si>
  <si>
    <t>30% RESIDENCIAL</t>
  </si>
  <si>
    <t>50% DECORADORES</t>
  </si>
  <si>
    <t>2-WAY PNL</t>
  </si>
  <si>
    <t>PNL-2WAY</t>
  </si>
  <si>
    <t>STD. TRACK -P.P.- BATON</t>
  </si>
  <si>
    <t>STD. TRACK - RIPP. -BATON</t>
  </si>
  <si>
    <t>HOTELERO - BASTON - P.P.</t>
  </si>
  <si>
    <t>HOTELERO - BASTON - RIPP.</t>
  </si>
  <si>
    <t>STD. TRACK -P.P.- CORD</t>
  </si>
  <si>
    <t>STD. TRACK -RIPP.- CORD</t>
  </si>
  <si>
    <t>HOTELERO - CORDON-P.P.</t>
  </si>
  <si>
    <t>HOTELERO - CORDON-RIPP.</t>
  </si>
  <si>
    <t>% DESCTO.</t>
  </si>
  <si>
    <t>DRAPES+HW</t>
  </si>
  <si>
    <t>A LA VISTA</t>
  </si>
  <si>
    <t>FILTRAR PARA RENGLONES DESEADOS EN COTIZACION</t>
  </si>
  <si>
    <t>BWSJAHZ1971</t>
  </si>
  <si>
    <t xml:space="preserve">RICARDO GARCIA </t>
  </si>
  <si>
    <t xml:space="preserve">BLANCO </t>
  </si>
  <si>
    <t xml:space="preserve">REINA 1 SALA </t>
  </si>
  <si>
    <t xml:space="preserve">REINA 1 RECAMARA </t>
  </si>
  <si>
    <t xml:space="preserve">REINA 1 COCINA </t>
  </si>
  <si>
    <t xml:space="preserve">REINA 2 SALA </t>
  </si>
  <si>
    <t xml:space="preserve">REINA 2 RECAMARA </t>
  </si>
  <si>
    <t xml:space="preserve">REINA 2 COCINA </t>
  </si>
  <si>
    <t xml:space="preserve">REINA 3 SALA </t>
  </si>
  <si>
    <t xml:space="preserve">REINA 3 RECAMARA </t>
  </si>
  <si>
    <t xml:space="preserve">REINA 3 COCINA </t>
  </si>
  <si>
    <t xml:space="preserve">REINA 4 SALA </t>
  </si>
  <si>
    <t xml:space="preserve">REINA 4 RECAMARA </t>
  </si>
  <si>
    <t xml:space="preserve">REINA 4 COCINA </t>
  </si>
  <si>
    <t xml:space="preserve">DUQUESA 1- 2  SALA </t>
  </si>
  <si>
    <t xml:space="preserve">DUQUESA 1-2 RECAMARA </t>
  </si>
  <si>
    <t xml:space="preserve">DUQUESA 2- 2  SALA </t>
  </si>
  <si>
    <t xml:space="preserve">DUQUESA 2-2 RECAMARA </t>
  </si>
  <si>
    <t xml:space="preserve">DUQUESA 3- 2  SALA </t>
  </si>
  <si>
    <t xml:space="preserve">DUQUESA 3-2 RECAMARA </t>
  </si>
  <si>
    <t xml:space="preserve">DUQUESA 1-1 RECAMARA </t>
  </si>
  <si>
    <t xml:space="preserve">DUQUESA 1-1 SALA </t>
  </si>
  <si>
    <t xml:space="preserve">DUQUESA 2-1 RECAMARA </t>
  </si>
  <si>
    <t xml:space="preserve">DUQUESA 2-1 SALA </t>
  </si>
  <si>
    <t xml:space="preserve">DUQUESA 3-1 RECAMARA </t>
  </si>
  <si>
    <t xml:space="preserve">DUQUESA 3-1 SALA </t>
  </si>
  <si>
    <t xml:space="preserve">DUQUESA 4-1 RECAMARA </t>
  </si>
  <si>
    <t xml:space="preserve">DUQUESA 4-1 SALA </t>
  </si>
  <si>
    <t xml:space="preserve">DUQUESA 4- 2  SALA </t>
  </si>
  <si>
    <t xml:space="preserve">DUQUESA 4-2 RECAMARA </t>
  </si>
  <si>
    <t xml:space="preserve">CABAÑAS NANGI </t>
  </si>
  <si>
    <t xml:space="preserve">JENNIFER / ALAN </t>
  </si>
  <si>
    <t>32°05'51.7"N 116°37'58.7"W</t>
  </si>
  <si>
    <t xml:space="preserve"> 664 241 2622</t>
  </si>
  <si>
    <t xml:space="preserve">SHEER BATISTE STONEWASHED </t>
  </si>
  <si>
    <t xml:space="preserve">CRETA SHELL </t>
  </si>
  <si>
    <t xml:space="preserve">BS 250722 D  REV 4  </t>
  </si>
  <si>
    <t xml:space="preserve">IVA 8% </t>
  </si>
  <si>
    <t>IVA 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</si>
</sst>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4" formatCode="0.000"/>
    <numFmt numFmtId="165" formatCode="[$-409]dd\-mmm\-yy;@"/>
    <numFmt numFmtId="166" formatCode="_-&quot;$&quot;* #,##0.00_-;\-&quot;$&quot;* #,##0.00_-;_-&quot;$&quot;* &quot;-&quot;??_-;_-@_-"/>
    <numFmt numFmtId="167" formatCode="&quot;$&quot;#,##0.00"/>
    <numFmt numFmtId="168" formatCode="0.0"/>
    <numFmt numFmtId="169" formatCode="[$-409]d\-mmm\-yy;@"/>
    <numFmt numFmtId="170" formatCode="0.0%"/>
    <numFmt numFmtId="171" formatCode="0.0000"/>
    <numFmt numFmtId="172" formatCode="0.000%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name val="Calibri"/>
      <family val="2"/>
      <scheme val="minor"/>
    </font>
    <font>
      <sz val="13"/>
      <color rgb="FF222222"/>
      <name val="Arial"/>
      <family val="2"/>
    </font>
    <font>
      <sz val="12"/>
      <color theme="1"/>
      <name val="Verdana"/>
      <family val="2"/>
    </font>
    <font>
      <b/>
      <sz val="14"/>
      <color rgb="FF0000FF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Gabriola"/>
      <family val="5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36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18"/>
      <color theme="1"/>
      <name val="Gabriola"/>
      <family val="5"/>
    </font>
    <font>
      <b/>
      <sz val="22"/>
      <color theme="0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rgb="FF0000FF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1"/>
      <color rgb="FF313949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EEC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theme="5"/>
      </bottom>
      <diagonal/>
    </border>
    <border>
      <left/>
      <right/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49" fillId="0" borderId="0"/>
    <xf numFmtId="0" fontId="1" fillId="0" borderId="0"/>
  </cellStyleXfs>
  <cellXfs count="989">
    <xf numFmtId="0" fontId="0" fillId="0" borderId="0" xfId="0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8" fillId="0" borderId="0" xfId="0" applyFont="1"/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2" fontId="10" fillId="0" borderId="0" xfId="0" applyNumberFormat="1" applyFon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44" fontId="10" fillId="0" borderId="0" xfId="1" applyFont="1"/>
    <xf numFmtId="44" fontId="0" fillId="0" borderId="1" xfId="0" applyNumberFormat="1" applyBorder="1"/>
    <xf numFmtId="44" fontId="10" fillId="0" borderId="1" xfId="1" applyFont="1" applyBorder="1"/>
    <xf numFmtId="44" fontId="0" fillId="4" borderId="1" xfId="0" applyNumberFormat="1" applyFill="1" applyBorder="1"/>
    <xf numFmtId="0" fontId="9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4" fontId="0" fillId="0" borderId="2" xfId="0" applyNumberFormat="1" applyBorder="1"/>
    <xf numFmtId="44" fontId="10" fillId="0" borderId="2" xfId="1" applyFont="1" applyBorder="1"/>
    <xf numFmtId="44" fontId="0" fillId="4" borderId="2" xfId="0" applyNumberFormat="1" applyFill="1" applyBorder="1"/>
    <xf numFmtId="0" fontId="0" fillId="0" borderId="2" xfId="0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0" fillId="0" borderId="9" xfId="0" applyNumberFormat="1" applyBorder="1"/>
    <xf numFmtId="2" fontId="0" fillId="0" borderId="5" xfId="0" applyNumberFormat="1" applyBorder="1" applyAlignment="1">
      <alignment horizontal="center"/>
    </xf>
    <xf numFmtId="44" fontId="0" fillId="0" borderId="6" xfId="0" applyNumberFormat="1" applyBorder="1"/>
    <xf numFmtId="0" fontId="0" fillId="0" borderId="16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0" borderId="13" xfId="0" applyBorder="1"/>
    <xf numFmtId="44" fontId="10" fillId="0" borderId="13" xfId="1" applyFont="1" applyFill="1" applyBorder="1" applyAlignment="1">
      <alignment horizontal="center"/>
    </xf>
    <xf numFmtId="9" fontId="10" fillId="0" borderId="13" xfId="2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9" fontId="10" fillId="4" borderId="13" xfId="2" applyFont="1" applyFill="1" applyBorder="1" applyAlignment="1">
      <alignment horizontal="center"/>
    </xf>
    <xf numFmtId="9" fontId="13" fillId="4" borderId="13" xfId="2" applyFont="1" applyFill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44" fontId="0" fillId="0" borderId="24" xfId="0" applyNumberFormat="1" applyBorder="1"/>
    <xf numFmtId="44" fontId="0" fillId="0" borderId="16" xfId="0" applyNumberFormat="1" applyBorder="1"/>
    <xf numFmtId="9" fontId="14" fillId="0" borderId="13" xfId="2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4" fontId="2" fillId="0" borderId="4" xfId="0" applyNumberFormat="1" applyFont="1" applyBorder="1"/>
    <xf numFmtId="44" fontId="2" fillId="0" borderId="6" xfId="0" applyNumberFormat="1" applyFont="1" applyBorder="1"/>
    <xf numFmtId="1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20" xfId="0" applyFont="1" applyBorder="1" applyAlignment="1">
      <alignment horizontal="center"/>
    </xf>
    <xf numFmtId="2" fontId="6" fillId="2" borderId="29" xfId="3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2" fontId="19" fillId="0" borderId="0" xfId="3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7" borderId="2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2" fontId="0" fillId="8" borderId="9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164" fontId="0" fillId="9" borderId="2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2" fontId="6" fillId="0" borderId="0" xfId="3" applyNumberFormat="1" applyFont="1" applyFill="1" applyBorder="1" applyAlignment="1">
      <alignment horizontal="center"/>
    </xf>
    <xf numFmtId="0" fontId="17" fillId="0" borderId="0" xfId="0" applyFont="1"/>
    <xf numFmtId="167" fontId="19" fillId="0" borderId="0" xfId="3" applyNumberFormat="1" applyFont="1" applyFill="1" applyBorder="1" applyAlignment="1">
      <alignment horizontal="center" vertical="center"/>
    </xf>
    <xf numFmtId="2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3" borderId="7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44" fontId="18" fillId="0" borderId="4" xfId="1" applyFont="1" applyBorder="1" applyAlignment="1">
      <alignment vertical="center"/>
    </xf>
    <xf numFmtId="44" fontId="18" fillId="0" borderId="6" xfId="1" applyFont="1" applyBorder="1" applyAlignment="1">
      <alignment vertical="center"/>
    </xf>
    <xf numFmtId="44" fontId="18" fillId="0" borderId="8" xfId="1" applyFont="1" applyBorder="1" applyAlignment="1">
      <alignment vertical="center"/>
    </xf>
    <xf numFmtId="1" fontId="18" fillId="6" borderId="32" xfId="0" applyNumberFormat="1" applyFont="1" applyFill="1" applyBorder="1" applyAlignment="1">
      <alignment horizontal="center" vertical="center"/>
    </xf>
    <xf numFmtId="168" fontId="18" fillId="0" borderId="3" xfId="0" applyNumberFormat="1" applyFont="1" applyBorder="1" applyAlignment="1">
      <alignment horizontal="center" vertical="center"/>
    </xf>
    <xf numFmtId="168" fontId="18" fillId="0" borderId="5" xfId="0" applyNumberFormat="1" applyFont="1" applyBorder="1" applyAlignment="1">
      <alignment horizontal="center" vertical="center"/>
    </xf>
    <xf numFmtId="168" fontId="18" fillId="0" borderId="7" xfId="0" applyNumberFormat="1" applyFont="1" applyBorder="1" applyAlignment="1">
      <alignment horizontal="center" vertical="center"/>
    </xf>
    <xf numFmtId="2" fontId="6" fillId="2" borderId="37" xfId="3" applyNumberFormat="1" applyFont="1" applyFill="1" applyBorder="1" applyAlignment="1">
      <alignment horizontal="center"/>
    </xf>
    <xf numFmtId="1" fontId="18" fillId="6" borderId="31" xfId="0" applyNumberFormat="1" applyFont="1" applyFill="1" applyBorder="1" applyAlignment="1">
      <alignment horizontal="center" vertical="center"/>
    </xf>
    <xf numFmtId="1" fontId="18" fillId="6" borderId="34" xfId="0" applyNumberFormat="1" applyFont="1" applyFill="1" applyBorder="1" applyAlignment="1">
      <alignment horizontal="center" vertical="center"/>
    </xf>
    <xf numFmtId="167" fontId="19" fillId="0" borderId="42" xfId="3" applyNumberFormat="1" applyFont="1" applyBorder="1" applyAlignment="1">
      <alignment horizontal="center" vertical="center"/>
    </xf>
    <xf numFmtId="167" fontId="19" fillId="0" borderId="43" xfId="3" applyNumberFormat="1" applyFont="1" applyBorder="1" applyAlignment="1">
      <alignment horizontal="center" vertical="center"/>
    </xf>
    <xf numFmtId="167" fontId="19" fillId="0" borderId="44" xfId="3" applyNumberFormat="1" applyFont="1" applyBorder="1" applyAlignment="1">
      <alignment horizontal="center" vertical="center"/>
    </xf>
    <xf numFmtId="167" fontId="19" fillId="0" borderId="45" xfId="3" applyNumberFormat="1" applyFont="1" applyBorder="1" applyAlignment="1">
      <alignment horizontal="center" vertical="center"/>
    </xf>
    <xf numFmtId="167" fontId="19" fillId="0" borderId="46" xfId="3" applyNumberFormat="1" applyFont="1" applyBorder="1" applyAlignment="1">
      <alignment horizontal="center" vertical="center"/>
    </xf>
    <xf numFmtId="167" fontId="19" fillId="0" borderId="47" xfId="3" applyNumberFormat="1" applyFont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0" fontId="6" fillId="0" borderId="20" xfId="0" applyFont="1" applyBorder="1" applyAlignment="1">
      <alignment horizontal="left"/>
    </xf>
    <xf numFmtId="0" fontId="18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1" fontId="18" fillId="6" borderId="30" xfId="0" applyNumberFormat="1" applyFont="1" applyFill="1" applyBorder="1" applyAlignment="1">
      <alignment horizontal="center" vertical="center"/>
    </xf>
    <xf numFmtId="1" fontId="18" fillId="6" borderId="28" xfId="0" applyNumberFormat="1" applyFont="1" applyFill="1" applyBorder="1" applyAlignment="1">
      <alignment horizontal="center" vertical="center"/>
    </xf>
    <xf numFmtId="167" fontId="19" fillId="0" borderId="36" xfId="3" applyNumberFormat="1" applyFont="1" applyBorder="1" applyAlignment="1">
      <alignment horizontal="center" vertical="center"/>
    </xf>
    <xf numFmtId="167" fontId="19" fillId="0" borderId="40" xfId="3" applyNumberFormat="1" applyFont="1" applyBorder="1" applyAlignment="1">
      <alignment horizontal="center" vertical="center"/>
    </xf>
    <xf numFmtId="167" fontId="19" fillId="0" borderId="41" xfId="3" applyNumberFormat="1" applyFont="1" applyBorder="1" applyAlignment="1">
      <alignment horizontal="center" vertical="center"/>
    </xf>
    <xf numFmtId="167" fontId="19" fillId="0" borderId="49" xfId="3" applyNumberFormat="1" applyFont="1" applyBorder="1" applyAlignment="1">
      <alignment horizontal="center" vertical="center"/>
    </xf>
    <xf numFmtId="2" fontId="6" fillId="2" borderId="20" xfId="3" applyNumberFormat="1" applyFont="1" applyFill="1" applyBorder="1" applyAlignment="1">
      <alignment horizontal="center"/>
    </xf>
    <xf numFmtId="2" fontId="6" fillId="2" borderId="39" xfId="3" applyNumberFormat="1" applyFont="1" applyFill="1" applyBorder="1" applyAlignment="1">
      <alignment horizontal="center"/>
    </xf>
    <xf numFmtId="0" fontId="16" fillId="4" borderId="39" xfId="0" applyFont="1" applyFill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65" fontId="13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2" fontId="0" fillId="8" borderId="10" xfId="0" applyNumberForma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2" fillId="2" borderId="23" xfId="0" applyNumberFormat="1" applyFont="1" applyFill="1" applyBorder="1" applyAlignment="1">
      <alignment horizontal="center"/>
    </xf>
    <xf numFmtId="164" fontId="2" fillId="2" borderId="14" xfId="0" applyNumberFormat="1" applyFont="1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4" fontId="2" fillId="0" borderId="8" xfId="0" applyNumberFormat="1" applyFont="1" applyBorder="1"/>
    <xf numFmtId="164" fontId="2" fillId="3" borderId="3" xfId="0" applyNumberFormat="1" applyFon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2" fillId="3" borderId="23" xfId="0" applyNumberFormat="1" applyFont="1" applyFill="1" applyBorder="1" applyAlignment="1">
      <alignment horizontal="center"/>
    </xf>
    <xf numFmtId="164" fontId="2" fillId="3" borderId="14" xfId="0" applyNumberFormat="1" applyFont="1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164" fontId="2" fillId="7" borderId="3" xfId="0" applyNumberFormat="1" applyFont="1" applyFill="1" applyBorder="1" applyAlignment="1">
      <alignment horizontal="center"/>
    </xf>
    <xf numFmtId="164" fontId="0" fillId="7" borderId="9" xfId="0" applyNumberFormat="1" applyFill="1" applyBorder="1" applyAlignment="1">
      <alignment horizontal="center"/>
    </xf>
    <xf numFmtId="164" fontId="2" fillId="7" borderId="23" xfId="0" applyNumberFormat="1" applyFont="1" applyFill="1" applyBorder="1" applyAlignment="1">
      <alignment horizontal="center"/>
    </xf>
    <xf numFmtId="164" fontId="2" fillId="7" borderId="14" xfId="0" applyNumberFormat="1" applyFont="1" applyFill="1" applyBorder="1" applyAlignment="1">
      <alignment horizontal="center"/>
    </xf>
    <xf numFmtId="164" fontId="0" fillId="7" borderId="16" xfId="0" applyNumberForma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64" fontId="0" fillId="5" borderId="9" xfId="0" applyNumberFormat="1" applyFill="1" applyBorder="1" applyAlignment="1">
      <alignment horizontal="center"/>
    </xf>
    <xf numFmtId="164" fontId="2" fillId="5" borderId="23" xfId="0" applyNumberFormat="1" applyFont="1" applyFill="1" applyBorder="1" applyAlignment="1">
      <alignment horizontal="center"/>
    </xf>
    <xf numFmtId="164" fontId="2" fillId="5" borderId="14" xfId="0" applyNumberFormat="1" applyFont="1" applyFill="1" applyBorder="1" applyAlignment="1">
      <alignment horizontal="center"/>
    </xf>
    <xf numFmtId="164" fontId="0" fillId="5" borderId="16" xfId="0" applyNumberFormat="1" applyFill="1" applyBorder="1" applyAlignment="1">
      <alignment horizontal="center"/>
    </xf>
    <xf numFmtId="164" fontId="2" fillId="9" borderId="3" xfId="0" applyNumberFormat="1" applyFont="1" applyFill="1" applyBorder="1" applyAlignment="1">
      <alignment horizontal="center"/>
    </xf>
    <xf numFmtId="164" fontId="0" fillId="9" borderId="9" xfId="0" applyNumberFormat="1" applyFill="1" applyBorder="1" applyAlignment="1">
      <alignment horizontal="center"/>
    </xf>
    <xf numFmtId="164" fontId="2" fillId="9" borderId="23" xfId="0" applyNumberFormat="1" applyFont="1" applyFill="1" applyBorder="1" applyAlignment="1">
      <alignment horizontal="center"/>
    </xf>
    <xf numFmtId="164" fontId="2" fillId="9" borderId="14" xfId="0" applyNumberFormat="1" applyFont="1" applyFill="1" applyBorder="1" applyAlignment="1">
      <alignment horizontal="center"/>
    </xf>
    <xf numFmtId="164" fontId="0" fillId="9" borderId="16" xfId="0" applyNumberFormat="1" applyFill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9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2" fillId="8" borderId="9" xfId="0" applyNumberFormat="1" applyFont="1" applyFill="1" applyBorder="1" applyAlignment="1">
      <alignment horizontal="center"/>
    </xf>
    <xf numFmtId="44" fontId="10" fillId="0" borderId="0" xfId="1" applyFont="1" applyAlignment="1">
      <alignment horizontal="center"/>
    </xf>
    <xf numFmtId="44" fontId="20" fillId="0" borderId="3" xfId="1" applyFont="1" applyBorder="1"/>
    <xf numFmtId="44" fontId="20" fillId="0" borderId="5" xfId="1" applyFont="1" applyBorder="1"/>
    <xf numFmtId="44" fontId="20" fillId="0" borderId="7" xfId="1" applyFont="1" applyBorder="1"/>
    <xf numFmtId="2" fontId="2" fillId="0" borderId="9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44" fontId="20" fillId="0" borderId="9" xfId="1" applyFont="1" applyBorder="1"/>
    <xf numFmtId="44" fontId="20" fillId="0" borderId="1" xfId="1" applyFont="1" applyBorder="1"/>
    <xf numFmtId="44" fontId="20" fillId="0" borderId="10" xfId="1" applyFont="1" applyBorder="1"/>
    <xf numFmtId="0" fontId="0" fillId="0" borderId="0" xfId="0" applyProtection="1">
      <protection locked="0"/>
    </xf>
    <xf numFmtId="164" fontId="10" fillId="0" borderId="35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0" fillId="0" borderId="5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71" xfId="0" applyFont="1" applyBorder="1" applyAlignment="1" applyProtection="1">
      <alignment horizontal="center" vertical="center" wrapText="1"/>
      <protection locked="0"/>
    </xf>
    <xf numFmtId="0" fontId="17" fillId="4" borderId="50" xfId="0" applyFont="1" applyFill="1" applyBorder="1" applyAlignment="1" applyProtection="1">
      <alignment horizontal="center"/>
      <protection locked="0"/>
    </xf>
    <xf numFmtId="0" fontId="17" fillId="4" borderId="52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6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10" fillId="0" borderId="66" xfId="0" applyFont="1" applyBorder="1" applyAlignment="1" applyProtection="1">
      <alignment horizontal="center" vertical="center"/>
      <protection locked="0"/>
    </xf>
    <xf numFmtId="0" fontId="10" fillId="0" borderId="63" xfId="0" applyFont="1" applyBorder="1" applyAlignment="1" applyProtection="1">
      <alignment horizontal="center" vertical="center"/>
      <protection locked="0"/>
    </xf>
    <xf numFmtId="0" fontId="25" fillId="0" borderId="30" xfId="0" applyFont="1" applyBorder="1" applyAlignment="1" applyProtection="1">
      <alignment vertical="center"/>
      <protection locked="0"/>
    </xf>
    <xf numFmtId="0" fontId="0" fillId="0" borderId="30" xfId="0" applyBorder="1" applyProtection="1"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46" fillId="0" borderId="16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7" xfId="0" applyBorder="1" applyAlignment="1" applyProtection="1">
      <alignment vertical="center"/>
      <protection locked="0"/>
    </xf>
    <xf numFmtId="0" fontId="0" fillId="0" borderId="78" xfId="0" applyBorder="1" applyAlignment="1" applyProtection="1">
      <alignment vertical="center"/>
      <protection locked="0"/>
    </xf>
    <xf numFmtId="0" fontId="39" fillId="0" borderId="78" xfId="0" applyFont="1" applyBorder="1" applyAlignment="1" applyProtection="1">
      <alignment vertical="center"/>
      <protection locked="0"/>
    </xf>
    <xf numFmtId="0" fontId="18" fillId="0" borderId="78" xfId="0" applyFont="1" applyBorder="1" applyAlignment="1" applyProtection="1">
      <alignment horizontal="right" vertical="center"/>
      <protection locked="0"/>
    </xf>
    <xf numFmtId="0" fontId="32" fillId="2" borderId="79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4" fillId="0" borderId="49" xfId="0" applyFont="1" applyBorder="1" applyProtection="1">
      <protection locked="0"/>
    </xf>
    <xf numFmtId="0" fontId="0" fillId="15" borderId="0" xfId="0" applyFill="1" applyProtection="1">
      <protection locked="0"/>
    </xf>
    <xf numFmtId="0" fontId="29" fillId="0" borderId="20" xfId="0" applyFont="1" applyBorder="1" applyAlignment="1" applyProtection="1">
      <alignment horizontal="right" vertical="center"/>
      <protection locked="0"/>
    </xf>
    <xf numFmtId="0" fontId="27" fillId="0" borderId="52" xfId="0" applyFont="1" applyBorder="1" applyAlignment="1" applyProtection="1">
      <alignment horizontal="center" vertical="center"/>
      <protection locked="0"/>
    </xf>
    <xf numFmtId="44" fontId="27" fillId="3" borderId="39" xfId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10" fillId="2" borderId="73" xfId="0" applyFont="1" applyFill="1" applyBorder="1" applyProtection="1">
      <protection locked="0"/>
    </xf>
    <xf numFmtId="0" fontId="0" fillId="0" borderId="73" xfId="0" applyBorder="1" applyProtection="1">
      <protection locked="0"/>
    </xf>
    <xf numFmtId="0" fontId="10" fillId="2" borderId="80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49" xfId="0" applyFont="1" applyBorder="1" applyAlignment="1" applyProtection="1">
      <alignment horizontal="center"/>
      <protection locked="0"/>
    </xf>
    <xf numFmtId="0" fontId="0" fillId="0" borderId="49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40" fillId="2" borderId="73" xfId="4" applyFont="1" applyFill="1" applyBorder="1" applyAlignment="1" applyProtection="1">
      <protection locked="0"/>
    </xf>
    <xf numFmtId="169" fontId="10" fillId="2" borderId="80" xfId="0" applyNumberFormat="1" applyFont="1" applyFill="1" applyBorder="1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0" fontId="0" fillId="0" borderId="29" xfId="0" applyBorder="1" applyProtection="1">
      <protection locked="0"/>
    </xf>
    <xf numFmtId="0" fontId="0" fillId="0" borderId="70" xfId="0" applyBorder="1" applyProtection="1">
      <protection locked="0"/>
    </xf>
    <xf numFmtId="0" fontId="0" fillId="0" borderId="69" xfId="0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30" fillId="0" borderId="23" xfId="0" applyFont="1" applyBorder="1" applyAlignment="1" applyProtection="1">
      <alignment horizontal="center"/>
      <protection locked="0"/>
    </xf>
    <xf numFmtId="0" fontId="30" fillId="0" borderId="5" xfId="0" applyFont="1" applyBorder="1" applyAlignment="1" applyProtection="1">
      <alignment horizontal="center"/>
      <protection locked="0"/>
    </xf>
    <xf numFmtId="0" fontId="31" fillId="16" borderId="20" xfId="0" applyFont="1" applyFill="1" applyBorder="1" applyAlignment="1" applyProtection="1">
      <alignment horizontal="center" vertical="center"/>
      <protection locked="0"/>
    </xf>
    <xf numFmtId="0" fontId="31" fillId="16" borderId="21" xfId="0" applyFont="1" applyFill="1" applyBorder="1" applyAlignment="1" applyProtection="1">
      <alignment vertical="center"/>
      <protection locked="0"/>
    </xf>
    <xf numFmtId="0" fontId="31" fillId="16" borderId="22" xfId="0" applyFont="1" applyFill="1" applyBorder="1" applyAlignment="1" applyProtection="1">
      <alignment vertical="center"/>
      <protection locked="0"/>
    </xf>
    <xf numFmtId="0" fontId="30" fillId="0" borderId="3" xfId="0" applyFont="1" applyBorder="1" applyAlignment="1" applyProtection="1">
      <alignment horizontal="center"/>
      <protection locked="0"/>
    </xf>
    <xf numFmtId="0" fontId="0" fillId="15" borderId="61" xfId="0" applyFill="1" applyBorder="1" applyAlignment="1" applyProtection="1">
      <alignment horizontal="left" vertical="center"/>
      <protection locked="0"/>
    </xf>
    <xf numFmtId="0" fontId="0" fillId="15" borderId="61" xfId="0" applyFill="1" applyBorder="1" applyAlignment="1" applyProtection="1">
      <alignment horizontal="center" vertical="center"/>
      <protection locked="0"/>
    </xf>
    <xf numFmtId="166" fontId="10" fillId="2" borderId="9" xfId="3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Alignment="1" applyProtection="1">
      <alignment horizontal="left" vertical="center"/>
      <protection locked="0"/>
    </xf>
    <xf numFmtId="0" fontId="0" fillId="15" borderId="60" xfId="0" applyFill="1" applyBorder="1" applyAlignment="1" applyProtection="1">
      <alignment horizontal="center" vertical="center"/>
      <protection locked="0"/>
    </xf>
    <xf numFmtId="166" fontId="10" fillId="2" borderId="1" xfId="3" applyFont="1" applyFill="1" applyBorder="1" applyAlignment="1" applyProtection="1">
      <alignment horizontal="center" vertical="center"/>
      <protection locked="0"/>
    </xf>
    <xf numFmtId="0" fontId="30" fillId="0" borderId="7" xfId="0" applyFont="1" applyBorder="1" applyAlignment="1" applyProtection="1">
      <alignment horizontal="center"/>
      <protection locked="0"/>
    </xf>
    <xf numFmtId="0" fontId="0" fillId="15" borderId="76" xfId="0" applyFill="1" applyBorder="1" applyAlignment="1" applyProtection="1">
      <alignment horizontal="left" vertical="center"/>
      <protection locked="0"/>
    </xf>
    <xf numFmtId="0" fontId="0" fillId="15" borderId="76" xfId="0" applyFill="1" applyBorder="1" applyAlignment="1" applyProtection="1">
      <alignment horizontal="center" vertical="center"/>
      <protection locked="0"/>
    </xf>
    <xf numFmtId="166" fontId="10" fillId="2" borderId="10" xfId="3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right" vertical="center"/>
      <protection locked="0"/>
    </xf>
    <xf numFmtId="0" fontId="0" fillId="15" borderId="0" xfId="0" applyFill="1" applyAlignment="1" applyProtection="1">
      <alignment horizontal="center" vertical="center"/>
      <protection locked="0"/>
    </xf>
    <xf numFmtId="0" fontId="0" fillId="15" borderId="70" xfId="0" applyFill="1" applyBorder="1" applyAlignment="1" applyProtection="1">
      <alignment horizontal="center" vertical="center"/>
      <protection locked="0"/>
    </xf>
    <xf numFmtId="0" fontId="0" fillId="15" borderId="31" xfId="0" applyFill="1" applyBorder="1" applyProtection="1">
      <protection locked="0"/>
    </xf>
    <xf numFmtId="0" fontId="0" fillId="15" borderId="61" xfId="0" applyFill="1" applyBorder="1" applyProtection="1">
      <protection locked="0"/>
    </xf>
    <xf numFmtId="0" fontId="6" fillId="15" borderId="66" xfId="0" applyFont="1" applyFill="1" applyBorder="1" applyAlignment="1" applyProtection="1">
      <alignment horizontal="right" vertical="center"/>
      <protection locked="0"/>
    </xf>
    <xf numFmtId="0" fontId="41" fillId="0" borderId="0" xfId="0" applyFont="1" applyAlignment="1" applyProtection="1">
      <alignment horizontal="right" vertical="center"/>
      <protection locked="0"/>
    </xf>
    <xf numFmtId="0" fontId="0" fillId="15" borderId="32" xfId="0" applyFill="1" applyBorder="1" applyProtection="1">
      <protection locked="0"/>
    </xf>
    <xf numFmtId="0" fontId="41" fillId="15" borderId="60" xfId="0" applyFont="1" applyFill="1" applyBorder="1" applyAlignment="1" applyProtection="1">
      <alignment horizontal="right" vertical="center"/>
      <protection locked="0"/>
    </xf>
    <xf numFmtId="0" fontId="6" fillId="15" borderId="67" xfId="0" applyFont="1" applyFill="1" applyBorder="1" applyAlignment="1" applyProtection="1">
      <alignment horizontal="right" vertical="center"/>
      <protection locked="0"/>
    </xf>
    <xf numFmtId="9" fontId="27" fillId="2" borderId="43" xfId="2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Protection="1">
      <protection locked="0"/>
    </xf>
    <xf numFmtId="0" fontId="0" fillId="15" borderId="29" xfId="0" applyFill="1" applyBorder="1" applyProtection="1">
      <protection locked="0"/>
    </xf>
    <xf numFmtId="0" fontId="0" fillId="15" borderId="70" xfId="0" applyFill="1" applyBorder="1" applyProtection="1">
      <protection locked="0"/>
    </xf>
    <xf numFmtId="0" fontId="6" fillId="15" borderId="63" xfId="0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15" borderId="0" xfId="0" applyFont="1" applyFill="1" applyAlignment="1" applyProtection="1">
      <alignment horizontal="right"/>
      <protection locked="0"/>
    </xf>
    <xf numFmtId="0" fontId="27" fillId="2" borderId="59" xfId="0" applyFont="1" applyFill="1" applyBorder="1" applyProtection="1">
      <protection locked="0"/>
    </xf>
    <xf numFmtId="0" fontId="27" fillId="0" borderId="59" xfId="0" applyFont="1" applyBorder="1" applyProtection="1">
      <protection locked="0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165" fontId="10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2" fillId="4" borderId="0" xfId="0" applyFont="1" applyFill="1" applyProtection="1">
      <protection hidden="1"/>
    </xf>
    <xf numFmtId="2" fontId="4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8" fillId="4" borderId="0" xfId="0" applyFont="1" applyFill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2" fontId="15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10" fillId="4" borderId="0" xfId="0" applyFont="1" applyFill="1" applyProtection="1">
      <protection hidden="1"/>
    </xf>
    <xf numFmtId="2" fontId="4" fillId="0" borderId="0" xfId="0" applyNumberFormat="1" applyFon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2" fontId="15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9" fontId="15" fillId="0" borderId="0" xfId="2" applyFont="1" applyAlignment="1" applyProtection="1">
      <alignment horizontal="center"/>
      <protection hidden="1"/>
    </xf>
    <xf numFmtId="44" fontId="0" fillId="0" borderId="0" xfId="0" applyNumberFormat="1" applyProtection="1">
      <protection hidden="1"/>
    </xf>
    <xf numFmtId="0" fontId="6" fillId="2" borderId="20" xfId="0" applyFont="1" applyFill="1" applyBorder="1" applyProtection="1">
      <protection hidden="1"/>
    </xf>
    <xf numFmtId="0" fontId="6" fillId="2" borderId="21" xfId="0" applyFont="1" applyFill="1" applyBorder="1" applyProtection="1">
      <protection hidden="1"/>
    </xf>
    <xf numFmtId="0" fontId="6" fillId="2" borderId="22" xfId="0" applyFont="1" applyFill="1" applyBorder="1" applyProtection="1">
      <protection hidden="1"/>
    </xf>
    <xf numFmtId="0" fontId="0" fillId="10" borderId="75" xfId="0" applyFill="1" applyBorder="1" applyAlignment="1" applyProtection="1">
      <alignment horizontal="center"/>
      <protection hidden="1"/>
    </xf>
    <xf numFmtId="9" fontId="10" fillId="10" borderId="13" xfId="2" applyFont="1" applyFill="1" applyBorder="1" applyAlignment="1" applyProtection="1">
      <alignment horizontal="center"/>
      <protection hidden="1"/>
    </xf>
    <xf numFmtId="0" fontId="0" fillId="10" borderId="13" xfId="0" applyFill="1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8" borderId="13" xfId="0" applyFill="1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9" fontId="10" fillId="0" borderId="11" xfId="2" applyFont="1" applyBorder="1" applyAlignment="1" applyProtection="1">
      <alignment horizontal="center"/>
      <protection hidden="1"/>
    </xf>
    <xf numFmtId="0" fontId="0" fillId="10" borderId="63" xfId="0" applyFill="1" applyBorder="1" applyAlignment="1" applyProtection="1">
      <alignment horizontal="center" vertical="center" wrapText="1"/>
      <protection hidden="1"/>
    </xf>
    <xf numFmtId="0" fontId="0" fillId="10" borderId="16" xfId="0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8" borderId="16" xfId="0" applyFill="1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164" fontId="0" fillId="0" borderId="1" xfId="0" applyNumberFormat="1" applyBorder="1" applyAlignment="1" applyProtection="1">
      <alignment horizontal="center"/>
      <protection hidden="1"/>
    </xf>
    <xf numFmtId="164" fontId="0" fillId="0" borderId="54" xfId="0" applyNumberFormat="1" applyBorder="1" applyAlignment="1" applyProtection="1">
      <alignment horizontal="center"/>
      <protection hidden="1"/>
    </xf>
    <xf numFmtId="2" fontId="0" fillId="0" borderId="23" xfId="0" applyNumberFormat="1" applyBorder="1" applyAlignment="1" applyProtection="1">
      <alignment horizontal="center"/>
      <protection hidden="1"/>
    </xf>
    <xf numFmtId="164" fontId="0" fillId="0" borderId="2" xfId="0" applyNumberFormat="1" applyBorder="1" applyAlignment="1" applyProtection="1">
      <alignment horizontal="center"/>
      <protection hidden="1"/>
    </xf>
    <xf numFmtId="2" fontId="0" fillId="0" borderId="2" xfId="0" applyNumberFormat="1" applyBorder="1" applyAlignment="1" applyProtection="1">
      <alignment horizontal="center"/>
      <protection hidden="1"/>
    </xf>
    <xf numFmtId="2" fontId="0" fillId="8" borderId="2" xfId="0" applyNumberFormat="1" applyFill="1" applyBorder="1" applyAlignment="1" applyProtection="1">
      <alignment horizontal="center"/>
      <protection hidden="1"/>
    </xf>
    <xf numFmtId="2" fontId="0" fillId="0" borderId="24" xfId="0" applyNumberFormat="1" applyBorder="1" applyAlignment="1" applyProtection="1">
      <alignment horizontal="center"/>
      <protection hidden="1"/>
    </xf>
    <xf numFmtId="164" fontId="0" fillId="0" borderId="57" xfId="0" applyNumberFormat="1" applyBorder="1" applyAlignment="1" applyProtection="1">
      <alignment horizontal="center"/>
      <protection hidden="1"/>
    </xf>
    <xf numFmtId="44" fontId="20" fillId="0" borderId="23" xfId="1" applyFont="1" applyBorder="1" applyProtection="1">
      <protection hidden="1"/>
    </xf>
    <xf numFmtId="44" fontId="0" fillId="0" borderId="2" xfId="0" applyNumberFormat="1" applyBorder="1" applyProtection="1">
      <protection hidden="1"/>
    </xf>
    <xf numFmtId="44" fontId="20" fillId="0" borderId="57" xfId="1" applyFont="1" applyBorder="1" applyProtection="1">
      <protection hidden="1"/>
    </xf>
    <xf numFmtId="44" fontId="20" fillId="0" borderId="2" xfId="1" applyFont="1" applyBorder="1" applyProtection="1">
      <protection hidden="1"/>
    </xf>
    <xf numFmtId="44" fontId="20" fillId="0" borderId="68" xfId="0" applyNumberFormat="1" applyFont="1" applyBorder="1" applyProtection="1">
      <protection hidden="1"/>
    </xf>
    <xf numFmtId="2" fontId="0" fillId="0" borderId="5" xfId="0" applyNumberFormat="1" applyBorder="1" applyAlignment="1" applyProtection="1">
      <alignment horizontal="center"/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2" fontId="0" fillId="8" borderId="1" xfId="0" applyNumberFormat="1" applyFill="1" applyBorder="1" applyAlignment="1" applyProtection="1">
      <alignment horizontal="center"/>
      <protection hidden="1"/>
    </xf>
    <xf numFmtId="2" fontId="0" fillId="0" borderId="6" xfId="0" applyNumberFormat="1" applyBorder="1" applyAlignment="1" applyProtection="1">
      <alignment horizontal="center"/>
      <protection hidden="1"/>
    </xf>
    <xf numFmtId="164" fontId="0" fillId="0" borderId="67" xfId="0" applyNumberFormat="1" applyBorder="1" applyAlignment="1" applyProtection="1">
      <alignment horizontal="center"/>
      <protection hidden="1"/>
    </xf>
    <xf numFmtId="2" fontId="0" fillId="8" borderId="10" xfId="0" applyNumberFormat="1" applyFill="1" applyBorder="1" applyAlignment="1" applyProtection="1">
      <alignment horizontal="center"/>
      <protection hidden="1"/>
    </xf>
    <xf numFmtId="44" fontId="5" fillId="3" borderId="20" xfId="1" applyFont="1" applyFill="1" applyBorder="1" applyAlignment="1" applyProtection="1">
      <alignment horizontal="center"/>
      <protection hidden="1"/>
    </xf>
    <xf numFmtId="0" fontId="29" fillId="3" borderId="21" xfId="0" applyFont="1" applyFill="1" applyBorder="1" applyProtection="1">
      <protection hidden="1"/>
    </xf>
    <xf numFmtId="0" fontId="0" fillId="3" borderId="22" xfId="0" applyFill="1" applyBorder="1" applyProtection="1">
      <protection hidden="1"/>
    </xf>
    <xf numFmtId="44" fontId="5" fillId="3" borderId="20" xfId="1" applyFont="1" applyFill="1" applyBorder="1" applyAlignment="1" applyProtection="1">
      <alignment horizontal="right"/>
      <protection hidden="1"/>
    </xf>
    <xf numFmtId="0" fontId="0" fillId="12" borderId="0" xfId="0" applyFill="1" applyProtection="1">
      <protection hidden="1"/>
    </xf>
    <xf numFmtId="0" fontId="0" fillId="0" borderId="72" xfId="0" applyBorder="1" applyAlignment="1" applyProtection="1">
      <alignment vertical="center"/>
      <protection hidden="1"/>
    </xf>
    <xf numFmtId="0" fontId="0" fillId="0" borderId="72" xfId="0" applyBorder="1" applyAlignment="1" applyProtection="1">
      <alignment horizontal="center" vertical="center"/>
      <protection hidden="1"/>
    </xf>
    <xf numFmtId="0" fontId="29" fillId="0" borderId="72" xfId="0" applyFont="1" applyBorder="1" applyAlignment="1" applyProtection="1">
      <alignment vertical="center" wrapText="1"/>
      <protection hidden="1"/>
    </xf>
    <xf numFmtId="0" fontId="7" fillId="0" borderId="72" xfId="0" applyFont="1" applyBorder="1" applyAlignment="1" applyProtection="1">
      <alignment horizontal="right" vertical="center"/>
      <protection hidden="1"/>
    </xf>
    <xf numFmtId="0" fontId="7" fillId="0" borderId="72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8" fillId="14" borderId="31" xfId="0" applyFont="1" applyFill="1" applyBorder="1" applyAlignment="1" applyProtection="1">
      <alignment horizontal="center" vertical="center"/>
      <protection hidden="1"/>
    </xf>
    <xf numFmtId="0" fontId="18" fillId="14" borderId="9" xfId="0" applyFont="1" applyFill="1" applyBorder="1" applyAlignment="1" applyProtection="1">
      <alignment horizontal="center" vertical="center" wrapText="1"/>
      <protection hidden="1"/>
    </xf>
    <xf numFmtId="0" fontId="18" fillId="14" borderId="42" xfId="0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73" xfId="0" applyFont="1" applyBorder="1" applyProtection="1">
      <protection hidden="1"/>
    </xf>
    <xf numFmtId="0" fontId="0" fillId="0" borderId="73" xfId="0" applyBorder="1" applyProtection="1">
      <protection hidden="1"/>
    </xf>
    <xf numFmtId="0" fontId="0" fillId="0" borderId="73" xfId="0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42" fillId="0" borderId="73" xfId="4" applyFont="1" applyFill="1" applyBorder="1" applyAlignment="1" applyProtection="1">
      <protection hidden="1"/>
    </xf>
    <xf numFmtId="169" fontId="0" fillId="0" borderId="73" xfId="0" applyNumberFormat="1" applyBorder="1" applyAlignment="1" applyProtection="1">
      <alignment horizontal="center"/>
      <protection hidden="1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44" fillId="16" borderId="0" xfId="0" applyFont="1" applyFill="1" applyAlignment="1" applyProtection="1">
      <alignment vertical="center"/>
      <protection hidden="1"/>
    </xf>
    <xf numFmtId="0" fontId="17" fillId="10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12" borderId="0" xfId="0" applyFill="1" applyAlignment="1" applyProtection="1">
      <alignment vertical="center"/>
      <protection hidden="1"/>
    </xf>
    <xf numFmtId="0" fontId="2" fillId="0" borderId="29" xfId="0" applyFont="1" applyBorder="1" applyAlignment="1" applyProtection="1">
      <alignment horizontal="center" vertical="center" wrapText="1"/>
      <protection hidden="1"/>
    </xf>
    <xf numFmtId="0" fontId="2" fillId="0" borderId="70" xfId="0" applyFont="1" applyBorder="1" applyAlignment="1" applyProtection="1">
      <alignment horizontal="center" vertical="center" wrapText="1"/>
      <protection hidden="1"/>
    </xf>
    <xf numFmtId="0" fontId="2" fillId="10" borderId="70" xfId="0" applyFont="1" applyFill="1" applyBorder="1" applyAlignment="1" applyProtection="1">
      <alignment horizontal="center" vertical="center" wrapText="1"/>
      <protection hidden="1"/>
    </xf>
    <xf numFmtId="0" fontId="2" fillId="0" borderId="69" xfId="0" applyFont="1" applyBorder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9" fontId="13" fillId="0" borderId="0" xfId="2" applyFont="1" applyBorder="1" applyAlignment="1" applyProtection="1">
      <alignment horizontal="center" vertical="center"/>
      <protection hidden="1"/>
    </xf>
    <xf numFmtId="164" fontId="13" fillId="0" borderId="0" xfId="0" applyNumberFormat="1" applyFont="1" applyAlignment="1" applyProtection="1">
      <alignment horizontal="center" vertical="center"/>
      <protection hidden="1"/>
    </xf>
    <xf numFmtId="44" fontId="2" fillId="0" borderId="0" xfId="1" applyFont="1" applyBorder="1" applyAlignment="1" applyProtection="1">
      <alignment horizontal="center" vertical="center"/>
      <protection hidden="1"/>
    </xf>
    <xf numFmtId="44" fontId="13" fillId="0" borderId="0" xfId="1" applyFont="1" applyBorder="1" applyAlignment="1" applyProtection="1">
      <alignment horizontal="center" vertical="center"/>
      <protection hidden="1"/>
    </xf>
    <xf numFmtId="44" fontId="29" fillId="0" borderId="0" xfId="1" applyFont="1" applyBorder="1" applyAlignment="1" applyProtection="1">
      <alignment horizontal="center" vertical="center"/>
      <protection hidden="1"/>
    </xf>
    <xf numFmtId="44" fontId="6" fillId="0" borderId="0" xfId="0" applyNumberFormat="1" applyFont="1" applyAlignment="1" applyProtection="1">
      <alignment horizontal="center" vertical="center"/>
      <protection hidden="1"/>
    </xf>
    <xf numFmtId="44" fontId="0" fillId="12" borderId="0" xfId="0" applyNumberFormat="1" applyFill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44" fontId="0" fillId="0" borderId="0" xfId="1" applyFont="1" applyBorder="1" applyAlignment="1" applyProtection="1">
      <alignment horizontal="center" vertical="center"/>
      <protection hidden="1"/>
    </xf>
    <xf numFmtId="44" fontId="2" fillId="0" borderId="0" xfId="0" applyNumberFormat="1" applyFont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vertical="center"/>
      <protection hidden="1"/>
    </xf>
    <xf numFmtId="0" fontId="31" fillId="16" borderId="0" xfId="0" applyFont="1" applyFill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6" fontId="5" fillId="0" borderId="0" xfId="3" applyFont="1" applyFill="1" applyBorder="1" applyAlignment="1" applyProtection="1">
      <alignment horizontal="center" vertical="center"/>
      <protection hidden="1"/>
    </xf>
    <xf numFmtId="166" fontId="6" fillId="0" borderId="0" xfId="3" applyFont="1" applyFill="1" applyBorder="1" applyAlignment="1" applyProtection="1">
      <alignment horizontal="center" vertical="center"/>
      <protection hidden="1"/>
    </xf>
    <xf numFmtId="0" fontId="30" fillId="0" borderId="73" xfId="0" applyFont="1" applyBorder="1" applyAlignment="1" applyProtection="1">
      <alignment horizontal="center" vertical="center"/>
      <protection hidden="1"/>
    </xf>
    <xf numFmtId="0" fontId="20" fillId="0" borderId="73" xfId="0" applyFont="1" applyBorder="1" applyAlignment="1" applyProtection="1">
      <alignment horizontal="center" vertical="center"/>
      <protection hidden="1"/>
    </xf>
    <xf numFmtId="0" fontId="38" fillId="0" borderId="73" xfId="0" applyFont="1" applyBorder="1" applyAlignment="1" applyProtection="1">
      <alignment horizontal="left" vertical="center"/>
      <protection hidden="1"/>
    </xf>
    <xf numFmtId="0" fontId="0" fillId="0" borderId="73" xfId="0" applyBorder="1" applyAlignment="1" applyProtection="1">
      <alignment horizontal="center" vertical="center"/>
      <protection hidden="1"/>
    </xf>
    <xf numFmtId="166" fontId="5" fillId="0" borderId="73" xfId="3" applyFont="1" applyFill="1" applyBorder="1" applyAlignment="1" applyProtection="1">
      <alignment horizontal="center" vertical="center"/>
      <protection hidden="1"/>
    </xf>
    <xf numFmtId="166" fontId="6" fillId="0" borderId="73" xfId="3" applyFont="1" applyFill="1" applyBorder="1" applyAlignment="1" applyProtection="1">
      <alignment horizontal="center" vertical="center"/>
      <protection hidden="1"/>
    </xf>
    <xf numFmtId="166" fontId="13" fillId="0" borderId="0" xfId="3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166" fontId="18" fillId="0" borderId="0" xfId="0" applyNumberFormat="1" applyFont="1" applyAlignment="1" applyProtection="1">
      <alignment vertical="center"/>
      <protection hidden="1"/>
    </xf>
    <xf numFmtId="0" fontId="35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166" fontId="6" fillId="0" borderId="0" xfId="0" applyNumberFormat="1" applyFont="1" applyAlignment="1" applyProtection="1">
      <alignment vertical="center"/>
      <protection hidden="1"/>
    </xf>
    <xf numFmtId="0" fontId="7" fillId="0" borderId="73" xfId="0" applyFont="1" applyBorder="1" applyAlignment="1" applyProtection="1">
      <alignment horizontal="right" vertical="center"/>
      <protection hidden="1"/>
    </xf>
    <xf numFmtId="166" fontId="7" fillId="0" borderId="73" xfId="0" applyNumberFormat="1" applyFont="1" applyBorder="1" applyAlignment="1" applyProtection="1">
      <alignment vertic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43" fillId="15" borderId="0" xfId="0" applyFont="1" applyFill="1" applyAlignment="1" applyProtection="1">
      <alignment horizontal="left"/>
      <protection hidden="1"/>
    </xf>
    <xf numFmtId="0" fontId="36" fillId="15" borderId="0" xfId="0" applyFont="1" applyFill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2" fillId="12" borderId="0" xfId="0" applyFont="1" applyFill="1" applyProtection="1">
      <protection hidden="1"/>
    </xf>
    <xf numFmtId="0" fontId="48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2" fillId="2" borderId="0" xfId="0" applyFont="1" applyFill="1" applyProtection="1">
      <protection hidden="1"/>
    </xf>
    <xf numFmtId="0" fontId="47" fillId="2" borderId="0" xfId="0" applyFont="1" applyFill="1" applyProtection="1"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44" fontId="13" fillId="0" borderId="33" xfId="1" applyFont="1" applyBorder="1" applyAlignment="1" applyProtection="1">
      <alignment horizontal="center" vertical="center"/>
      <protection locked="0"/>
    </xf>
    <xf numFmtId="44" fontId="13" fillId="0" borderId="24" xfId="1" applyFont="1" applyBorder="1" applyAlignment="1" applyProtection="1">
      <alignment horizontal="center" vertical="center"/>
      <protection locked="0"/>
    </xf>
    <xf numFmtId="166" fontId="6" fillId="15" borderId="4" xfId="3" applyFont="1" applyFill="1" applyBorder="1" applyAlignment="1" applyProtection="1">
      <alignment horizontal="center" vertical="center"/>
      <protection locked="0"/>
    </xf>
    <xf numFmtId="166" fontId="6" fillId="15" borderId="6" xfId="3" applyFont="1" applyFill="1" applyBorder="1" applyAlignment="1" applyProtection="1">
      <alignment horizontal="center" vertical="center"/>
      <protection locked="0"/>
    </xf>
    <xf numFmtId="166" fontId="6" fillId="15" borderId="8" xfId="3" applyFont="1" applyFill="1" applyBorder="1" applyAlignment="1" applyProtection="1">
      <alignment horizontal="center" vertical="center"/>
      <protection locked="0"/>
    </xf>
    <xf numFmtId="0" fontId="0" fillId="11" borderId="0" xfId="0" applyFill="1" applyProtection="1">
      <protection hidden="1"/>
    </xf>
    <xf numFmtId="0" fontId="6" fillId="11" borderId="0" xfId="0" applyFont="1" applyFill="1" applyAlignment="1" applyProtection="1">
      <alignment horizontal="right" vertical="center"/>
      <protection hidden="1"/>
    </xf>
    <xf numFmtId="0" fontId="27" fillId="11" borderId="0" xfId="0" applyFont="1" applyFill="1" applyAlignment="1" applyProtection="1">
      <alignment vertical="center"/>
      <protection hidden="1"/>
    </xf>
    <xf numFmtId="0" fontId="2" fillId="3" borderId="39" xfId="0" applyFont="1" applyFill="1" applyBorder="1" applyAlignment="1" applyProtection="1">
      <alignment horizontal="center"/>
      <protection hidden="1"/>
    </xf>
    <xf numFmtId="0" fontId="2" fillId="3" borderId="39" xfId="0" applyFont="1" applyFill="1" applyBorder="1" applyAlignment="1" applyProtection="1">
      <alignment horizontal="center" vertical="center" wrapText="1"/>
      <protection hidden="1"/>
    </xf>
    <xf numFmtId="0" fontId="2" fillId="3" borderId="39" xfId="0" applyFont="1" applyFill="1" applyBorder="1" applyAlignment="1" applyProtection="1">
      <alignment horizontal="center" wrapText="1"/>
      <protection hidden="1"/>
    </xf>
    <xf numFmtId="0" fontId="2" fillId="3" borderId="36" xfId="0" applyFont="1" applyFill="1" applyBorder="1" applyAlignment="1" applyProtection="1">
      <alignment horizontal="center"/>
      <protection hidden="1"/>
    </xf>
    <xf numFmtId="0" fontId="10" fillId="0" borderId="48" xfId="0" applyFont="1" applyBorder="1" applyAlignment="1" applyProtection="1">
      <alignment horizontal="center"/>
      <protection hidden="1"/>
    </xf>
    <xf numFmtId="9" fontId="10" fillId="0" borderId="48" xfId="2" applyFont="1" applyBorder="1" applyAlignment="1" applyProtection="1">
      <alignment horizontal="center"/>
      <protection hidden="1"/>
    </xf>
    <xf numFmtId="0" fontId="2" fillId="3" borderId="37" xfId="0" applyFont="1" applyFill="1" applyBorder="1" applyAlignment="1" applyProtection="1">
      <alignment horizontal="center"/>
      <protection hidden="1"/>
    </xf>
    <xf numFmtId="0" fontId="10" fillId="0" borderId="46" xfId="0" applyFont="1" applyBorder="1" applyAlignment="1" applyProtection="1">
      <alignment horizontal="center"/>
      <protection hidden="1"/>
    </xf>
    <xf numFmtId="0" fontId="10" fillId="0" borderId="47" xfId="0" applyFont="1" applyBorder="1" applyAlignment="1" applyProtection="1">
      <alignment horizontal="center"/>
      <protection hidden="1"/>
    </xf>
    <xf numFmtId="0" fontId="10" fillId="0" borderId="37" xfId="0" applyFont="1" applyBorder="1" applyAlignment="1" applyProtection="1">
      <alignment horizontal="center"/>
      <protection hidden="1"/>
    </xf>
    <xf numFmtId="0" fontId="20" fillId="0" borderId="38" xfId="2" applyNumberFormat="1" applyFont="1" applyFill="1" applyBorder="1" applyAlignment="1" applyProtection="1">
      <alignment horizontal="center"/>
      <protection hidden="1"/>
    </xf>
    <xf numFmtId="0" fontId="13" fillId="0" borderId="1" xfId="0" applyFont="1" applyBorder="1" applyAlignment="1" applyProtection="1">
      <alignment horizontal="center"/>
      <protection hidden="1"/>
    </xf>
    <xf numFmtId="0" fontId="45" fillId="0" borderId="48" xfId="0" applyFont="1" applyBorder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17" fontId="2" fillId="0" borderId="0" xfId="0" applyNumberFormat="1" applyFont="1" applyAlignment="1" applyProtection="1">
      <alignment horizontal="right"/>
      <protection hidden="1"/>
    </xf>
    <xf numFmtId="169" fontId="10" fillId="0" borderId="0" xfId="0" applyNumberFormat="1" applyFont="1" applyAlignment="1" applyProtection="1">
      <alignment horizontal="center"/>
      <protection hidden="1"/>
    </xf>
    <xf numFmtId="9" fontId="13" fillId="0" borderId="1" xfId="2" applyFont="1" applyBorder="1" applyAlignment="1" applyProtection="1">
      <alignment horizontal="center"/>
      <protection hidden="1"/>
    </xf>
    <xf numFmtId="9" fontId="10" fillId="0" borderId="67" xfId="2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8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3" fillId="0" borderId="48" xfId="0" applyFont="1" applyBorder="1" applyAlignment="1" applyProtection="1">
      <alignment horizontal="center"/>
      <protection hidden="1"/>
    </xf>
    <xf numFmtId="44" fontId="10" fillId="0" borderId="1" xfId="1" applyFont="1" applyFill="1" applyBorder="1" applyAlignment="1" applyProtection="1">
      <alignment horizontal="center"/>
      <protection hidden="1"/>
    </xf>
    <xf numFmtId="44" fontId="0" fillId="0" borderId="1" xfId="1" applyFont="1" applyFill="1" applyBorder="1" applyAlignment="1" applyProtection="1">
      <alignment horizontal="center"/>
      <protection hidden="1"/>
    </xf>
    <xf numFmtId="44" fontId="13" fillId="0" borderId="1" xfId="1" applyFont="1" applyFill="1" applyBorder="1" applyAlignment="1" applyProtection="1">
      <alignment horizontal="center"/>
      <protection hidden="1"/>
    </xf>
    <xf numFmtId="44" fontId="0" fillId="3" borderId="1" xfId="1" applyFont="1" applyFill="1" applyBorder="1" applyAlignment="1" applyProtection="1">
      <alignment horizontal="center"/>
      <protection hidden="1"/>
    </xf>
    <xf numFmtId="44" fontId="0" fillId="8" borderId="1" xfId="1" applyFont="1" applyFill="1" applyBorder="1" applyAlignment="1" applyProtection="1">
      <alignment horizontal="center"/>
      <protection hidden="1"/>
    </xf>
    <xf numFmtId="44" fontId="0" fillId="2" borderId="1" xfId="1" applyFont="1" applyFill="1" applyBorder="1" applyAlignment="1" applyProtection="1">
      <alignment horizontal="center"/>
      <protection hidden="1"/>
    </xf>
    <xf numFmtId="9" fontId="0" fillId="0" borderId="0" xfId="2" applyFont="1" applyProtection="1"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8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 vertical="center"/>
      <protection hidden="1"/>
    </xf>
    <xf numFmtId="0" fontId="2" fillId="13" borderId="50" xfId="0" applyFont="1" applyFill="1" applyBorder="1" applyAlignment="1" applyProtection="1">
      <alignment horizontal="center"/>
      <protection hidden="1"/>
    </xf>
    <xf numFmtId="0" fontId="2" fillId="13" borderId="51" xfId="0" applyFont="1" applyFill="1" applyBorder="1" applyAlignment="1" applyProtection="1">
      <alignment horizontal="center"/>
      <protection hidden="1"/>
    </xf>
    <xf numFmtId="0" fontId="2" fillId="13" borderId="52" xfId="0" applyFont="1" applyFill="1" applyBorder="1" applyAlignment="1" applyProtection="1">
      <alignment horizontal="center"/>
      <protection hidden="1"/>
    </xf>
    <xf numFmtId="0" fontId="2" fillId="3" borderId="56" xfId="0" applyFont="1" applyFill="1" applyBorder="1" applyAlignment="1" applyProtection="1">
      <alignment horizontal="center"/>
      <protection hidden="1"/>
    </xf>
    <xf numFmtId="0" fontId="2" fillId="3" borderId="51" xfId="0" applyFont="1" applyFill="1" applyBorder="1" applyAlignment="1" applyProtection="1">
      <alignment horizontal="center"/>
      <protection hidden="1"/>
    </xf>
    <xf numFmtId="0" fontId="2" fillId="3" borderId="53" xfId="0" applyFont="1" applyFill="1" applyBorder="1" applyAlignment="1" applyProtection="1">
      <alignment horizontal="center"/>
      <protection hidden="1"/>
    </xf>
    <xf numFmtId="0" fontId="2" fillId="8" borderId="50" xfId="0" applyFont="1" applyFill="1" applyBorder="1" applyAlignment="1" applyProtection="1">
      <alignment horizontal="center"/>
      <protection hidden="1"/>
    </xf>
    <xf numFmtId="0" fontId="2" fillId="8" borderId="51" xfId="0" applyFont="1" applyFill="1" applyBorder="1" applyAlignment="1" applyProtection="1">
      <alignment horizontal="center"/>
      <protection hidden="1"/>
    </xf>
    <xf numFmtId="0" fontId="2" fillId="8" borderId="52" xfId="0" applyFont="1" applyFill="1" applyBorder="1" applyAlignment="1" applyProtection="1">
      <alignment horizontal="center"/>
      <protection hidden="1"/>
    </xf>
    <xf numFmtId="0" fontId="13" fillId="0" borderId="33" xfId="0" applyFont="1" applyBorder="1" applyAlignment="1" applyProtection="1">
      <alignment horizontal="center"/>
      <protection hidden="1"/>
    </xf>
    <xf numFmtId="2" fontId="10" fillId="13" borderId="23" xfId="0" applyNumberFormat="1" applyFont="1" applyFill="1" applyBorder="1" applyAlignment="1" applyProtection="1">
      <alignment horizontal="center"/>
      <protection hidden="1"/>
    </xf>
    <xf numFmtId="2" fontId="10" fillId="13" borderId="2" xfId="0" applyNumberFormat="1" applyFont="1" applyFill="1" applyBorder="1" applyAlignment="1" applyProtection="1">
      <alignment horizontal="center"/>
      <protection hidden="1"/>
    </xf>
    <xf numFmtId="2" fontId="10" fillId="13" borderId="24" xfId="0" applyNumberFormat="1" applyFont="1" applyFill="1" applyBorder="1" applyAlignment="1" applyProtection="1">
      <alignment horizontal="center"/>
      <protection hidden="1"/>
    </xf>
    <xf numFmtId="2" fontId="0" fillId="3" borderId="57" xfId="0" applyNumberFormat="1" applyFill="1" applyBorder="1" applyAlignment="1" applyProtection="1">
      <alignment horizontal="center"/>
      <protection hidden="1"/>
    </xf>
    <xf numFmtId="2" fontId="0" fillId="3" borderId="2" xfId="0" applyNumberFormat="1" applyFill="1" applyBorder="1" applyAlignment="1" applyProtection="1">
      <alignment horizontal="center"/>
      <protection hidden="1"/>
    </xf>
    <xf numFmtId="2" fontId="0" fillId="3" borderId="35" xfId="0" applyNumberFormat="1" applyFill="1" applyBorder="1" applyAlignment="1" applyProtection="1">
      <alignment horizontal="center"/>
      <protection hidden="1"/>
    </xf>
    <xf numFmtId="2" fontId="0" fillId="8" borderId="23" xfId="0" applyNumberFormat="1" applyFill="1" applyBorder="1" applyAlignment="1" applyProtection="1">
      <alignment horizontal="center"/>
      <protection hidden="1"/>
    </xf>
    <xf numFmtId="2" fontId="0" fillId="8" borderId="24" xfId="0" applyNumberFormat="1" applyFill="1" applyBorder="1" applyAlignment="1" applyProtection="1">
      <alignment horizontal="center"/>
      <protection hidden="1"/>
    </xf>
    <xf numFmtId="2" fontId="0" fillId="3" borderId="67" xfId="0" applyNumberFormat="1" applyFill="1" applyBorder="1" applyAlignment="1" applyProtection="1">
      <alignment horizontal="center"/>
      <protection hidden="1"/>
    </xf>
    <xf numFmtId="2" fontId="0" fillId="3" borderId="1" xfId="0" applyNumberFormat="1" applyFill="1" applyBorder="1" applyAlignment="1" applyProtection="1">
      <alignment horizontal="center"/>
      <protection hidden="1"/>
    </xf>
    <xf numFmtId="2" fontId="0" fillId="3" borderId="54" xfId="0" applyNumberFormat="1" applyFill="1" applyBorder="1" applyAlignment="1" applyProtection="1">
      <alignment horizontal="center"/>
      <protection hidden="1"/>
    </xf>
    <xf numFmtId="2" fontId="0" fillId="8" borderId="5" xfId="0" applyNumberFormat="1" applyFill="1" applyBorder="1" applyAlignment="1" applyProtection="1">
      <alignment horizontal="center"/>
      <protection hidden="1"/>
    </xf>
    <xf numFmtId="2" fontId="0" fillId="8" borderId="6" xfId="0" applyNumberFormat="1" applyFill="1" applyBorder="1" applyAlignment="1" applyProtection="1">
      <alignment horizontal="center"/>
      <protection hidden="1"/>
    </xf>
    <xf numFmtId="0" fontId="13" fillId="0" borderId="29" xfId="0" applyFont="1" applyBorder="1" applyAlignment="1" applyProtection="1">
      <alignment horizontal="center"/>
      <protection hidden="1"/>
    </xf>
    <xf numFmtId="2" fontId="10" fillId="13" borderId="14" xfId="0" applyNumberFormat="1" applyFont="1" applyFill="1" applyBorder="1" applyAlignment="1" applyProtection="1">
      <alignment horizontal="center"/>
      <protection hidden="1"/>
    </xf>
    <xf numFmtId="2" fontId="10" fillId="13" borderId="16" xfId="0" applyNumberFormat="1" applyFont="1" applyFill="1" applyBorder="1" applyAlignment="1" applyProtection="1">
      <alignment horizontal="center"/>
      <protection hidden="1"/>
    </xf>
    <xf numFmtId="2" fontId="10" fillId="13" borderId="15" xfId="0" applyNumberFormat="1" applyFont="1" applyFill="1" applyBorder="1" applyAlignment="1" applyProtection="1">
      <alignment horizontal="center"/>
      <protection hidden="1"/>
    </xf>
    <xf numFmtId="2" fontId="0" fillId="3" borderId="58" xfId="0" applyNumberFormat="1" applyFill="1" applyBorder="1" applyAlignment="1" applyProtection="1">
      <alignment horizontal="center"/>
      <protection hidden="1"/>
    </xf>
    <xf numFmtId="2" fontId="0" fillId="3" borderId="10" xfId="0" applyNumberFormat="1" applyFill="1" applyBorder="1" applyAlignment="1" applyProtection="1">
      <alignment horizontal="center"/>
      <protection hidden="1"/>
    </xf>
    <xf numFmtId="2" fontId="0" fillId="3" borderId="55" xfId="0" applyNumberFormat="1" applyFill="1" applyBorder="1" applyAlignment="1" applyProtection="1">
      <alignment horizontal="center"/>
      <protection hidden="1"/>
    </xf>
    <xf numFmtId="2" fontId="0" fillId="8" borderId="7" xfId="0" applyNumberFormat="1" applyFill="1" applyBorder="1" applyAlignment="1" applyProtection="1">
      <alignment horizontal="center"/>
      <protection hidden="1"/>
    </xf>
    <xf numFmtId="2" fontId="0" fillId="8" borderId="8" xfId="0" applyNumberForma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9" fontId="13" fillId="0" borderId="5" xfId="2" applyFont="1" applyBorder="1" applyAlignment="1" applyProtection="1">
      <alignment horizontal="center"/>
      <protection hidden="1"/>
    </xf>
    <xf numFmtId="0" fontId="10" fillId="0" borderId="0" xfId="2" applyNumberFormat="1" applyFont="1" applyFill="1" applyBorder="1" applyAlignment="1" applyProtection="1">
      <alignment horizontal="center"/>
      <protection hidden="1"/>
    </xf>
    <xf numFmtId="44" fontId="10" fillId="0" borderId="54" xfId="1" applyFont="1" applyFill="1" applyBorder="1" applyAlignment="1" applyProtection="1">
      <alignment horizontal="center"/>
      <protection hidden="1"/>
    </xf>
    <xf numFmtId="44" fontId="0" fillId="3" borderId="5" xfId="1" applyFont="1" applyFill="1" applyBorder="1" applyAlignment="1" applyProtection="1">
      <alignment horizontal="center"/>
      <protection hidden="1"/>
    </xf>
    <xf numFmtId="44" fontId="0" fillId="2" borderId="6" xfId="1" applyFont="1" applyFill="1" applyBorder="1" applyAlignment="1" applyProtection="1">
      <alignment horizont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locked="0"/>
    </xf>
    <xf numFmtId="166" fontId="6" fillId="15" borderId="43" xfId="0" applyNumberFormat="1" applyFont="1" applyFill="1" applyBorder="1" applyAlignment="1" applyProtection="1">
      <alignment vertical="center"/>
      <protection locked="0"/>
    </xf>
    <xf numFmtId="166" fontId="6" fillId="15" borderId="74" xfId="0" applyNumberFormat="1" applyFont="1" applyFill="1" applyBorder="1" applyAlignment="1" applyProtection="1">
      <alignment vertical="center"/>
      <protection locked="0"/>
    </xf>
    <xf numFmtId="166" fontId="18" fillId="15" borderId="44" xfId="0" applyNumberFormat="1" applyFont="1" applyFill="1" applyBorder="1" applyAlignment="1" applyProtection="1">
      <alignment vertical="center"/>
      <protection locked="0"/>
    </xf>
    <xf numFmtId="0" fontId="10" fillId="4" borderId="57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35" xfId="0" applyFont="1" applyFill="1" applyBorder="1" applyAlignment="1" applyProtection="1">
      <alignment horizontal="center" vertical="center"/>
      <protection locked="0"/>
    </xf>
    <xf numFmtId="9" fontId="13" fillId="4" borderId="35" xfId="2" applyFont="1" applyFill="1" applyBorder="1" applyAlignment="1" applyProtection="1">
      <alignment horizontal="center" vertical="center"/>
      <protection locked="0"/>
    </xf>
    <xf numFmtId="0" fontId="10" fillId="4" borderId="35" xfId="0" applyFont="1" applyFill="1" applyBorder="1" applyAlignment="1" applyProtection="1">
      <alignment horizontal="center" vertical="center"/>
      <protection locked="0"/>
    </xf>
    <xf numFmtId="164" fontId="10" fillId="4" borderId="2" xfId="0" applyNumberFormat="1" applyFont="1" applyFill="1" applyBorder="1" applyAlignment="1" applyProtection="1">
      <alignment horizontal="center" vertical="center"/>
      <protection locked="0"/>
    </xf>
    <xf numFmtId="0" fontId="10" fillId="18" borderId="57" xfId="0" applyFont="1" applyFill="1" applyBorder="1" applyAlignment="1" applyProtection="1">
      <alignment horizontal="center" vertical="center"/>
      <protection locked="0"/>
    </xf>
    <xf numFmtId="0" fontId="13" fillId="18" borderId="2" xfId="0" applyFont="1" applyFill="1" applyBorder="1" applyAlignment="1" applyProtection="1">
      <alignment horizontal="center" vertical="center"/>
      <protection locked="0"/>
    </xf>
    <xf numFmtId="0" fontId="13" fillId="18" borderId="35" xfId="0" applyFont="1" applyFill="1" applyBorder="1" applyAlignment="1" applyProtection="1">
      <alignment horizontal="center" vertical="center"/>
      <protection locked="0"/>
    </xf>
    <xf numFmtId="9" fontId="13" fillId="18" borderId="35" xfId="2" applyFont="1" applyFill="1" applyBorder="1" applyAlignment="1" applyProtection="1">
      <alignment horizontal="center" vertical="center"/>
      <protection locked="0"/>
    </xf>
    <xf numFmtId="0" fontId="10" fillId="18" borderId="35" xfId="0" applyFont="1" applyFill="1" applyBorder="1" applyAlignment="1" applyProtection="1">
      <alignment horizontal="center" vertical="center"/>
      <protection locked="0"/>
    </xf>
    <xf numFmtId="164" fontId="10" fillId="18" borderId="2" xfId="0" applyNumberFormat="1" applyFont="1" applyFill="1" applyBorder="1" applyAlignment="1" applyProtection="1">
      <alignment horizontal="center" vertical="center"/>
      <protection locked="0"/>
    </xf>
    <xf numFmtId="0" fontId="10" fillId="8" borderId="57" xfId="0" applyFont="1" applyFill="1" applyBorder="1" applyAlignment="1" applyProtection="1">
      <alignment horizontal="center" vertical="center"/>
      <protection locked="0"/>
    </xf>
    <xf numFmtId="0" fontId="13" fillId="8" borderId="2" xfId="0" applyFont="1" applyFill="1" applyBorder="1" applyAlignment="1" applyProtection="1">
      <alignment horizontal="center" vertical="center"/>
      <protection locked="0"/>
    </xf>
    <xf numFmtId="0" fontId="13" fillId="8" borderId="35" xfId="0" applyFont="1" applyFill="1" applyBorder="1" applyAlignment="1" applyProtection="1">
      <alignment horizontal="center" vertical="center"/>
      <protection locked="0"/>
    </xf>
    <xf numFmtId="9" fontId="13" fillId="8" borderId="35" xfId="2" applyFont="1" applyFill="1" applyBorder="1" applyAlignment="1" applyProtection="1">
      <alignment horizontal="center" vertical="center"/>
      <protection locked="0"/>
    </xf>
    <xf numFmtId="0" fontId="10" fillId="8" borderId="35" xfId="0" applyFont="1" applyFill="1" applyBorder="1" applyAlignment="1" applyProtection="1">
      <alignment horizontal="center" vertical="center"/>
      <protection locked="0"/>
    </xf>
    <xf numFmtId="164" fontId="10" fillId="8" borderId="2" xfId="0" applyNumberFormat="1" applyFont="1" applyFill="1" applyBorder="1" applyAlignment="1" applyProtection="1">
      <alignment horizontal="center" vertical="center"/>
      <protection locked="0"/>
    </xf>
    <xf numFmtId="0" fontId="29" fillId="0" borderId="21" xfId="0" applyFont="1" applyBorder="1" applyAlignment="1" applyProtection="1">
      <alignment horizontal="right" vertical="center"/>
      <protection locked="0"/>
    </xf>
    <xf numFmtId="44" fontId="13" fillId="3" borderId="59" xfId="1" applyFont="1" applyFill="1" applyBorder="1" applyAlignment="1" applyProtection="1">
      <alignment horizontal="center" vertical="center"/>
      <protection locked="0"/>
    </xf>
    <xf numFmtId="0" fontId="27" fillId="0" borderId="21" xfId="0" applyFont="1" applyBorder="1" applyAlignment="1" applyProtection="1">
      <alignment horizontal="center" vertical="center"/>
      <protection locked="0"/>
    </xf>
    <xf numFmtId="44" fontId="2" fillId="0" borderId="1" xfId="1" applyFont="1" applyFill="1" applyBorder="1" applyAlignment="1" applyProtection="1">
      <alignment horizontal="center"/>
      <protection hidden="1"/>
    </xf>
    <xf numFmtId="44" fontId="54" fillId="0" borderId="1" xfId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44" fontId="13" fillId="2" borderId="33" xfId="1" applyFont="1" applyFill="1" applyBorder="1" applyAlignment="1" applyProtection="1">
      <alignment horizontal="center" vertic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44" fontId="0" fillId="2" borderId="54" xfId="1" applyFont="1" applyFill="1" applyBorder="1" applyAlignment="1" applyProtection="1">
      <alignment horizontal="center"/>
      <protection hidden="1"/>
    </xf>
    <xf numFmtId="0" fontId="0" fillId="9" borderId="39" xfId="0" applyFill="1" applyBorder="1" applyAlignment="1" applyProtection="1">
      <alignment horizontal="center"/>
      <protection hidden="1"/>
    </xf>
    <xf numFmtId="0" fontId="0" fillId="4" borderId="36" xfId="0" applyFill="1" applyBorder="1" applyAlignment="1" applyProtection="1">
      <alignment horizontal="center"/>
      <protection hidden="1"/>
    </xf>
    <xf numFmtId="0" fontId="0" fillId="4" borderId="41" xfId="0" applyFill="1" applyBorder="1" applyProtection="1">
      <protection hidden="1"/>
    </xf>
    <xf numFmtId="167" fontId="0" fillId="4" borderId="37" xfId="1" applyNumberFormat="1" applyFont="1" applyFill="1" applyBorder="1" applyAlignment="1" applyProtection="1">
      <alignment horizontal="center"/>
      <protection hidden="1"/>
    </xf>
    <xf numFmtId="0" fontId="0" fillId="4" borderId="41" xfId="0" applyFill="1" applyBorder="1" applyAlignment="1" applyProtection="1">
      <alignment horizontal="center"/>
      <protection hidden="1"/>
    </xf>
    <xf numFmtId="0" fontId="2" fillId="4" borderId="36" xfId="0" applyFont="1" applyFill="1" applyBorder="1" applyAlignment="1" applyProtection="1">
      <alignment horizontal="center"/>
      <protection hidden="1"/>
    </xf>
    <xf numFmtId="0" fontId="2" fillId="9" borderId="39" xfId="0" applyFont="1" applyFill="1" applyBorder="1" applyAlignment="1" applyProtection="1">
      <alignment horizontal="center"/>
      <protection hidden="1"/>
    </xf>
    <xf numFmtId="0" fontId="2" fillId="20" borderId="27" xfId="0" applyFont="1" applyFill="1" applyBorder="1" applyAlignment="1" applyProtection="1">
      <alignment horizontal="center" vertical="center"/>
      <protection hidden="1"/>
    </xf>
    <xf numFmtId="0" fontId="2" fillId="20" borderId="27" xfId="0" applyFont="1" applyFill="1" applyBorder="1" applyAlignment="1" applyProtection="1">
      <alignment horizontal="center" vertical="center" wrapText="1"/>
      <protection hidden="1"/>
    </xf>
    <xf numFmtId="0" fontId="2" fillId="20" borderId="64" xfId="0" applyFont="1" applyFill="1" applyBorder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/>
      <protection hidden="1"/>
    </xf>
    <xf numFmtId="0" fontId="10" fillId="2" borderId="57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5" xfId="0" applyFont="1" applyFill="1" applyBorder="1" applyAlignment="1" applyProtection="1">
      <alignment horizontal="center" vertical="center"/>
      <protection locked="0"/>
    </xf>
    <xf numFmtId="9" fontId="13" fillId="2" borderId="35" xfId="2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3" borderId="57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35" xfId="0" applyFont="1" applyFill="1" applyBorder="1" applyAlignment="1" applyProtection="1">
      <alignment horizontal="center" vertical="center"/>
      <protection locked="0"/>
    </xf>
    <xf numFmtId="9" fontId="13" fillId="3" borderId="35" xfId="2" applyFont="1" applyFill="1" applyBorder="1" applyAlignment="1" applyProtection="1">
      <alignment horizontal="center" vertical="center"/>
      <protection locked="0"/>
    </xf>
    <xf numFmtId="0" fontId="10" fillId="3" borderId="35" xfId="0" applyFont="1" applyFill="1" applyBorder="1" applyAlignment="1" applyProtection="1">
      <alignment horizontal="center" vertical="center"/>
      <protection locked="0"/>
    </xf>
    <xf numFmtId="164" fontId="10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9" borderId="57" xfId="0" applyFont="1" applyFill="1" applyBorder="1" applyAlignment="1" applyProtection="1">
      <alignment horizontal="center" vertical="center"/>
      <protection locked="0"/>
    </xf>
    <xf numFmtId="0" fontId="13" fillId="9" borderId="2" xfId="0" applyFont="1" applyFill="1" applyBorder="1" applyAlignment="1" applyProtection="1">
      <alignment horizontal="center" vertical="center"/>
      <protection locked="0"/>
    </xf>
    <xf numFmtId="0" fontId="13" fillId="9" borderId="35" xfId="0" applyFont="1" applyFill="1" applyBorder="1" applyAlignment="1" applyProtection="1">
      <alignment horizontal="center" vertical="center"/>
      <protection locked="0"/>
    </xf>
    <xf numFmtId="9" fontId="13" fillId="9" borderId="35" xfId="2" applyFont="1" applyFill="1" applyBorder="1" applyAlignment="1" applyProtection="1">
      <alignment horizontal="center" vertical="center"/>
      <protection locked="0"/>
    </xf>
    <xf numFmtId="0" fontId="10" fillId="9" borderId="35" xfId="0" applyFont="1" applyFill="1" applyBorder="1" applyAlignment="1" applyProtection="1">
      <alignment horizontal="center" vertical="center"/>
      <protection locked="0"/>
    </xf>
    <xf numFmtId="164" fontId="10" fillId="9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70" xfId="0" applyFont="1" applyFill="1" applyBorder="1" applyAlignment="1" applyProtection="1">
      <alignment horizontal="center" vertical="center" wrapText="1"/>
      <protection locked="0"/>
    </xf>
    <xf numFmtId="44" fontId="13" fillId="2" borderId="59" xfId="1" applyFont="1" applyFill="1" applyBorder="1" applyAlignment="1" applyProtection="1">
      <alignment horizontal="center" vertical="center"/>
      <protection locked="0"/>
    </xf>
    <xf numFmtId="0" fontId="2" fillId="3" borderId="70" xfId="0" applyFont="1" applyFill="1" applyBorder="1" applyAlignment="1" applyProtection="1">
      <alignment horizontal="center" vertical="center" wrapText="1"/>
      <protection locked="0"/>
    </xf>
    <xf numFmtId="0" fontId="18" fillId="3" borderId="38" xfId="0" applyFont="1" applyFill="1" applyBorder="1" applyAlignment="1" applyProtection="1">
      <alignment horizontal="center"/>
      <protection locked="0"/>
    </xf>
    <xf numFmtId="9" fontId="27" fillId="0" borderId="70" xfId="2" applyFont="1" applyBorder="1" applyAlignment="1" applyProtection="1">
      <alignment horizontal="center"/>
      <protection locked="0"/>
    </xf>
    <xf numFmtId="44" fontId="0" fillId="0" borderId="70" xfId="0" applyNumberFormat="1" applyBorder="1" applyProtection="1">
      <protection locked="0"/>
    </xf>
    <xf numFmtId="0" fontId="18" fillId="10" borderId="38" xfId="0" applyFont="1" applyFill="1" applyBorder="1" applyAlignment="1" applyProtection="1">
      <alignment horizontal="center"/>
      <protection locked="0"/>
    </xf>
    <xf numFmtId="0" fontId="2" fillId="10" borderId="70" xfId="0" applyFont="1" applyFill="1" applyBorder="1" applyAlignment="1" applyProtection="1">
      <alignment horizontal="center" vertical="center" wrapText="1"/>
      <protection locked="0"/>
    </xf>
    <xf numFmtId="44" fontId="13" fillId="10" borderId="59" xfId="1" applyFont="1" applyFill="1" applyBorder="1" applyAlignment="1" applyProtection="1">
      <alignment horizontal="center" vertical="center"/>
      <protection locked="0"/>
    </xf>
    <xf numFmtId="44" fontId="10" fillId="10" borderId="59" xfId="1" applyFont="1" applyFill="1" applyBorder="1" applyAlignment="1" applyProtection="1">
      <alignment horizontal="center" vertical="center"/>
      <protection locked="0"/>
    </xf>
    <xf numFmtId="44" fontId="28" fillId="0" borderId="70" xfId="2" applyNumberFormat="1" applyFont="1" applyBorder="1" applyAlignment="1" applyProtection="1">
      <alignment horizontal="center"/>
      <protection locked="0"/>
    </xf>
    <xf numFmtId="44" fontId="56" fillId="10" borderId="59" xfId="1" applyFont="1" applyFill="1" applyBorder="1" applyAlignment="1" applyProtection="1">
      <alignment horizontal="center" vertical="center"/>
      <protection locked="0"/>
    </xf>
    <xf numFmtId="0" fontId="18" fillId="2" borderId="38" xfId="0" applyFont="1" applyFill="1" applyBorder="1" applyAlignment="1" applyProtection="1">
      <alignment horizontal="center"/>
      <protection locked="0"/>
    </xf>
    <xf numFmtId="170" fontId="13" fillId="3" borderId="59" xfId="2" applyNumberFormat="1" applyFont="1" applyFill="1" applyBorder="1" applyAlignment="1" applyProtection="1">
      <alignment horizontal="center" vertical="center"/>
      <protection locked="0"/>
    </xf>
    <xf numFmtId="170" fontId="54" fillId="3" borderId="59" xfId="1" applyNumberFormat="1" applyFont="1" applyFill="1" applyBorder="1" applyAlignment="1" applyProtection="1">
      <alignment horizontal="center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 wrapText="1"/>
      <protection hidden="1"/>
    </xf>
    <xf numFmtId="44" fontId="0" fillId="4" borderId="46" xfId="1" applyFont="1" applyFill="1" applyBorder="1" applyAlignment="1" applyProtection="1">
      <alignment horizontal="center"/>
      <protection hidden="1"/>
    </xf>
    <xf numFmtId="0" fontId="2" fillId="4" borderId="41" xfId="0" applyFont="1" applyFill="1" applyBorder="1" applyAlignment="1" applyProtection="1">
      <alignment horizontal="center"/>
      <protection hidden="1"/>
    </xf>
    <xf numFmtId="44" fontId="0" fillId="4" borderId="45" xfId="1" applyFont="1" applyFill="1" applyBorder="1" applyAlignment="1" applyProtection="1">
      <alignment horizontal="center"/>
      <protection hidden="1"/>
    </xf>
    <xf numFmtId="0" fontId="2" fillId="4" borderId="37" xfId="0" applyFont="1" applyFill="1" applyBorder="1" applyAlignment="1" applyProtection="1">
      <alignment horizontal="center"/>
      <protection hidden="1"/>
    </xf>
    <xf numFmtId="44" fontId="0" fillId="4" borderId="47" xfId="1" applyFont="1" applyFill="1" applyBorder="1" applyAlignment="1" applyProtection="1">
      <alignment horizontal="center"/>
      <protection hidden="1"/>
    </xf>
    <xf numFmtId="44" fontId="0" fillId="9" borderId="39" xfId="1" applyFont="1" applyFill="1" applyBorder="1" applyAlignment="1" applyProtection="1">
      <alignment horizontal="center"/>
      <protection hidden="1"/>
    </xf>
    <xf numFmtId="0" fontId="29" fillId="0" borderId="45" xfId="0" applyFont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/>
    </xf>
    <xf numFmtId="0" fontId="29" fillId="0" borderId="46" xfId="0" applyFont="1" applyBorder="1" applyAlignment="1" applyProtection="1">
      <alignment horizontal="center" vertical="center"/>
      <protection hidden="1"/>
    </xf>
    <xf numFmtId="9" fontId="5" fillId="4" borderId="1" xfId="2" applyFont="1" applyFill="1" applyBorder="1" applyAlignment="1" applyProtection="1">
      <alignment horizontal="center" vertical="center"/>
      <protection hidden="1"/>
    </xf>
    <xf numFmtId="9" fontId="5" fillId="4" borderId="6" xfId="2" applyFont="1" applyFill="1" applyBorder="1" applyAlignment="1" applyProtection="1">
      <alignment horizontal="center" vertical="center"/>
      <protection hidden="1"/>
    </xf>
    <xf numFmtId="9" fontId="5" fillId="4" borderId="8" xfId="2" applyFont="1" applyFill="1" applyBorder="1" applyAlignment="1" applyProtection="1">
      <alignment horizontal="center" vertical="center"/>
      <protection hidden="1"/>
    </xf>
    <xf numFmtId="0" fontId="2" fillId="4" borderId="28" xfId="0" applyFont="1" applyFill="1" applyBorder="1" applyAlignment="1" applyProtection="1">
      <alignment horizontal="center" vertical="center"/>
      <protection hidden="1"/>
    </xf>
    <xf numFmtId="0" fontId="2" fillId="4" borderId="26" xfId="0" applyFont="1" applyFill="1" applyBorder="1" applyAlignment="1" applyProtection="1">
      <alignment horizontal="center" vertical="center" wrapText="1"/>
      <protection hidden="1"/>
    </xf>
    <xf numFmtId="0" fontId="2" fillId="3" borderId="11" xfId="0" applyFont="1" applyFill="1" applyBorder="1" applyAlignment="1" applyProtection="1">
      <alignment horizontal="center" vertical="center"/>
      <protection hidden="1"/>
    </xf>
    <xf numFmtId="0" fontId="2" fillId="8" borderId="13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10" fillId="0" borderId="45" xfId="0" applyFont="1" applyBorder="1" applyAlignment="1" applyProtection="1">
      <alignment horizontal="center"/>
      <protection hidden="1"/>
    </xf>
    <xf numFmtId="44" fontId="10" fillId="0" borderId="81" xfId="1" applyFont="1" applyFill="1" applyBorder="1" applyAlignment="1" applyProtection="1">
      <alignment horizontal="center"/>
      <protection hidden="1"/>
    </xf>
    <xf numFmtId="9" fontId="13" fillId="0" borderId="3" xfId="2" applyFont="1" applyBorder="1" applyAlignment="1" applyProtection="1">
      <alignment horizontal="center"/>
      <protection hidden="1"/>
    </xf>
    <xf numFmtId="44" fontId="0" fillId="3" borderId="3" xfId="1" applyFont="1" applyFill="1" applyBorder="1" applyAlignment="1" applyProtection="1">
      <alignment horizontal="center"/>
      <protection hidden="1"/>
    </xf>
    <xf numFmtId="44" fontId="0" fillId="8" borderId="9" xfId="1" applyFont="1" applyFill="1" applyBorder="1" applyAlignment="1" applyProtection="1">
      <alignment horizontal="center"/>
      <protection hidden="1"/>
    </xf>
    <xf numFmtId="44" fontId="0" fillId="2" borderId="4" xfId="1" applyFont="1" applyFill="1" applyBorder="1" applyAlignment="1" applyProtection="1">
      <alignment horizontal="center"/>
      <protection hidden="1"/>
    </xf>
    <xf numFmtId="44" fontId="10" fillId="0" borderId="55" xfId="1" applyFont="1" applyFill="1" applyBorder="1" applyAlignment="1" applyProtection="1">
      <alignment horizontal="center"/>
      <protection hidden="1"/>
    </xf>
    <xf numFmtId="9" fontId="13" fillId="0" borderId="7" xfId="2" applyFont="1" applyBorder="1" applyAlignment="1" applyProtection="1">
      <alignment horizontal="center"/>
      <protection hidden="1"/>
    </xf>
    <xf numFmtId="44" fontId="0" fillId="3" borderId="7" xfId="1" applyFont="1" applyFill="1" applyBorder="1" applyAlignment="1" applyProtection="1">
      <alignment horizontal="center"/>
      <protection hidden="1"/>
    </xf>
    <xf numFmtId="44" fontId="0" fillId="8" borderId="10" xfId="1" applyFont="1" applyFill="1" applyBorder="1" applyAlignment="1" applyProtection="1">
      <alignment horizontal="center"/>
      <protection hidden="1"/>
    </xf>
    <xf numFmtId="44" fontId="0" fillId="2" borderId="8" xfId="1" applyFont="1" applyFill="1" applyBorder="1" applyAlignment="1" applyProtection="1">
      <alignment horizontal="center"/>
      <protection hidden="1"/>
    </xf>
    <xf numFmtId="0" fontId="10" fillId="14" borderId="46" xfId="0" applyFont="1" applyFill="1" applyBorder="1" applyAlignment="1" applyProtection="1">
      <alignment horizontal="center"/>
      <protection hidden="1"/>
    </xf>
    <xf numFmtId="0" fontId="0" fillId="0" borderId="20" xfId="0" applyBorder="1" applyProtection="1">
      <protection hidden="1"/>
    </xf>
    <xf numFmtId="0" fontId="29" fillId="0" borderId="82" xfId="0" applyFont="1" applyBorder="1" applyAlignment="1" applyProtection="1">
      <alignment horizontal="center" vertical="center"/>
      <protection hidden="1"/>
    </xf>
    <xf numFmtId="9" fontId="13" fillId="0" borderId="45" xfId="2" applyFont="1" applyBorder="1" applyAlignment="1" applyProtection="1">
      <alignment horizontal="center"/>
      <protection hidden="1"/>
    </xf>
    <xf numFmtId="9" fontId="13" fillId="0" borderId="46" xfId="2" applyFont="1" applyBorder="1" applyAlignment="1" applyProtection="1">
      <alignment horizontal="center"/>
      <protection hidden="1"/>
    </xf>
    <xf numFmtId="9" fontId="13" fillId="0" borderId="47" xfId="2" applyFont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/>
      <protection hidden="1"/>
    </xf>
    <xf numFmtId="0" fontId="2" fillId="4" borderId="39" xfId="0" applyFont="1" applyFill="1" applyBorder="1" applyAlignment="1" applyProtection="1">
      <alignment horizontal="center"/>
      <protection hidden="1"/>
    </xf>
    <xf numFmtId="0" fontId="2" fillId="4" borderId="22" xfId="0" applyFont="1" applyFill="1" applyBorder="1" applyAlignment="1" applyProtection="1">
      <alignment horizontal="center"/>
      <protection hidden="1"/>
    </xf>
    <xf numFmtId="9" fontId="29" fillId="4" borderId="9" xfId="2" applyFont="1" applyFill="1" applyBorder="1" applyAlignment="1" applyProtection="1">
      <alignment horizontal="center" vertical="center"/>
      <protection hidden="1"/>
    </xf>
    <xf numFmtId="9" fontId="29" fillId="4" borderId="4" xfId="2" applyFont="1" applyFill="1" applyBorder="1" applyAlignment="1" applyProtection="1">
      <alignment horizontal="center" vertical="center"/>
      <protection hidden="1"/>
    </xf>
    <xf numFmtId="9" fontId="29" fillId="4" borderId="1" xfId="2" applyFont="1" applyFill="1" applyBorder="1" applyAlignment="1" applyProtection="1">
      <alignment horizontal="center" vertical="center"/>
      <protection hidden="1"/>
    </xf>
    <xf numFmtId="9" fontId="29" fillId="4" borderId="6" xfId="2" applyFont="1" applyFill="1" applyBorder="1" applyAlignment="1" applyProtection="1">
      <alignment horizontal="center" vertical="center"/>
      <protection hidden="1"/>
    </xf>
    <xf numFmtId="0" fontId="2" fillId="2" borderId="22" xfId="0" applyFont="1" applyFill="1" applyBorder="1" applyAlignment="1" applyProtection="1">
      <alignment horizontal="center"/>
      <protection hidden="1"/>
    </xf>
    <xf numFmtId="0" fontId="2" fillId="8" borderId="39" xfId="0" applyFont="1" applyFill="1" applyBorder="1" applyAlignment="1" applyProtection="1">
      <alignment horizontal="center"/>
      <protection hidden="1"/>
    </xf>
    <xf numFmtId="0" fontId="2" fillId="3" borderId="20" xfId="0" applyFont="1" applyFill="1" applyBorder="1" applyAlignment="1" applyProtection="1">
      <alignment horizontal="center"/>
      <protection hidden="1"/>
    </xf>
    <xf numFmtId="0" fontId="17" fillId="4" borderId="20" xfId="0" applyFont="1" applyFill="1" applyBorder="1" applyProtection="1">
      <protection locked="0"/>
    </xf>
    <xf numFmtId="0" fontId="17" fillId="4" borderId="21" xfId="0" applyFont="1" applyFill="1" applyBorder="1" applyProtection="1">
      <protection locked="0"/>
    </xf>
    <xf numFmtId="0" fontId="17" fillId="4" borderId="22" xfId="0" applyFont="1" applyFill="1" applyBorder="1" applyProtection="1">
      <protection locked="0"/>
    </xf>
    <xf numFmtId="44" fontId="2" fillId="0" borderId="0" xfId="0" applyNumberFormat="1" applyFont="1" applyAlignment="1" applyProtection="1">
      <alignment horizontal="left"/>
      <protection locked="0"/>
    </xf>
    <xf numFmtId="170" fontId="0" fillId="0" borderId="0" xfId="0" applyNumberFormat="1"/>
    <xf numFmtId="0" fontId="29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2" fontId="4" fillId="0" borderId="16" xfId="0" applyNumberFormat="1" applyFont="1" applyBorder="1" applyAlignment="1">
      <alignment horizontal="center" vertical="center"/>
    </xf>
    <xf numFmtId="44" fontId="15" fillId="0" borderId="7" xfId="1" applyFont="1" applyBorder="1" applyAlignment="1">
      <alignment vertical="center"/>
    </xf>
    <xf numFmtId="167" fontId="4" fillId="0" borderId="10" xfId="0" applyNumberFormat="1" applyFont="1" applyBorder="1" applyAlignment="1">
      <alignment horizontal="center" vertical="center"/>
    </xf>
    <xf numFmtId="170" fontId="15" fillId="4" borderId="42" xfId="2" applyNumberFormat="1" applyFont="1" applyFill="1" applyBorder="1" applyAlignment="1" applyProtection="1">
      <alignment horizontal="center" vertical="center"/>
      <protection locked="0"/>
    </xf>
    <xf numFmtId="167" fontId="4" fillId="0" borderId="44" xfId="0" applyNumberFormat="1" applyFont="1" applyBorder="1" applyAlignment="1">
      <alignment horizontal="center" vertical="center"/>
    </xf>
    <xf numFmtId="2" fontId="4" fillId="0" borderId="69" xfId="0" applyNumberFormat="1" applyFont="1" applyBorder="1" applyAlignment="1">
      <alignment horizontal="center" vertical="center"/>
    </xf>
    <xf numFmtId="170" fontId="15" fillId="4" borderId="9" xfId="2" applyNumberFormat="1" applyFont="1" applyFill="1" applyBorder="1" applyAlignment="1" applyProtection="1">
      <alignment horizontal="center" vertical="center"/>
      <protection locked="0"/>
    </xf>
    <xf numFmtId="170" fontId="13" fillId="21" borderId="59" xfId="1" applyNumberFormat="1" applyFont="1" applyFill="1" applyBorder="1" applyAlignment="1" applyProtection="1">
      <alignment horizontal="center" vertical="center"/>
      <protection locked="0"/>
    </xf>
    <xf numFmtId="0" fontId="19" fillId="14" borderId="30" xfId="0" applyFont="1" applyFill="1" applyBorder="1" applyAlignment="1" applyProtection="1">
      <alignment horizontal="center" vertical="center"/>
      <protection hidden="1"/>
    </xf>
    <xf numFmtId="0" fontId="19" fillId="14" borderId="19" xfId="0" applyFont="1" applyFill="1" applyBorder="1" applyAlignment="1" applyProtection="1">
      <alignment horizontal="center" vertical="center"/>
      <protection hidden="1"/>
    </xf>
    <xf numFmtId="0" fontId="19" fillId="14" borderId="49" xfId="0" applyFont="1" applyFill="1" applyBorder="1" applyAlignment="1" applyProtection="1">
      <alignment horizontal="center" vertical="center"/>
      <protection hidden="1"/>
    </xf>
    <xf numFmtId="9" fontId="5" fillId="4" borderId="10" xfId="2" applyFont="1" applyFill="1" applyBorder="1" applyAlignment="1" applyProtection="1">
      <alignment horizontal="center" vertical="center"/>
      <protection hidden="1"/>
    </xf>
    <xf numFmtId="10" fontId="15" fillId="4" borderId="42" xfId="2" applyNumberFormat="1" applyFont="1" applyFill="1" applyBorder="1" applyAlignment="1" applyProtection="1">
      <alignment horizontal="center" vertical="center"/>
      <protection locked="0"/>
    </xf>
    <xf numFmtId="16" fontId="4" fillId="0" borderId="0" xfId="0" applyNumberFormat="1" applyFont="1" applyAlignment="1">
      <alignment vertical="center"/>
    </xf>
    <xf numFmtId="0" fontId="0" fillId="10" borderId="0" xfId="0" applyFill="1"/>
    <xf numFmtId="9" fontId="5" fillId="4" borderId="9" xfId="2" applyFont="1" applyFill="1" applyBorder="1" applyAlignment="1" applyProtection="1">
      <alignment horizontal="center" vertical="center"/>
      <protection hidden="1"/>
    </xf>
    <xf numFmtId="9" fontId="5" fillId="4" borderId="4" xfId="2" applyFont="1" applyFill="1" applyBorder="1" applyAlignment="1" applyProtection="1">
      <alignment horizontal="center" vertical="center"/>
      <protection hidden="1"/>
    </xf>
    <xf numFmtId="10" fontId="5" fillId="2" borderId="3" xfId="2" applyNumberFormat="1" applyFont="1" applyFill="1" applyBorder="1" applyAlignment="1" applyProtection="1">
      <alignment horizontal="center" vertical="center"/>
      <protection hidden="1"/>
    </xf>
    <xf numFmtId="10" fontId="5" fillId="2" borderId="5" xfId="2" applyNumberFormat="1" applyFont="1" applyFill="1" applyBorder="1" applyAlignment="1" applyProtection="1">
      <alignment horizontal="center" vertical="center"/>
      <protection hidden="1"/>
    </xf>
    <xf numFmtId="10" fontId="5" fillId="2" borderId="7" xfId="2" applyNumberFormat="1" applyFont="1" applyFill="1" applyBorder="1" applyAlignment="1" applyProtection="1">
      <alignment horizontal="center" vertical="center"/>
      <protection hidden="1"/>
    </xf>
    <xf numFmtId="10" fontId="29" fillId="2" borderId="3" xfId="2" applyNumberFormat="1" applyFont="1" applyFill="1" applyBorder="1" applyAlignment="1" applyProtection="1">
      <alignment horizontal="center" vertical="center"/>
      <protection hidden="1"/>
    </xf>
    <xf numFmtId="10" fontId="29" fillId="4" borderId="5" xfId="2" applyNumberFormat="1" applyFont="1" applyFill="1" applyBorder="1" applyAlignment="1" applyProtection="1">
      <alignment horizontal="center" vertical="center"/>
      <protection hidden="1"/>
    </xf>
    <xf numFmtId="10" fontId="29" fillId="2" borderId="5" xfId="2" applyNumberFormat="1" applyFont="1" applyFill="1" applyBorder="1" applyAlignment="1" applyProtection="1">
      <alignment horizontal="center" vertical="center"/>
      <protection hidden="1"/>
    </xf>
    <xf numFmtId="171" fontId="4" fillId="0" borderId="16" xfId="0" applyNumberFormat="1" applyFont="1" applyBorder="1" applyAlignment="1">
      <alignment horizontal="center" vertical="center"/>
    </xf>
    <xf numFmtId="10" fontId="15" fillId="4" borderId="9" xfId="2" applyNumberFormat="1" applyFont="1" applyFill="1" applyBorder="1" applyAlignment="1" applyProtection="1">
      <alignment horizontal="center" vertical="center"/>
      <protection locked="0"/>
    </xf>
    <xf numFmtId="169" fontId="2" fillId="0" borderId="0" xfId="0" applyNumberFormat="1" applyFont="1" applyAlignment="1">
      <alignment horizontal="left"/>
    </xf>
    <xf numFmtId="0" fontId="29" fillId="0" borderId="0" xfId="0" applyFont="1" applyAlignment="1">
      <alignment vertical="center"/>
    </xf>
    <xf numFmtId="9" fontId="29" fillId="0" borderId="0" xfId="2" applyFont="1" applyAlignment="1">
      <alignment vertical="center"/>
    </xf>
    <xf numFmtId="10" fontId="58" fillId="4" borderId="5" xfId="2" applyNumberFormat="1" applyFont="1" applyFill="1" applyBorder="1" applyAlignment="1" applyProtection="1">
      <alignment horizontal="center" vertical="center"/>
      <protection hidden="1"/>
    </xf>
    <xf numFmtId="0" fontId="6" fillId="14" borderId="0" xfId="0" applyFont="1" applyFill="1" applyAlignment="1" applyProtection="1">
      <alignment horizontal="right" vertical="center"/>
      <protection locked="0"/>
    </xf>
    <xf numFmtId="0" fontId="27" fillId="14" borderId="0" xfId="0" applyFont="1" applyFill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44" fontId="13" fillId="0" borderId="6" xfId="1" applyFont="1" applyBorder="1" applyAlignment="1" applyProtection="1">
      <alignment horizontal="center" vertical="center"/>
      <protection locked="0"/>
    </xf>
    <xf numFmtId="0" fontId="2" fillId="10" borderId="28" xfId="0" applyFont="1" applyFill="1" applyBorder="1" applyAlignment="1" applyProtection="1">
      <alignment horizontal="center"/>
      <protection locked="0"/>
    </xf>
    <xf numFmtId="0" fontId="0" fillId="0" borderId="0" xfId="0" quotePrefix="1" applyProtection="1">
      <protection hidden="1"/>
    </xf>
    <xf numFmtId="9" fontId="10" fillId="2" borderId="48" xfId="2" applyFon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locked="0"/>
    </xf>
    <xf numFmtId="0" fontId="17" fillId="4" borderId="53" xfId="0" applyFont="1" applyFill="1" applyBorder="1" applyAlignment="1" applyProtection="1">
      <alignment horizontal="center"/>
      <protection locked="0"/>
    </xf>
    <xf numFmtId="0" fontId="2" fillId="10" borderId="17" xfId="0" applyFont="1" applyFill="1" applyBorder="1" applyAlignment="1" applyProtection="1">
      <alignment horizontal="center" vertical="center" wrapText="1"/>
      <protection locked="0"/>
    </xf>
    <xf numFmtId="0" fontId="2" fillId="10" borderId="18" xfId="0" applyFont="1" applyFill="1" applyBorder="1" applyAlignment="1" applyProtection="1">
      <alignment horizontal="center" vertical="center" wrapText="1"/>
      <protection locked="0"/>
    </xf>
    <xf numFmtId="44" fontId="13" fillId="0" borderId="46" xfId="2" applyNumberFormat="1" applyFont="1" applyBorder="1" applyAlignment="1" applyProtection="1">
      <alignment horizontal="center" vertical="center"/>
      <protection locked="0"/>
    </xf>
    <xf numFmtId="9" fontId="10" fillId="0" borderId="33" xfId="2" applyFont="1" applyBorder="1" applyAlignment="1" applyProtection="1">
      <alignment horizontal="center" vertical="center"/>
      <protection locked="0"/>
    </xf>
    <xf numFmtId="9" fontId="10" fillId="0" borderId="24" xfId="2" applyFont="1" applyBorder="1" applyAlignment="1" applyProtection="1">
      <alignment horizontal="center" vertical="center"/>
      <protection locked="0"/>
    </xf>
    <xf numFmtId="0" fontId="10" fillId="0" borderId="70" xfId="0" applyFont="1" applyBorder="1" applyAlignment="1" applyProtection="1">
      <alignment horizontal="center"/>
      <protection locked="0"/>
    </xf>
    <xf numFmtId="9" fontId="13" fillId="0" borderId="35" xfId="2" applyFont="1" applyFill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164" fontId="10" fillId="0" borderId="2" xfId="0" applyNumberFormat="1" applyFont="1" applyBorder="1" applyAlignment="1" applyProtection="1">
      <alignment horizontal="center" vertical="center"/>
      <protection locked="0"/>
    </xf>
    <xf numFmtId="44" fontId="10" fillId="0" borderId="35" xfId="1" applyFont="1" applyFill="1" applyBorder="1" applyAlignment="1" applyProtection="1">
      <alignment horizontal="center"/>
      <protection hidden="1"/>
    </xf>
    <xf numFmtId="9" fontId="13" fillId="0" borderId="23" xfId="2" applyFont="1" applyBorder="1" applyAlignment="1" applyProtection="1">
      <alignment horizontal="center"/>
      <protection hidden="1"/>
    </xf>
    <xf numFmtId="9" fontId="13" fillId="0" borderId="48" xfId="2" applyFont="1" applyBorder="1" applyAlignment="1" applyProtection="1">
      <alignment horizontal="center"/>
      <protection hidden="1"/>
    </xf>
    <xf numFmtId="44" fontId="0" fillId="3" borderId="23" xfId="1" applyFont="1" applyFill="1" applyBorder="1" applyAlignment="1" applyProtection="1">
      <alignment horizontal="center"/>
      <protection hidden="1"/>
    </xf>
    <xf numFmtId="44" fontId="0" fillId="8" borderId="2" xfId="1" applyFont="1" applyFill="1" applyBorder="1" applyAlignment="1" applyProtection="1">
      <alignment horizontal="center"/>
      <protection hidden="1"/>
    </xf>
    <xf numFmtId="44" fontId="0" fillId="2" borderId="24" xfId="1" applyFont="1" applyFill="1" applyBorder="1" applyAlignment="1" applyProtection="1">
      <alignment horizontal="center"/>
      <protection hidden="1"/>
    </xf>
    <xf numFmtId="10" fontId="29" fillId="2" borderId="23" xfId="2" applyNumberFormat="1" applyFont="1" applyFill="1" applyBorder="1" applyAlignment="1" applyProtection="1">
      <alignment horizontal="center" vertical="center"/>
      <protection hidden="1"/>
    </xf>
    <xf numFmtId="9" fontId="29" fillId="4" borderId="2" xfId="2" applyFont="1" applyFill="1" applyBorder="1" applyAlignment="1" applyProtection="1">
      <alignment horizontal="center" vertical="center"/>
      <protection hidden="1"/>
    </xf>
    <xf numFmtId="9" fontId="29" fillId="4" borderId="24" xfId="2" applyFont="1" applyFill="1" applyBorder="1" applyAlignment="1" applyProtection="1">
      <alignment horizontal="center" vertical="center"/>
      <protection hidden="1"/>
    </xf>
    <xf numFmtId="10" fontId="5" fillId="4" borderId="5" xfId="2" applyNumberFormat="1" applyFont="1" applyFill="1" applyBorder="1" applyAlignment="1" applyProtection="1">
      <alignment horizontal="center" vertical="center"/>
      <protection hidden="1"/>
    </xf>
    <xf numFmtId="172" fontId="29" fillId="2" borderId="5" xfId="2" applyNumberFormat="1" applyFont="1" applyFill="1" applyBorder="1" applyAlignment="1" applyProtection="1">
      <alignment horizontal="center" vertical="center"/>
      <protection hidden="1"/>
    </xf>
    <xf numFmtId="44" fontId="10" fillId="22" borderId="54" xfId="1" applyFont="1" applyFill="1" applyBorder="1" applyAlignment="1" applyProtection="1">
      <alignment horizontal="center"/>
      <protection hidden="1"/>
    </xf>
    <xf numFmtId="44" fontId="10" fillId="22" borderId="1" xfId="1" applyFont="1" applyFill="1" applyBorder="1" applyAlignment="1" applyProtection="1">
      <alignment horizontal="center"/>
      <protection hidden="1"/>
    </xf>
    <xf numFmtId="10" fontId="5" fillId="22" borderId="3" xfId="2" applyNumberFormat="1" applyFont="1" applyFill="1" applyBorder="1" applyAlignment="1" applyProtection="1">
      <alignment horizontal="center" vertical="center"/>
      <protection hidden="1"/>
    </xf>
    <xf numFmtId="170" fontId="13" fillId="0" borderId="46" xfId="2" applyNumberFormat="1" applyFont="1" applyBorder="1" applyAlignment="1" applyProtection="1">
      <alignment horizontal="center"/>
      <protection hidden="1"/>
    </xf>
    <xf numFmtId="0" fontId="2" fillId="0" borderId="38" xfId="0" applyFont="1" applyBorder="1" applyAlignment="1" applyProtection="1">
      <alignment horizontal="center"/>
      <protection locked="0"/>
    </xf>
    <xf numFmtId="9" fontId="10" fillId="0" borderId="68" xfId="2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69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9" fontId="10" fillId="0" borderId="23" xfId="2" applyFont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 wrapText="1"/>
      <protection hidden="1"/>
    </xf>
    <xf numFmtId="170" fontId="60" fillId="0" borderId="0" xfId="2" applyNumberFormat="1" applyFont="1" applyFill="1" applyBorder="1" applyAlignment="1" applyProtection="1">
      <alignment horizontal="center" vertical="center"/>
      <protection hidden="1"/>
    </xf>
    <xf numFmtId="0" fontId="55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left" vertical="center"/>
      <protection hidden="1"/>
    </xf>
    <xf numFmtId="0" fontId="55" fillId="3" borderId="0" xfId="5" applyFont="1" applyFill="1" applyAlignment="1" applyProtection="1">
      <alignment horizontal="center" vertical="center"/>
      <protection hidden="1"/>
    </xf>
    <xf numFmtId="0" fontId="51" fillId="0" borderId="0" xfId="5" applyFont="1" applyAlignment="1" applyProtection="1">
      <alignment horizontal="center" vertical="center"/>
      <protection hidden="1"/>
    </xf>
    <xf numFmtId="0" fontId="59" fillId="0" borderId="0" xfId="6" applyFont="1" applyAlignment="1" applyProtection="1">
      <alignment horizontal="center" vertical="center"/>
      <protection hidden="1"/>
    </xf>
    <xf numFmtId="169" fontId="59" fillId="0" borderId="0" xfId="6" applyNumberFormat="1" applyFont="1" applyAlignment="1" applyProtection="1">
      <alignment horizontal="center" vertical="center"/>
      <protection hidden="1"/>
    </xf>
    <xf numFmtId="0" fontId="59" fillId="0" borderId="11" xfId="5" applyFont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/>
      <protection hidden="1"/>
    </xf>
    <xf numFmtId="0" fontId="59" fillId="10" borderId="13" xfId="5" applyFont="1" applyFill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 wrapText="1"/>
      <protection hidden="1"/>
    </xf>
    <xf numFmtId="0" fontId="59" fillId="0" borderId="12" xfId="5" applyFont="1" applyBorder="1" applyAlignment="1" applyProtection="1">
      <alignment horizontal="center" vertical="center" wrapText="1"/>
      <protection hidden="1"/>
    </xf>
    <xf numFmtId="0" fontId="59" fillId="3" borderId="13" xfId="5" applyFont="1" applyFill="1" applyBorder="1" applyAlignment="1" applyProtection="1">
      <alignment horizontal="center" vertical="center" wrapText="1"/>
      <protection hidden="1"/>
    </xf>
    <xf numFmtId="9" fontId="59" fillId="0" borderId="13" xfId="5" applyNumberFormat="1" applyFont="1" applyBorder="1" applyAlignment="1" applyProtection="1">
      <alignment horizontal="center" vertical="center" wrapText="1"/>
      <protection hidden="1"/>
    </xf>
    <xf numFmtId="9" fontId="59" fillId="0" borderId="12" xfId="5" applyNumberFormat="1" applyFont="1" applyBorder="1" applyAlignment="1" applyProtection="1">
      <alignment horizontal="center" vertical="center" wrapText="1"/>
      <protection hidden="1"/>
    </xf>
    <xf numFmtId="0" fontId="50" fillId="0" borderId="0" xfId="5" applyFont="1" applyAlignment="1" applyProtection="1">
      <alignment horizontal="center" vertical="center"/>
      <protection hidden="1"/>
    </xf>
    <xf numFmtId="0" fontId="55" fillId="4" borderId="3" xfId="5" applyFont="1" applyFill="1" applyBorder="1" applyAlignment="1" applyProtection="1">
      <alignment horizontal="center" vertical="center"/>
      <protection hidden="1"/>
    </xf>
    <xf numFmtId="0" fontId="55" fillId="4" borderId="9" xfId="5" applyFont="1" applyFill="1" applyBorder="1" applyAlignment="1" applyProtection="1">
      <alignment horizontal="center" vertical="center"/>
      <protection hidden="1"/>
    </xf>
    <xf numFmtId="167" fontId="55" fillId="4" borderId="9" xfId="5" applyNumberFormat="1" applyFont="1" applyFill="1" applyBorder="1" applyAlignment="1" applyProtection="1">
      <alignment horizontal="center" vertical="center"/>
      <protection hidden="1"/>
    </xf>
    <xf numFmtId="167" fontId="55" fillId="4" borderId="4" xfId="5" applyNumberFormat="1" applyFont="1" applyFill="1" applyBorder="1" applyAlignment="1" applyProtection="1">
      <alignment horizontal="center" vertical="center"/>
      <protection hidden="1"/>
    </xf>
    <xf numFmtId="167" fontId="55" fillId="3" borderId="9" xfId="5" applyNumberFormat="1" applyFont="1" applyFill="1" applyBorder="1" applyAlignment="1" applyProtection="1">
      <alignment horizontal="center" vertical="center"/>
      <protection hidden="1"/>
    </xf>
    <xf numFmtId="2" fontId="55" fillId="0" borderId="38" xfId="5" applyNumberFormat="1" applyFont="1" applyBorder="1" applyAlignment="1" applyProtection="1">
      <alignment horizontal="center" vertical="center"/>
      <protection hidden="1"/>
    </xf>
    <xf numFmtId="2" fontId="55" fillId="0" borderId="40" xfId="5" applyNumberFormat="1" applyFont="1" applyBorder="1" applyAlignment="1" applyProtection="1">
      <alignment horizontal="center" vertical="center"/>
      <protection hidden="1"/>
    </xf>
    <xf numFmtId="0" fontId="55" fillId="4" borderId="5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 wrapText="1"/>
      <protection hidden="1"/>
    </xf>
    <xf numFmtId="167" fontId="55" fillId="4" borderId="1" xfId="5" applyNumberFormat="1" applyFont="1" applyFill="1" applyBorder="1" applyAlignment="1" applyProtection="1">
      <alignment horizontal="center" vertical="center"/>
      <protection hidden="1"/>
    </xf>
    <xf numFmtId="167" fontId="55" fillId="4" borderId="6" xfId="5" applyNumberFormat="1" applyFont="1" applyFill="1" applyBorder="1" applyAlignment="1" applyProtection="1">
      <alignment horizontal="center" vertical="center"/>
      <protection hidden="1"/>
    </xf>
    <xf numFmtId="167" fontId="55" fillId="3" borderId="1" xfId="5" applyNumberFormat="1" applyFont="1" applyFill="1" applyBorder="1" applyAlignment="1" applyProtection="1">
      <alignment horizontal="center" vertical="center"/>
      <protection hidden="1"/>
    </xf>
    <xf numFmtId="2" fontId="55" fillId="0" borderId="1" xfId="5" applyNumberFormat="1" applyFont="1" applyBorder="1" applyAlignment="1" applyProtection="1">
      <alignment horizontal="center" vertical="center"/>
      <protection hidden="1"/>
    </xf>
    <xf numFmtId="2" fontId="55" fillId="0" borderId="6" xfId="5" applyNumberFormat="1" applyFont="1" applyBorder="1" applyAlignment="1" applyProtection="1">
      <alignment horizontal="center" vertical="center"/>
      <protection hidden="1"/>
    </xf>
    <xf numFmtId="0" fontId="55" fillId="4" borderId="7" xfId="5" applyFont="1" applyFill="1" applyBorder="1" applyAlignment="1" applyProtection="1">
      <alignment horizontal="center" vertical="center"/>
      <protection hidden="1"/>
    </xf>
    <xf numFmtId="0" fontId="55" fillId="4" borderId="10" xfId="5" applyFont="1" applyFill="1" applyBorder="1" applyAlignment="1" applyProtection="1">
      <alignment horizontal="center" vertical="center"/>
      <protection hidden="1"/>
    </xf>
    <xf numFmtId="167" fontId="55" fillId="4" borderId="10" xfId="5" applyNumberFormat="1" applyFont="1" applyFill="1" applyBorder="1" applyAlignment="1" applyProtection="1">
      <alignment horizontal="center" vertical="center"/>
      <protection hidden="1"/>
    </xf>
    <xf numFmtId="167" fontId="55" fillId="4" borderId="8" xfId="5" applyNumberFormat="1" applyFont="1" applyFill="1" applyBorder="1" applyAlignment="1" applyProtection="1">
      <alignment horizontal="center" vertical="center"/>
      <protection hidden="1"/>
    </xf>
    <xf numFmtId="167" fontId="55" fillId="3" borderId="10" xfId="5" applyNumberFormat="1" applyFont="1" applyFill="1" applyBorder="1" applyAlignment="1" applyProtection="1">
      <alignment horizontal="center" vertical="center"/>
      <protection hidden="1"/>
    </xf>
    <xf numFmtId="2" fontId="55" fillId="0" borderId="10" xfId="5" applyNumberFormat="1" applyFont="1" applyBorder="1" applyAlignment="1" applyProtection="1">
      <alignment horizontal="center" vertical="center"/>
      <protection hidden="1"/>
    </xf>
    <xf numFmtId="2" fontId="55" fillId="0" borderId="8" xfId="5" applyNumberFormat="1" applyFont="1" applyBorder="1" applyAlignment="1" applyProtection="1">
      <alignment horizontal="center" vertical="center"/>
      <protection hidden="1"/>
    </xf>
    <xf numFmtId="2" fontId="55" fillId="0" borderId="9" xfId="5" applyNumberFormat="1" applyFont="1" applyBorder="1" applyAlignment="1" applyProtection="1">
      <alignment horizontal="center" vertical="center"/>
      <protection hidden="1"/>
    </xf>
    <xf numFmtId="2" fontId="55" fillId="0" borderId="4" xfId="5" applyNumberFormat="1" applyFont="1" applyBorder="1" applyAlignment="1" applyProtection="1">
      <alignment horizontal="center" vertical="center"/>
      <protection hidden="1"/>
    </xf>
    <xf numFmtId="0" fontId="55" fillId="9" borderId="5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 wrapText="1"/>
      <protection hidden="1"/>
    </xf>
    <xf numFmtId="167" fontId="55" fillId="9" borderId="1" xfId="5" applyNumberFormat="1" applyFont="1" applyFill="1" applyBorder="1" applyAlignment="1" applyProtection="1">
      <alignment horizontal="center" vertical="center"/>
      <protection hidden="1"/>
    </xf>
    <xf numFmtId="167" fontId="55" fillId="9" borderId="6" xfId="5" applyNumberFormat="1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 wrapText="1"/>
      <protection hidden="1"/>
    </xf>
    <xf numFmtId="167" fontId="55" fillId="9" borderId="9" xfId="5" applyNumberFormat="1" applyFont="1" applyFill="1" applyBorder="1" applyAlignment="1" applyProtection="1">
      <alignment horizontal="center" vertical="center"/>
      <protection hidden="1"/>
    </xf>
    <xf numFmtId="167" fontId="55" fillId="9" borderId="4" xfId="5" applyNumberFormat="1" applyFont="1" applyFill="1" applyBorder="1" applyAlignment="1" applyProtection="1">
      <alignment horizontal="center" vertical="center"/>
      <protection hidden="1"/>
    </xf>
    <xf numFmtId="0" fontId="55" fillId="12" borderId="0" xfId="5" applyFont="1" applyFill="1" applyAlignment="1" applyProtection="1">
      <alignment horizontal="center" vertical="center"/>
      <protection hidden="1"/>
    </xf>
    <xf numFmtId="0" fontId="55" fillId="12" borderId="23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 wrapText="1"/>
      <protection hidden="1"/>
    </xf>
    <xf numFmtId="167" fontId="55" fillId="12" borderId="2" xfId="5" applyNumberFormat="1" applyFont="1" applyFill="1" applyBorder="1" applyAlignment="1" applyProtection="1">
      <alignment horizontal="center" vertical="center"/>
      <protection hidden="1"/>
    </xf>
    <xf numFmtId="167" fontId="55" fillId="12" borderId="24" xfId="5" applyNumberFormat="1" applyFont="1" applyFill="1" applyBorder="1" applyAlignment="1" applyProtection="1">
      <alignment horizontal="center" vertical="center"/>
      <protection hidden="1"/>
    </xf>
    <xf numFmtId="2" fontId="55" fillId="12" borderId="2" xfId="5" applyNumberFormat="1" applyFont="1" applyFill="1" applyBorder="1" applyAlignment="1" applyProtection="1">
      <alignment horizontal="center" vertical="center"/>
      <protection hidden="1"/>
    </xf>
    <xf numFmtId="2" fontId="55" fillId="12" borderId="24" xfId="5" applyNumberFormat="1" applyFont="1" applyFill="1" applyBorder="1" applyAlignment="1" applyProtection="1">
      <alignment horizontal="center" vertical="center"/>
      <protection hidden="1"/>
    </xf>
    <xf numFmtId="0" fontId="51" fillId="12" borderId="0" xfId="5" applyFont="1" applyFill="1" applyAlignment="1" applyProtection="1">
      <alignment horizontal="center" vertical="center"/>
      <protection hidden="1"/>
    </xf>
    <xf numFmtId="0" fontId="50" fillId="12" borderId="0" xfId="5" applyFont="1" applyFill="1" applyAlignment="1" applyProtection="1">
      <alignment horizontal="center" vertical="center"/>
      <protection hidden="1"/>
    </xf>
    <xf numFmtId="0" fontId="59" fillId="0" borderId="5" xfId="5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/>
      <protection hidden="1"/>
    </xf>
    <xf numFmtId="0" fontId="55" fillId="0" borderId="1" xfId="5" applyFont="1" applyBorder="1" applyAlignment="1" applyProtection="1">
      <alignment horizontal="center" vertical="center"/>
      <protection hidden="1"/>
    </xf>
    <xf numFmtId="167" fontId="59" fillId="0" borderId="1" xfId="5" applyNumberFormat="1" applyFont="1" applyBorder="1" applyAlignment="1" applyProtection="1">
      <alignment horizontal="center" vertical="center"/>
      <protection hidden="1"/>
    </xf>
    <xf numFmtId="167" fontId="59" fillId="0" borderId="6" xfId="5" applyNumberFormat="1" applyFont="1" applyBorder="1" applyAlignment="1" applyProtection="1">
      <alignment horizontal="center" vertical="center"/>
      <protection hidden="1"/>
    </xf>
    <xf numFmtId="167" fontId="59" fillId="3" borderId="1" xfId="5" applyNumberFormat="1" applyFont="1" applyFill="1" applyBorder="1" applyAlignment="1" applyProtection="1">
      <alignment horizontal="center" vertical="center"/>
      <protection hidden="1"/>
    </xf>
    <xf numFmtId="0" fontId="59" fillId="0" borderId="6" xfId="5" applyFont="1" applyBorder="1" applyAlignment="1" applyProtection="1">
      <alignment horizontal="center" vertical="center"/>
      <protection hidden="1"/>
    </xf>
    <xf numFmtId="0" fontId="55" fillId="0" borderId="5" xfId="5" applyFont="1" applyBorder="1" applyAlignment="1" applyProtection="1">
      <alignment horizontal="center" vertical="center"/>
      <protection hidden="1"/>
    </xf>
    <xf numFmtId="167" fontId="55" fillId="0" borderId="1" xfId="5" applyNumberFormat="1" applyFont="1" applyBorder="1" applyAlignment="1" applyProtection="1">
      <alignment horizontal="center" vertical="center"/>
      <protection hidden="1"/>
    </xf>
    <xf numFmtId="167" fontId="55" fillId="0" borderId="6" xfId="5" applyNumberFormat="1" applyFont="1" applyBorder="1" applyAlignment="1" applyProtection="1">
      <alignment horizontal="center" vertical="center"/>
      <protection hidden="1"/>
    </xf>
    <xf numFmtId="0" fontId="55" fillId="0" borderId="7" xfId="5" applyFont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/>
      <protection hidden="1"/>
    </xf>
    <xf numFmtId="167" fontId="55" fillId="0" borderId="10" xfId="5" applyNumberFormat="1" applyFont="1" applyBorder="1" applyAlignment="1" applyProtection="1">
      <alignment horizontal="center" vertical="center"/>
      <protection hidden="1"/>
    </xf>
    <xf numFmtId="167" fontId="55" fillId="0" borderId="8" xfId="5" applyNumberFormat="1" applyFont="1" applyBorder="1" applyAlignment="1" applyProtection="1">
      <alignment horizontal="center" vertical="center"/>
      <protection hidden="1"/>
    </xf>
    <xf numFmtId="0" fontId="55" fillId="0" borderId="3" xfId="5" applyFont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/>
      <protection hidden="1"/>
    </xf>
    <xf numFmtId="167" fontId="55" fillId="0" borderId="9" xfId="5" applyNumberFormat="1" applyFont="1" applyBorder="1" applyAlignment="1" applyProtection="1">
      <alignment horizontal="center" vertical="center"/>
      <protection hidden="1"/>
    </xf>
    <xf numFmtId="167" fontId="55" fillId="0" borderId="4" xfId="5" applyNumberFormat="1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 wrapText="1"/>
      <protection hidden="1"/>
    </xf>
    <xf numFmtId="0" fontId="55" fillId="0" borderId="1" xfId="5" applyFont="1" applyBorder="1" applyAlignment="1" applyProtection="1">
      <alignment horizontal="center" vertical="center" wrapText="1"/>
      <protection hidden="1"/>
    </xf>
    <xf numFmtId="0" fontId="59" fillId="0" borderId="7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 wrapText="1"/>
      <protection hidden="1"/>
    </xf>
    <xf numFmtId="167" fontId="59" fillId="0" borderId="10" xfId="5" applyNumberFormat="1" applyFont="1" applyBorder="1" applyAlignment="1" applyProtection="1">
      <alignment horizontal="center" vertical="center"/>
      <protection hidden="1"/>
    </xf>
    <xf numFmtId="167" fontId="59" fillId="0" borderId="8" xfId="5" applyNumberFormat="1" applyFont="1" applyBorder="1" applyAlignment="1" applyProtection="1">
      <alignment horizontal="center" vertical="center"/>
      <protection hidden="1"/>
    </xf>
    <xf numFmtId="167" fontId="59" fillId="3" borderId="10" xfId="5" applyNumberFormat="1" applyFont="1" applyFill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 wrapText="1"/>
      <protection hidden="1"/>
    </xf>
    <xf numFmtId="0" fontId="59" fillId="2" borderId="7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 wrapText="1"/>
      <protection hidden="1"/>
    </xf>
    <xf numFmtId="167" fontId="59" fillId="2" borderId="10" xfId="5" applyNumberFormat="1" applyFont="1" applyFill="1" applyBorder="1" applyAlignment="1" applyProtection="1">
      <alignment horizontal="center" vertical="center"/>
      <protection hidden="1"/>
    </xf>
    <xf numFmtId="167" fontId="59" fillId="2" borderId="8" xfId="5" applyNumberFormat="1" applyFont="1" applyFill="1" applyBorder="1" applyAlignment="1" applyProtection="1">
      <alignment horizontal="center" vertical="center"/>
      <protection hidden="1"/>
    </xf>
    <xf numFmtId="2" fontId="55" fillId="2" borderId="10" xfId="5" applyNumberFormat="1" applyFont="1" applyFill="1" applyBorder="1" applyAlignment="1" applyProtection="1">
      <alignment horizontal="center" vertical="center"/>
      <protection hidden="1"/>
    </xf>
    <xf numFmtId="2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5" fillId="2" borderId="3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 wrapText="1"/>
      <protection hidden="1"/>
    </xf>
    <xf numFmtId="167" fontId="55" fillId="2" borderId="9" xfId="5" applyNumberFormat="1" applyFont="1" applyFill="1" applyBorder="1" applyAlignment="1" applyProtection="1">
      <alignment horizontal="center" vertical="center"/>
      <protection hidden="1"/>
    </xf>
    <xf numFmtId="167" fontId="55" fillId="2" borderId="4" xfId="5" applyNumberFormat="1" applyFont="1" applyFill="1" applyBorder="1" applyAlignment="1" applyProtection="1">
      <alignment horizontal="center" vertical="center"/>
      <protection hidden="1"/>
    </xf>
    <xf numFmtId="2" fontId="55" fillId="2" borderId="9" xfId="5" applyNumberFormat="1" applyFont="1" applyFill="1" applyBorder="1" applyAlignment="1" applyProtection="1">
      <alignment horizontal="center" vertical="center"/>
      <protection hidden="1"/>
    </xf>
    <xf numFmtId="2" fontId="55" fillId="2" borderId="4" xfId="5" applyNumberFormat="1" applyFont="1" applyFill="1" applyBorder="1" applyAlignment="1" applyProtection="1">
      <alignment horizontal="center" vertical="center"/>
      <protection hidden="1"/>
    </xf>
    <xf numFmtId="0" fontId="55" fillId="2" borderId="5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 wrapText="1"/>
      <protection hidden="1"/>
    </xf>
    <xf numFmtId="167" fontId="55" fillId="2" borderId="1" xfId="5" applyNumberFormat="1" applyFont="1" applyFill="1" applyBorder="1" applyAlignment="1" applyProtection="1">
      <alignment horizontal="center" vertical="center"/>
      <protection hidden="1"/>
    </xf>
    <xf numFmtId="167" fontId="55" fillId="2" borderId="6" xfId="5" applyNumberFormat="1" applyFont="1" applyFill="1" applyBorder="1" applyAlignment="1" applyProtection="1">
      <alignment horizontal="center" vertical="center"/>
      <protection hidden="1"/>
    </xf>
    <xf numFmtId="2" fontId="55" fillId="2" borderId="1" xfId="5" applyNumberFormat="1" applyFont="1" applyFill="1" applyBorder="1" applyAlignment="1" applyProtection="1">
      <alignment horizontal="center" vertical="center"/>
      <protection hidden="1"/>
    </xf>
    <xf numFmtId="2" fontId="55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 wrapText="1"/>
      <protection hidden="1"/>
    </xf>
    <xf numFmtId="0" fontId="59" fillId="0" borderId="3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 wrapText="1"/>
      <protection hidden="1"/>
    </xf>
    <xf numFmtId="167" fontId="59" fillId="0" borderId="9" xfId="5" applyNumberFormat="1" applyFont="1" applyBorder="1" applyAlignment="1" applyProtection="1">
      <alignment horizontal="center" vertical="center"/>
      <protection hidden="1"/>
    </xf>
    <xf numFmtId="167" fontId="59" fillId="0" borderId="4" xfId="5" applyNumberFormat="1" applyFont="1" applyBorder="1" applyAlignment="1" applyProtection="1">
      <alignment horizontal="center" vertical="center"/>
      <protection hidden="1"/>
    </xf>
    <xf numFmtId="167" fontId="59" fillId="3" borderId="9" xfId="5" applyNumberFormat="1" applyFont="1" applyFill="1" applyBorder="1" applyAlignment="1" applyProtection="1">
      <alignment horizontal="center" vertical="center"/>
      <protection hidden="1"/>
    </xf>
    <xf numFmtId="0" fontId="59" fillId="2" borderId="3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 wrapText="1"/>
      <protection hidden="1"/>
    </xf>
    <xf numFmtId="167" fontId="59" fillId="2" borderId="9" xfId="5" applyNumberFormat="1" applyFont="1" applyFill="1" applyBorder="1" applyAlignment="1" applyProtection="1">
      <alignment horizontal="center" vertical="center"/>
      <protection hidden="1"/>
    </xf>
    <xf numFmtId="167" fontId="59" fillId="2" borderId="4" xfId="5" applyNumberFormat="1" applyFont="1" applyFill="1" applyBorder="1" applyAlignment="1" applyProtection="1">
      <alignment horizontal="center" vertical="center"/>
      <protection hidden="1"/>
    </xf>
    <xf numFmtId="0" fontId="59" fillId="2" borderId="5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 wrapText="1"/>
      <protection hidden="1"/>
    </xf>
    <xf numFmtId="167" fontId="59" fillId="2" borderId="1" xfId="5" applyNumberFormat="1" applyFont="1" applyFill="1" applyBorder="1" applyAlignment="1" applyProtection="1">
      <alignment horizontal="center" vertical="center"/>
      <protection hidden="1"/>
    </xf>
    <xf numFmtId="167" fontId="59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2" borderId="7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 wrapText="1"/>
      <protection hidden="1"/>
    </xf>
    <xf numFmtId="167" fontId="55" fillId="2" borderId="10" xfId="5" applyNumberFormat="1" applyFont="1" applyFill="1" applyBorder="1" applyAlignment="1" applyProtection="1">
      <alignment horizontal="center" vertical="center"/>
      <protection hidden="1"/>
    </xf>
    <xf numFmtId="167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1" fillId="4" borderId="1" xfId="5" applyFont="1" applyFill="1" applyBorder="1" applyAlignment="1" applyProtection="1">
      <alignment horizontal="center" vertical="center"/>
      <protection hidden="1"/>
    </xf>
    <xf numFmtId="0" fontId="51" fillId="9" borderId="1" xfId="5" applyFont="1" applyFill="1" applyBorder="1" applyAlignment="1" applyProtection="1">
      <alignment horizontal="center" vertical="center"/>
      <protection hidden="1"/>
    </xf>
    <xf numFmtId="44" fontId="2" fillId="0" borderId="0" xfId="0" applyNumberFormat="1" applyFont="1" applyProtection="1">
      <protection hidden="1"/>
    </xf>
    <xf numFmtId="0" fontId="51" fillId="2" borderId="1" xfId="5" applyFont="1" applyFill="1" applyBorder="1" applyAlignment="1" applyProtection="1">
      <alignment horizontal="center" vertical="center"/>
      <protection hidden="1"/>
    </xf>
    <xf numFmtId="167" fontId="52" fillId="0" borderId="1" xfId="5" applyNumberFormat="1" applyFont="1" applyBorder="1" applyAlignment="1" applyProtection="1">
      <alignment horizontal="center" vertical="center"/>
      <protection hidden="1"/>
    </xf>
    <xf numFmtId="167" fontId="51" fillId="4" borderId="1" xfId="5" applyNumberFormat="1" applyFont="1" applyFill="1" applyBorder="1" applyAlignment="1" applyProtection="1">
      <alignment horizontal="center" vertical="center"/>
      <protection hidden="1"/>
    </xf>
    <xf numFmtId="167" fontId="51" fillId="14" borderId="1" xfId="5" applyNumberFormat="1" applyFont="1" applyFill="1" applyBorder="1" applyAlignment="1" applyProtection="1">
      <alignment horizontal="center" vertical="center"/>
      <protection hidden="1"/>
    </xf>
    <xf numFmtId="167" fontId="51" fillId="19" borderId="1" xfId="5" applyNumberFormat="1" applyFont="1" applyFill="1" applyBorder="1" applyAlignment="1" applyProtection="1">
      <alignment horizontal="center" vertical="center"/>
      <protection hidden="1"/>
    </xf>
    <xf numFmtId="167" fontId="53" fillId="17" borderId="1" xfId="5" applyNumberFormat="1" applyFont="1" applyFill="1" applyBorder="1" applyAlignment="1" applyProtection="1">
      <alignment horizontal="center" vertical="center"/>
      <protection hidden="1"/>
    </xf>
    <xf numFmtId="0" fontId="2" fillId="2" borderId="50" xfId="0" applyFont="1" applyFill="1" applyBorder="1" applyAlignment="1" applyProtection="1">
      <alignment horizontal="center"/>
      <protection hidden="1"/>
    </xf>
    <xf numFmtId="0" fontId="2" fillId="2" borderId="51" xfId="0" applyFont="1" applyFill="1" applyBorder="1" applyAlignment="1" applyProtection="1">
      <alignment horizontal="center"/>
      <protection hidden="1"/>
    </xf>
    <xf numFmtId="0" fontId="2" fillId="2" borderId="52" xfId="0" applyFont="1" applyFill="1" applyBorder="1" applyAlignment="1" applyProtection="1">
      <alignment horizontal="center"/>
      <protection hidden="1"/>
    </xf>
    <xf numFmtId="2" fontId="0" fillId="2" borderId="23" xfId="0" applyNumberFormat="1" applyFill="1" applyBorder="1" applyAlignment="1" applyProtection="1">
      <alignment horizontal="center"/>
      <protection hidden="1"/>
    </xf>
    <xf numFmtId="2" fontId="0" fillId="2" borderId="2" xfId="0" applyNumberFormat="1" applyFill="1" applyBorder="1" applyAlignment="1" applyProtection="1">
      <alignment horizontal="center"/>
      <protection hidden="1"/>
    </xf>
    <xf numFmtId="2" fontId="0" fillId="2" borderId="24" xfId="0" applyNumberFormat="1" applyFill="1" applyBorder="1" applyAlignment="1" applyProtection="1">
      <alignment horizontal="center"/>
      <protection hidden="1"/>
    </xf>
    <xf numFmtId="2" fontId="0" fillId="2" borderId="5" xfId="0" applyNumberFormat="1" applyFill="1" applyBorder="1" applyAlignment="1" applyProtection="1">
      <alignment horizontal="center"/>
      <protection hidden="1"/>
    </xf>
    <xf numFmtId="2" fontId="0" fillId="2" borderId="1" xfId="0" applyNumberFormat="1" applyFill="1" applyBorder="1" applyAlignment="1" applyProtection="1">
      <alignment horizontal="center"/>
      <protection hidden="1"/>
    </xf>
    <xf numFmtId="2" fontId="0" fillId="2" borderId="6" xfId="0" applyNumberFormat="1" applyFill="1" applyBorder="1" applyAlignment="1" applyProtection="1">
      <alignment horizontal="center"/>
      <protection hidden="1"/>
    </xf>
    <xf numFmtId="2" fontId="0" fillId="2" borderId="7" xfId="0" applyNumberFormat="1" applyFill="1" applyBorder="1" applyAlignment="1" applyProtection="1">
      <alignment horizontal="center"/>
      <protection hidden="1"/>
    </xf>
    <xf numFmtId="2" fontId="0" fillId="2" borderId="10" xfId="0" applyNumberFormat="1" applyFill="1" applyBorder="1" applyAlignment="1" applyProtection="1">
      <alignment horizontal="center"/>
      <protection hidden="1"/>
    </xf>
    <xf numFmtId="2" fontId="0" fillId="2" borderId="8" xfId="0" applyNumberFormat="1" applyFill="1" applyBorder="1" applyAlignment="1" applyProtection="1">
      <alignment horizontal="center"/>
      <protection hidden="1"/>
    </xf>
    <xf numFmtId="2" fontId="2" fillId="0" borderId="58" xfId="0" applyNumberFormat="1" applyFont="1" applyBorder="1" applyAlignment="1" applyProtection="1">
      <alignment horizontal="center"/>
      <protection hidden="1"/>
    </xf>
    <xf numFmtId="2" fontId="2" fillId="0" borderId="10" xfId="0" applyNumberFormat="1" applyFont="1" applyBorder="1" applyAlignment="1" applyProtection="1">
      <alignment horizontal="center"/>
      <protection hidden="1"/>
    </xf>
    <xf numFmtId="2" fontId="2" fillId="0" borderId="8" xfId="0" applyNumberFormat="1" applyFont="1" applyBorder="1" applyAlignment="1" applyProtection="1">
      <alignment horizontal="center"/>
      <protection hidden="1"/>
    </xf>
    <xf numFmtId="0" fontId="10" fillId="0" borderId="3" xfId="0" applyFont="1" applyBorder="1" applyAlignment="1" applyProtection="1">
      <alignment horizontal="center"/>
      <protection hidden="1"/>
    </xf>
    <xf numFmtId="44" fontId="10" fillId="0" borderId="9" xfId="1" applyFont="1" applyFill="1" applyBorder="1" applyAlignment="1" applyProtection="1">
      <alignment horizontal="center"/>
      <protection hidden="1"/>
    </xf>
    <xf numFmtId="44" fontId="0" fillId="0" borderId="9" xfId="0" applyNumberFormat="1" applyBorder="1" applyProtection="1">
      <protection hidden="1"/>
    </xf>
    <xf numFmtId="44" fontId="0" fillId="0" borderId="4" xfId="0" applyNumberFormat="1" applyBorder="1" applyProtection="1">
      <protection hidden="1"/>
    </xf>
    <xf numFmtId="0" fontId="10" fillId="0" borderId="5" xfId="0" applyFont="1" applyBorder="1" applyAlignment="1" applyProtection="1">
      <alignment horizontal="center"/>
      <protection hidden="1"/>
    </xf>
    <xf numFmtId="44" fontId="0" fillId="0" borderId="1" xfId="0" applyNumberFormat="1" applyBorder="1" applyProtection="1">
      <protection hidden="1"/>
    </xf>
    <xf numFmtId="44" fontId="0" fillId="0" borderId="6" xfId="0" applyNumberFormat="1" applyBorder="1" applyProtection="1">
      <protection hidden="1"/>
    </xf>
    <xf numFmtId="0" fontId="10" fillId="0" borderId="7" xfId="0" applyFont="1" applyBorder="1" applyAlignment="1" applyProtection="1">
      <alignment horizontal="center"/>
      <protection hidden="1"/>
    </xf>
    <xf numFmtId="44" fontId="10" fillId="0" borderId="10" xfId="1" applyFont="1" applyFill="1" applyBorder="1" applyAlignment="1" applyProtection="1">
      <alignment horizontal="center"/>
      <protection hidden="1"/>
    </xf>
    <xf numFmtId="44" fontId="0" fillId="0" borderId="10" xfId="0" applyNumberFormat="1" applyBorder="1" applyProtection="1">
      <protection hidden="1"/>
    </xf>
    <xf numFmtId="44" fontId="0" fillId="0" borderId="8" xfId="0" applyNumberFormat="1" applyBorder="1" applyProtection="1">
      <protection hidden="1"/>
    </xf>
    <xf numFmtId="0" fontId="0" fillId="0" borderId="31" xfId="0" applyBorder="1" applyProtection="1">
      <protection hidden="1"/>
    </xf>
    <xf numFmtId="0" fontId="2" fillId="0" borderId="66" xfId="0" applyFont="1" applyBorder="1" applyAlignment="1" applyProtection="1">
      <alignment horizontal="right"/>
      <protection hidden="1"/>
    </xf>
    <xf numFmtId="44" fontId="2" fillId="0" borderId="9" xfId="0" applyNumberFormat="1" applyFont="1" applyBorder="1" applyProtection="1">
      <protection hidden="1"/>
    </xf>
    <xf numFmtId="44" fontId="2" fillId="0" borderId="4" xfId="0" applyNumberFormat="1" applyFont="1" applyBorder="1" applyProtection="1">
      <protection hidden="1"/>
    </xf>
    <xf numFmtId="0" fontId="0" fillId="0" borderId="34" xfId="0" applyBorder="1" applyProtection="1">
      <protection hidden="1"/>
    </xf>
    <xf numFmtId="0" fontId="2" fillId="0" borderId="58" xfId="0" applyFont="1" applyBorder="1" applyAlignment="1" applyProtection="1">
      <alignment horizontal="right"/>
      <protection hidden="1"/>
    </xf>
    <xf numFmtId="0" fontId="2" fillId="0" borderId="56" xfId="0" applyFont="1" applyBorder="1" applyAlignment="1" applyProtection="1">
      <alignment horizontal="right"/>
      <protection hidden="1"/>
    </xf>
    <xf numFmtId="44" fontId="2" fillId="2" borderId="52" xfId="0" applyNumberFormat="1" applyFont="1" applyFill="1" applyBorder="1" applyProtection="1">
      <protection hidden="1"/>
    </xf>
    <xf numFmtId="0" fontId="2" fillId="0" borderId="0" xfId="0" applyFont="1" applyAlignment="1" applyProtection="1">
      <alignment horizontal="right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/>
      <protection locked="0"/>
    </xf>
    <xf numFmtId="2" fontId="15" fillId="0" borderId="0" xfId="0" applyNumberFormat="1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9" fontId="15" fillId="0" borderId="0" xfId="2" applyFont="1" applyAlignment="1" applyProtection="1">
      <alignment horizontal="center"/>
      <protection locked="0"/>
    </xf>
    <xf numFmtId="0" fontId="0" fillId="10" borderId="75" xfId="0" applyFill="1" applyBorder="1" applyAlignment="1" applyProtection="1">
      <alignment horizontal="center"/>
      <protection locked="0"/>
    </xf>
    <xf numFmtId="9" fontId="10" fillId="10" borderId="13" xfId="2" applyFont="1" applyFill="1" applyBorder="1" applyAlignment="1" applyProtection="1">
      <alignment horizontal="center"/>
      <protection locked="0"/>
    </xf>
    <xf numFmtId="0" fontId="0" fillId="10" borderId="13" xfId="0" applyFill="1" applyBorder="1" applyAlignment="1" applyProtection="1">
      <alignment horizontal="center"/>
      <protection locked="0"/>
    </xf>
    <xf numFmtId="0" fontId="0" fillId="10" borderId="63" xfId="0" applyFill="1" applyBorder="1" applyAlignment="1" applyProtection="1">
      <alignment horizontal="center" vertical="center" wrapText="1"/>
      <protection locked="0"/>
    </xf>
    <xf numFmtId="0" fontId="0" fillId="10" borderId="16" xfId="0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54" xfId="0" applyNumberFormat="1" applyBorder="1" applyAlignment="1" applyProtection="1">
      <alignment horizontal="center"/>
      <protection locked="0"/>
    </xf>
    <xf numFmtId="44" fontId="5" fillId="3" borderId="20" xfId="1" applyFont="1" applyFill="1" applyBorder="1" applyAlignment="1" applyProtection="1">
      <alignment horizontal="center"/>
      <protection locked="0"/>
    </xf>
    <xf numFmtId="0" fontId="29" fillId="3" borderId="21" xfId="0" applyFont="1" applyFill="1" applyBorder="1" applyProtection="1">
      <protection locked="0"/>
    </xf>
    <xf numFmtId="0" fontId="0" fillId="3" borderId="22" xfId="0" applyFill="1" applyBorder="1" applyProtection="1">
      <protection locked="0"/>
    </xf>
    <xf numFmtId="44" fontId="5" fillId="3" borderId="20" xfId="1" applyFont="1" applyFill="1" applyBorder="1" applyAlignment="1" applyProtection="1">
      <alignment horizontal="right"/>
      <protection locked="0"/>
    </xf>
    <xf numFmtId="0" fontId="17" fillId="4" borderId="50" xfId="0" applyFont="1" applyFill="1" applyBorder="1" applyAlignment="1" applyProtection="1">
      <alignment horizontal="center"/>
      <protection hidden="1"/>
    </xf>
    <xf numFmtId="0" fontId="17" fillId="4" borderId="52" xfId="0" applyFont="1" applyFill="1" applyBorder="1" applyAlignment="1" applyProtection="1">
      <alignment horizontal="center"/>
      <protection hidden="1"/>
    </xf>
    <xf numFmtId="0" fontId="2" fillId="0" borderId="11" xfId="0" applyFont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hidden="1"/>
    </xf>
    <xf numFmtId="44" fontId="2" fillId="0" borderId="11" xfId="0" applyNumberFormat="1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44" fontId="13" fillId="0" borderId="33" xfId="1" applyFont="1" applyBorder="1" applyAlignment="1" applyProtection="1">
      <alignment horizontal="center" vertical="center"/>
      <protection hidden="1"/>
    </xf>
    <xf numFmtId="44" fontId="13" fillId="0" borderId="24" xfId="1" applyFont="1" applyBorder="1" applyAlignment="1" applyProtection="1">
      <alignment horizontal="center" vertical="center"/>
      <protection hidden="1"/>
    </xf>
    <xf numFmtId="166" fontId="6" fillId="15" borderId="4" xfId="3" applyFont="1" applyFill="1" applyBorder="1" applyAlignment="1" applyProtection="1">
      <alignment horizontal="center" vertical="center"/>
      <protection hidden="1"/>
    </xf>
    <xf numFmtId="166" fontId="6" fillId="15" borderId="6" xfId="3" applyFont="1" applyFill="1" applyBorder="1" applyAlignment="1" applyProtection="1">
      <alignment horizontal="center" vertical="center"/>
      <protection hidden="1"/>
    </xf>
    <xf numFmtId="166" fontId="6" fillId="15" borderId="8" xfId="3" applyFont="1" applyFill="1" applyBorder="1" applyAlignment="1" applyProtection="1">
      <alignment horizontal="center" vertic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hidden="1"/>
    </xf>
    <xf numFmtId="170" fontId="6" fillId="15" borderId="43" xfId="2" applyNumberFormat="1" applyFont="1" applyFill="1" applyBorder="1" applyAlignment="1" applyProtection="1">
      <alignment vertical="center"/>
      <protection hidden="1"/>
    </xf>
    <xf numFmtId="166" fontId="6" fillId="15" borderId="43" xfId="0" applyNumberFormat="1" applyFont="1" applyFill="1" applyBorder="1" applyAlignment="1" applyProtection="1">
      <alignment vertical="center"/>
      <protection hidden="1"/>
    </xf>
    <xf numFmtId="166" fontId="6" fillId="15" borderId="74" xfId="0" applyNumberFormat="1" applyFont="1" applyFill="1" applyBorder="1" applyAlignment="1" applyProtection="1">
      <alignment vertical="center"/>
      <protection hidden="1"/>
    </xf>
    <xf numFmtId="166" fontId="18" fillId="15" borderId="44" xfId="0" applyNumberFormat="1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13" fillId="15" borderId="35" xfId="0" applyFont="1" applyFill="1" applyBorder="1" applyAlignment="1" applyProtection="1">
      <alignment horizontal="center" vertical="center"/>
      <protection locked="0"/>
    </xf>
    <xf numFmtId="0" fontId="33" fillId="0" borderId="0" xfId="4"/>
    <xf numFmtId="0" fontId="61" fillId="0" borderId="0" xfId="0" applyFont="1"/>
    <xf numFmtId="0" fontId="10" fillId="0" borderId="0" xfId="0" applyFont="1" applyAlignment="1" applyProtection="1">
      <alignment vertical="center"/>
      <protection hidden="1"/>
    </xf>
    <xf numFmtId="0" fontId="44" fillId="16" borderId="0" xfId="0" applyFont="1" applyFill="1" applyAlignment="1" applyProtection="1">
      <alignment horizontal="center" vertical="center"/>
      <protection hidden="1"/>
    </xf>
    <xf numFmtId="0" fontId="6" fillId="0" borderId="59" xfId="0" applyFont="1" applyBorder="1" applyAlignment="1" applyProtection="1">
      <alignment horizontal="center"/>
      <protection hidden="1"/>
    </xf>
    <xf numFmtId="0" fontId="6" fillId="2" borderId="20" xfId="0" applyFont="1" applyFill="1" applyBorder="1" applyAlignment="1" applyProtection="1">
      <alignment horizontal="center"/>
      <protection hidden="1"/>
    </xf>
    <xf numFmtId="0" fontId="6" fillId="2" borderId="22" xfId="0" applyFont="1" applyFill="1" applyBorder="1" applyAlignment="1" applyProtection="1">
      <alignment horizontal="center"/>
      <protection hidden="1"/>
    </xf>
    <xf numFmtId="0" fontId="6" fillId="2" borderId="21" xfId="0" applyFont="1" applyFill="1" applyBorder="1" applyAlignment="1" applyProtection="1">
      <alignment horizontal="center"/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0" fontId="17" fillId="4" borderId="20" xfId="0" applyFont="1" applyFill="1" applyBorder="1" applyAlignment="1" applyProtection="1">
      <alignment horizont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0" fontId="17" fillId="4" borderId="22" xfId="0" applyFont="1" applyFill="1" applyBorder="1" applyAlignment="1" applyProtection="1">
      <alignment horizontal="center"/>
      <protection locked="0"/>
    </xf>
    <xf numFmtId="0" fontId="6" fillId="10" borderId="21" xfId="0" applyFont="1" applyFill="1" applyBorder="1" applyAlignment="1" applyProtection="1">
      <alignment horizontal="center"/>
      <protection locked="0"/>
    </xf>
    <xf numFmtId="0" fontId="6" fillId="10" borderId="22" xfId="0" applyFont="1" applyFill="1" applyBorder="1" applyAlignment="1" applyProtection="1">
      <alignment horizontal="center"/>
      <protection locked="0"/>
    </xf>
    <xf numFmtId="0" fontId="17" fillId="4" borderId="20" xfId="0" applyFont="1" applyFill="1" applyBorder="1" applyAlignment="1" applyProtection="1">
      <alignment horizontal="center"/>
      <protection hidden="1"/>
    </xf>
    <xf numFmtId="0" fontId="17" fillId="4" borderId="22" xfId="0" applyFont="1" applyFill="1" applyBorder="1" applyAlignment="1" applyProtection="1">
      <alignment horizontal="center"/>
      <protection hidden="1"/>
    </xf>
    <xf numFmtId="0" fontId="29" fillId="0" borderId="36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57" fillId="0" borderId="28" xfId="0" applyFont="1" applyBorder="1" applyAlignment="1" applyProtection="1">
      <alignment horizontal="center" vertical="center" wrapText="1"/>
      <protection hidden="1"/>
    </xf>
    <xf numFmtId="0" fontId="57" fillId="0" borderId="75" xfId="0" applyFont="1" applyBorder="1" applyAlignment="1" applyProtection="1">
      <alignment horizontal="center" vertical="center" wrapText="1"/>
      <protection hidden="1"/>
    </xf>
    <xf numFmtId="0" fontId="57" fillId="0" borderId="29" xfId="0" applyFont="1" applyBorder="1" applyAlignment="1" applyProtection="1">
      <alignment horizontal="center" vertical="center" wrapText="1"/>
      <protection hidden="1"/>
    </xf>
    <xf numFmtId="0" fontId="57" fillId="0" borderId="63" xfId="0" applyFont="1" applyBorder="1" applyAlignment="1" applyProtection="1">
      <alignment horizontal="center" vertical="center" wrapText="1"/>
      <protection hidden="1"/>
    </xf>
    <xf numFmtId="0" fontId="2" fillId="0" borderId="81" xfId="0" applyFont="1" applyBorder="1" applyAlignment="1" applyProtection="1">
      <alignment horizontal="center"/>
      <protection hidden="1"/>
    </xf>
    <xf numFmtId="0" fontId="2" fillId="0" borderId="61" xfId="0" applyFont="1" applyBorder="1" applyAlignment="1" applyProtection="1">
      <alignment horizontal="center"/>
      <protection hidden="1"/>
    </xf>
    <xf numFmtId="0" fontId="2" fillId="0" borderId="42" xfId="0" applyFont="1" applyBorder="1" applyAlignment="1" applyProtection="1">
      <alignment horizontal="center"/>
      <protection hidden="1"/>
    </xf>
    <xf numFmtId="0" fontId="29" fillId="4" borderId="31" xfId="0" applyFont="1" applyFill="1" applyBorder="1" applyAlignment="1" applyProtection="1">
      <alignment horizont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0" fontId="29" fillId="4" borderId="42" xfId="0" applyFont="1" applyFill="1" applyBorder="1" applyAlignment="1" applyProtection="1">
      <alignment horizontal="center"/>
      <protection hidden="1"/>
    </xf>
    <xf numFmtId="0" fontId="2" fillId="4" borderId="64" xfId="0" applyFont="1" applyFill="1" applyBorder="1" applyAlignment="1" applyProtection="1">
      <alignment horizontal="center"/>
      <protection hidden="1"/>
    </xf>
    <xf numFmtId="0" fontId="2" fillId="4" borderId="62" xfId="0" applyFont="1" applyFill="1" applyBorder="1" applyAlignment="1" applyProtection="1">
      <alignment horizontal="center"/>
      <protection hidden="1"/>
    </xf>
    <xf numFmtId="0" fontId="2" fillId="4" borderId="65" xfId="0" applyFont="1" applyFill="1" applyBorder="1" applyAlignment="1" applyProtection="1">
      <alignment horizontal="center"/>
      <protection hidden="1"/>
    </xf>
    <xf numFmtId="0" fontId="18" fillId="4" borderId="27" xfId="0" applyFont="1" applyFill="1" applyBorder="1" applyAlignment="1" applyProtection="1">
      <alignment horizontal="center" vertical="center" wrapText="1"/>
      <protection hidden="1"/>
    </xf>
    <xf numFmtId="0" fontId="18" fillId="4" borderId="19" xfId="0" applyFont="1" applyFill="1" applyBorder="1" applyAlignment="1" applyProtection="1">
      <alignment horizontal="center" vertical="center" wrapText="1"/>
      <protection hidden="1"/>
    </xf>
    <xf numFmtId="0" fontId="18" fillId="4" borderId="2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 wrapText="1"/>
      <protection hidden="1"/>
    </xf>
    <xf numFmtId="0" fontId="6" fillId="4" borderId="62" xfId="0" applyFont="1" applyFill="1" applyBorder="1" applyAlignment="1" applyProtection="1">
      <alignment horizontal="center" vertical="center" wrapText="1"/>
      <protection hidden="1"/>
    </xf>
    <xf numFmtId="0" fontId="6" fillId="4" borderId="65" xfId="0" applyFont="1" applyFill="1" applyBorder="1" applyAlignment="1" applyProtection="1">
      <alignment horizontal="center" vertical="center" wrapText="1"/>
      <protection hidden="1"/>
    </xf>
    <xf numFmtId="0" fontId="6" fillId="4" borderId="35" xfId="0" applyFont="1" applyFill="1" applyBorder="1" applyAlignment="1" applyProtection="1">
      <alignment horizontal="center" vertical="center" wrapText="1"/>
      <protection hidden="1"/>
    </xf>
    <xf numFmtId="0" fontId="6" fillId="4" borderId="59" xfId="0" applyFont="1" applyFill="1" applyBorder="1" applyAlignment="1" applyProtection="1">
      <alignment horizontal="center" vertical="center" wrapText="1"/>
      <protection hidden="1"/>
    </xf>
    <xf numFmtId="0" fontId="6" fillId="4" borderId="57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/>
      <protection hidden="1"/>
    </xf>
    <xf numFmtId="0" fontId="6" fillId="4" borderId="65" xfId="0" applyFont="1" applyFill="1" applyBorder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/>
      <protection hidden="1"/>
    </xf>
    <xf numFmtId="0" fontId="6" fillId="4" borderId="57" xfId="0" applyFont="1" applyFill="1" applyBorder="1" applyAlignment="1" applyProtection="1">
      <alignment horizontal="center" vertical="center"/>
      <protection hidden="1"/>
    </xf>
    <xf numFmtId="0" fontId="6" fillId="20" borderId="64" xfId="0" applyFont="1" applyFill="1" applyBorder="1" applyAlignment="1" applyProtection="1">
      <alignment horizontal="center" vertical="center" wrapText="1"/>
      <protection hidden="1"/>
    </xf>
    <xf numFmtId="0" fontId="6" fillId="20" borderId="62" xfId="0" applyFont="1" applyFill="1" applyBorder="1" applyAlignment="1" applyProtection="1">
      <alignment horizontal="center" vertical="center" wrapText="1"/>
      <protection hidden="1"/>
    </xf>
    <xf numFmtId="0" fontId="6" fillId="20" borderId="65" xfId="0" applyFont="1" applyFill="1" applyBorder="1" applyAlignment="1" applyProtection="1">
      <alignment horizontal="center" vertical="center" wrapText="1"/>
      <protection hidden="1"/>
    </xf>
    <xf numFmtId="0" fontId="6" fillId="20" borderId="35" xfId="0" applyFont="1" applyFill="1" applyBorder="1" applyAlignment="1" applyProtection="1">
      <alignment horizontal="center" vertical="center" wrapText="1"/>
      <protection hidden="1"/>
    </xf>
    <xf numFmtId="0" fontId="6" fillId="20" borderId="59" xfId="0" applyFont="1" applyFill="1" applyBorder="1" applyAlignment="1" applyProtection="1">
      <alignment horizontal="center" vertical="center" wrapText="1"/>
      <protection hidden="1"/>
    </xf>
    <xf numFmtId="0" fontId="6" fillId="20" borderId="57" xfId="0" applyFont="1" applyFill="1" applyBorder="1" applyAlignment="1" applyProtection="1">
      <alignment horizontal="center" vertical="center" wrapText="1"/>
      <protection hidden="1"/>
    </xf>
    <xf numFmtId="0" fontId="29" fillId="4" borderId="33" xfId="0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9" fillId="4" borderId="68" xfId="0" applyFont="1" applyFill="1" applyBorder="1" applyAlignment="1" applyProtection="1">
      <alignment horizontal="center"/>
      <protection hidden="1"/>
    </xf>
    <xf numFmtId="9" fontId="13" fillId="4" borderId="32" xfId="2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9" fontId="13" fillId="4" borderId="43" xfId="2" applyFont="1" applyFill="1" applyBorder="1" applyAlignment="1" applyProtection="1">
      <alignment horizontal="center"/>
      <protection hidden="1"/>
    </xf>
    <xf numFmtId="0" fontId="2" fillId="4" borderId="28" xfId="0" applyFont="1" applyFill="1" applyBorder="1" applyAlignment="1" applyProtection="1">
      <alignment horizontal="center"/>
      <protection hidden="1"/>
    </xf>
    <xf numFmtId="0" fontId="2" fillId="4" borderId="38" xfId="0" applyFont="1" applyFill="1" applyBorder="1" applyAlignment="1" applyProtection="1">
      <alignment horizontal="center"/>
      <protection hidden="1"/>
    </xf>
    <xf numFmtId="0" fontId="2" fillId="4" borderId="40" xfId="0" applyFont="1" applyFill="1" applyBorder="1" applyAlignment="1" applyProtection="1">
      <alignment horizontal="center"/>
      <protection hidden="1"/>
    </xf>
    <xf numFmtId="0" fontId="6" fillId="10" borderId="21" xfId="0" applyFont="1" applyFill="1" applyBorder="1" applyAlignment="1" applyProtection="1">
      <alignment horizontal="center"/>
      <protection hidden="1"/>
    </xf>
    <xf numFmtId="0" fontId="6" fillId="10" borderId="22" xfId="0" applyFont="1" applyFill="1" applyBorder="1" applyAlignment="1" applyProtection="1">
      <alignment horizontal="center"/>
      <protection hidden="1"/>
    </xf>
    <xf numFmtId="0" fontId="59" fillId="0" borderId="20" xfId="5" applyFont="1" applyBorder="1" applyAlignment="1" applyProtection="1">
      <alignment horizontal="center" vertical="top"/>
      <protection hidden="1"/>
    </xf>
    <xf numFmtId="0" fontId="59" fillId="0" borderId="21" xfId="5" applyFont="1" applyBorder="1" applyAlignment="1" applyProtection="1">
      <alignment horizontal="center" vertical="top"/>
      <protection hidden="1"/>
    </xf>
    <xf numFmtId="0" fontId="59" fillId="0" borderId="22" xfId="5" applyFont="1" applyBorder="1" applyAlignment="1" applyProtection="1">
      <alignment horizontal="center" vertical="top"/>
      <protection hidden="1"/>
    </xf>
    <xf numFmtId="0" fontId="3" fillId="0" borderId="0" xfId="0" applyFont="1" applyAlignment="1">
      <alignment horizontal="right" vertical="center" wrapText="1"/>
    </xf>
    <xf numFmtId="0" fontId="18" fillId="3" borderId="28" xfId="0" applyFont="1" applyFill="1" applyBorder="1" applyAlignment="1">
      <alignment horizontal="center"/>
    </xf>
    <xf numFmtId="0" fontId="18" fillId="3" borderId="40" xfId="0" applyFont="1" applyFill="1" applyBorder="1" applyAlignment="1">
      <alignment horizontal="center"/>
    </xf>
    <xf numFmtId="0" fontId="17" fillId="3" borderId="28" xfId="0" applyFont="1" applyFill="1" applyBorder="1" applyAlignment="1">
      <alignment horizontal="center"/>
    </xf>
    <xf numFmtId="0" fontId="17" fillId="3" borderId="38" xfId="0" applyFont="1" applyFill="1" applyBorder="1" applyAlignment="1">
      <alignment horizontal="center"/>
    </xf>
    <xf numFmtId="0" fontId="17" fillId="3" borderId="40" xfId="0" applyFont="1" applyFill="1" applyBorder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</cellXfs>
  <cellStyles count="7">
    <cellStyle name="Currency" xfId="1" builtinId="4"/>
    <cellStyle name="Currency 2" xfId="3" xr:uid="{00000000-0005-0000-0000-000001000000}"/>
    <cellStyle name="Hyperlink" xfId="4" builtinId="8"/>
    <cellStyle name="Normal" xfId="0" builtinId="0"/>
    <cellStyle name="Normal 2" xfId="5" xr:uid="{00000000-0005-0000-0000-000004000000}"/>
    <cellStyle name="Normal 2 2" xfId="6" xr:uid="{00000000-0005-0000-0000-000005000000}"/>
    <cellStyle name="Percent" xfId="2" builtinId="5"/>
  </cellStyles>
  <dxfs count="0"/>
  <tableStyles count="0" defaultTableStyle="TableStyleMedium2" defaultPivotStyle="PivotStyleLight16"/>
  <colors>
    <mruColors>
      <color rgb="FF66FFFF"/>
      <color rgb="FF0000FF"/>
      <color rgb="FF00FF00"/>
      <color rgb="FF6600CC"/>
      <color rgb="FFCC99FF"/>
      <color rgb="FFFFCC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66674</xdr:rowOff>
    </xdr:from>
    <xdr:to>
      <xdr:col>10</xdr:col>
      <xdr:colOff>853327</xdr:colOff>
      <xdr:row>1</xdr:row>
      <xdr:rowOff>1142999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4" y="190499"/>
          <a:ext cx="5634878" cy="1076325"/>
        </a:xfrm>
        <a:prstGeom prst="rect">
          <a:avLst/>
        </a:prstGeom>
      </xdr:spPr>
    </xdr:pic>
    <xdr:clientData/>
  </xdr:twoCellAnchor>
  <xdr:oneCellAnchor>
    <xdr:from>
      <xdr:col>1</xdr:col>
      <xdr:colOff>104775</xdr:colOff>
      <xdr:row>5</xdr:row>
      <xdr:rowOff>66675</xdr:rowOff>
    </xdr:from>
    <xdr:ext cx="302070" cy="56194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52425" y="1743075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676275</xdr:colOff>
      <xdr:row>5</xdr:row>
      <xdr:rowOff>190500</xdr:rowOff>
    </xdr:from>
    <xdr:to>
      <xdr:col>4</xdr:col>
      <xdr:colOff>990598</xdr:colOff>
      <xdr:row>7</xdr:row>
      <xdr:rowOff>57708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1866900"/>
          <a:ext cx="314323" cy="314884"/>
        </a:xfrm>
        <a:prstGeom prst="rect">
          <a:avLst/>
        </a:prstGeom>
      </xdr:spPr>
    </xdr:pic>
    <xdr:clientData/>
  </xdr:twoCellAnchor>
  <xdr:twoCellAnchor>
    <xdr:from>
      <xdr:col>2</xdr:col>
      <xdr:colOff>638175</xdr:colOff>
      <xdr:row>74</xdr:row>
      <xdr:rowOff>9525</xdr:rowOff>
    </xdr:from>
    <xdr:to>
      <xdr:col>4</xdr:col>
      <xdr:colOff>117101</xdr:colOff>
      <xdr:row>76</xdr:row>
      <xdr:rowOff>17370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88116" y="26746760"/>
          <a:ext cx="1014132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800100</xdr:colOff>
      <xdr:row>74</xdr:row>
      <xdr:rowOff>200025</xdr:rowOff>
    </xdr:from>
    <xdr:to>
      <xdr:col>3</xdr:col>
      <xdr:colOff>673182</xdr:colOff>
      <xdr:row>75</xdr:row>
      <xdr:rowOff>383797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0041" y="26937260"/>
          <a:ext cx="702317" cy="721655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74</xdr:row>
      <xdr:rowOff>19050</xdr:rowOff>
    </xdr:from>
    <xdr:to>
      <xdr:col>5</xdr:col>
      <xdr:colOff>267821</xdr:colOff>
      <xdr:row>76</xdr:row>
      <xdr:rowOff>26895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470897" y="26756285"/>
          <a:ext cx="1360395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381000</xdr:colOff>
      <xdr:row>74</xdr:row>
      <xdr:rowOff>9525</xdr:rowOff>
    </xdr:from>
    <xdr:to>
      <xdr:col>5</xdr:col>
      <xdr:colOff>1410821</xdr:colOff>
      <xdr:row>76</xdr:row>
      <xdr:rowOff>17370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944471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85725</xdr:colOff>
      <xdr:row>74</xdr:row>
      <xdr:rowOff>9525</xdr:rowOff>
    </xdr:from>
    <xdr:to>
      <xdr:col>10</xdr:col>
      <xdr:colOff>1115546</xdr:colOff>
      <xdr:row>76</xdr:row>
      <xdr:rowOff>17370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139578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466725</xdr:colOff>
      <xdr:row>74</xdr:row>
      <xdr:rowOff>209550</xdr:rowOff>
    </xdr:from>
    <xdr:to>
      <xdr:col>4</xdr:col>
      <xdr:colOff>1159916</xdr:colOff>
      <xdr:row>75</xdr:row>
      <xdr:rowOff>391547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1872" y="26946785"/>
          <a:ext cx="693191" cy="71988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74</xdr:row>
      <xdr:rowOff>200025</xdr:rowOff>
    </xdr:from>
    <xdr:to>
      <xdr:col>5</xdr:col>
      <xdr:colOff>1257329</xdr:colOff>
      <xdr:row>75</xdr:row>
      <xdr:rowOff>449532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9721" y="26937260"/>
          <a:ext cx="781079" cy="787390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74</xdr:row>
      <xdr:rowOff>228600</xdr:rowOff>
    </xdr:from>
    <xdr:to>
      <xdr:col>10</xdr:col>
      <xdr:colOff>924836</xdr:colOff>
      <xdr:row>75</xdr:row>
      <xdr:rowOff>403579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078" y="26965835"/>
          <a:ext cx="648611" cy="712862"/>
        </a:xfrm>
        <a:prstGeom prst="rect">
          <a:avLst/>
        </a:prstGeom>
      </xdr:spPr>
    </xdr:pic>
    <xdr:clientData/>
  </xdr:twoCellAnchor>
  <xdr:oneCellAnchor>
    <xdr:from>
      <xdr:col>2</xdr:col>
      <xdr:colOff>781050</xdr:colOff>
      <xdr:row>76</xdr:row>
      <xdr:rowOff>28575</xdr:rowOff>
    </xdr:from>
    <xdr:ext cx="706604" cy="441403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430991" y="2784157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4</xdr:col>
      <xdr:colOff>342900</xdr:colOff>
      <xdr:row>76</xdr:row>
      <xdr:rowOff>19050</xdr:rowOff>
    </xdr:from>
    <xdr:ext cx="923266" cy="441403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528047" y="2783205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oneCellAnchor>
    <xdr:from>
      <xdr:col>5</xdr:col>
      <xdr:colOff>590550</xdr:colOff>
      <xdr:row>76</xdr:row>
      <xdr:rowOff>19050</xdr:rowOff>
    </xdr:from>
    <xdr:ext cx="627159" cy="441403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154021" y="2783205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10</xdr:col>
      <xdr:colOff>171450</xdr:colOff>
      <xdr:row>76</xdr:row>
      <xdr:rowOff>28575</xdr:rowOff>
    </xdr:from>
    <xdr:ext cx="902106" cy="266868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225303" y="2784157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10</xdr:col>
      <xdr:colOff>1466850</xdr:colOff>
      <xdr:row>76</xdr:row>
      <xdr:rowOff>28575</xdr:rowOff>
    </xdr:from>
    <xdr:ext cx="731419" cy="441403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520703" y="27841575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10</xdr:col>
      <xdr:colOff>2487409</xdr:colOff>
      <xdr:row>76</xdr:row>
      <xdr:rowOff>19050</xdr:rowOff>
    </xdr:from>
    <xdr:ext cx="1055892" cy="436786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541262" y="27832050"/>
          <a:ext cx="1055892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</a:t>
          </a:r>
          <a:r>
            <a:rPr lang="en-US" sz="1100" baseline="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 SYSTEMS</a:t>
          </a: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11</xdr:col>
      <xdr:colOff>1142999</xdr:colOff>
      <xdr:row>75</xdr:row>
      <xdr:rowOff>514350</xdr:rowOff>
    </xdr:from>
    <xdr:ext cx="1047751" cy="666749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774205" y="27789468"/>
          <a:ext cx="1047751" cy="6667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>
    <xdr:from>
      <xdr:col>10</xdr:col>
      <xdr:colOff>1295400</xdr:colOff>
      <xdr:row>74</xdr:row>
      <xdr:rowOff>9525</xdr:rowOff>
    </xdr:from>
    <xdr:to>
      <xdr:col>10</xdr:col>
      <xdr:colOff>2325221</xdr:colOff>
      <xdr:row>76</xdr:row>
      <xdr:rowOff>17370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349253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2495550</xdr:colOff>
      <xdr:row>74</xdr:row>
      <xdr:rowOff>9525</xdr:rowOff>
    </xdr:from>
    <xdr:to>
      <xdr:col>11</xdr:col>
      <xdr:colOff>944096</xdr:colOff>
      <xdr:row>76</xdr:row>
      <xdr:rowOff>17370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7549403" y="26746760"/>
          <a:ext cx="1025899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1114424</xdr:colOff>
      <xdr:row>74</xdr:row>
      <xdr:rowOff>19050</xdr:rowOff>
    </xdr:from>
    <xdr:to>
      <xdr:col>12</xdr:col>
      <xdr:colOff>733424</xdr:colOff>
      <xdr:row>76</xdr:row>
      <xdr:rowOff>26895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8745630" y="26756285"/>
          <a:ext cx="1053353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1304925</xdr:colOff>
      <xdr:row>74</xdr:row>
      <xdr:rowOff>266700</xdr:rowOff>
    </xdr:from>
    <xdr:to>
      <xdr:col>12</xdr:col>
      <xdr:colOff>543997</xdr:colOff>
      <xdr:row>75</xdr:row>
      <xdr:rowOff>332253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6131" y="27003935"/>
          <a:ext cx="673425" cy="603436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74</xdr:row>
      <xdr:rowOff>152400</xdr:rowOff>
    </xdr:from>
    <xdr:to>
      <xdr:col>11</xdr:col>
      <xdr:colOff>733425</xdr:colOff>
      <xdr:row>75</xdr:row>
      <xdr:rowOff>488856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3606" y="26889635"/>
          <a:ext cx="581025" cy="874339"/>
        </a:xfrm>
        <a:prstGeom prst="rect">
          <a:avLst/>
        </a:prstGeom>
      </xdr:spPr>
    </xdr:pic>
    <xdr:clientData/>
  </xdr:twoCellAnchor>
  <xdr:twoCellAnchor editAs="oneCell">
    <xdr:from>
      <xdr:col>10</xdr:col>
      <xdr:colOff>1514475</xdr:colOff>
      <xdr:row>74</xdr:row>
      <xdr:rowOff>200025</xdr:rowOff>
    </xdr:from>
    <xdr:to>
      <xdr:col>10</xdr:col>
      <xdr:colOff>2109535</xdr:colOff>
      <xdr:row>75</xdr:row>
      <xdr:rowOff>396476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8328" y="26937260"/>
          <a:ext cx="595060" cy="7343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CxnSpPr/>
      </xdr:nvCxnSpPr>
      <xdr:spPr>
        <a:xfrm>
          <a:off x="180975" y="367665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CxnSpPr/>
      </xdr:nvCxnSpPr>
      <xdr:spPr>
        <a:xfrm>
          <a:off x="180975" y="34290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952500" y="39243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219076" y="41433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>
        <a:xfrm>
          <a:off x="180975" y="38862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952500" y="67437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219076" y="69627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>
          <a:off x="180975" y="67056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5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0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54271" y="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0"/>
          <a:ext cx="314323" cy="362509"/>
        </a:xfrm>
        <a:prstGeom prst="rect">
          <a:avLst/>
        </a:prstGeom>
      </xdr:spPr>
    </xdr:pic>
    <xdr:clientData/>
  </xdr:twoCellAnchor>
  <xdr:oneCellAnchor>
    <xdr:from>
      <xdr:col>0</xdr:col>
      <xdr:colOff>55853</xdr:colOff>
      <xdr:row>77</xdr:row>
      <xdr:rowOff>42734</xdr:rowOff>
    </xdr:from>
    <xdr:ext cx="11475834" cy="593304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853" y="0"/>
          <a:ext cx="114758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119915</xdr:colOff>
      <xdr:row>80</xdr:row>
      <xdr:rowOff>160805</xdr:rowOff>
    </xdr:from>
    <xdr:ext cx="9350765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9915" y="0"/>
          <a:ext cx="9350765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51</xdr:row>
      <xdr:rowOff>9525</xdr:rowOff>
    </xdr:from>
    <xdr:to>
      <xdr:col>5</xdr:col>
      <xdr:colOff>361950</xdr:colOff>
      <xdr:row>51</xdr:row>
      <xdr:rowOff>161925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5591175" y="12677775"/>
          <a:ext cx="9525" cy="152400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814CD5-A672-4301-9451-3C9350FB6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60CCB11-035C-44F9-9FA0-F7A088469F97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410AAC-F39F-491F-8966-0269C7A6E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58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A4F51AE-9896-4CFE-8AE8-7F4EA2E46C84}"/>
            </a:ext>
          </a:extLst>
        </xdr:cNvPr>
        <xdr:cNvSpPr/>
      </xdr:nvSpPr>
      <xdr:spPr>
        <a:xfrm>
          <a:off x="695325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C7C4CB8-D61C-460E-A688-6916BA9EC301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287C051-C43A-4BA1-B56D-E4D3BC6E44BF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7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F99355-1623-44E8-A9F3-B50FBFA27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06AA79E-BAE6-4A47-AC53-AA45FC13B2F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BEE7A9-05B5-44AC-9B00-CAB9E2475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42A560D-8E6B-4955-9B41-E098C3E0C32A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B34ADF7-C1B3-492B-8C39-6F615094B2D7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E773555-0658-47E9-B412-B19BB5E30C3E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96B294-9E01-4CF1-AB3E-45E238DA5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993B5A6-3468-45CC-A017-15E843DC2E5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59CA7A-A4D8-44B6-8ABC-D138E6B66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026FAC6-21EC-40E5-8D5D-DD1CF0DF03BC}"/>
            </a:ext>
          </a:extLst>
        </xdr:cNvPr>
        <xdr:cNvSpPr/>
      </xdr:nvSpPr>
      <xdr:spPr>
        <a:xfrm>
          <a:off x="711302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A9E8B10-B985-41D3-998B-3B0BC6DE0013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A82CBBE-BFC7-4CA6-9C2C-49AF0E173935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ALLEY%20FORGE%20FABRICS\SUPER%208%20-%20STD.%20PROGRAM%20PRICING%20GRIDS%20DRAPERY%20+%20HW\!!%20PRICING%20GRIDS%20FOR%20SUPER%208%20STD%20PROGRAM%20-%20PINCH%20PLEATED%20-%20INFINITY%20SCHEME%20(SEP-28-1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FF\INTOWN%20SUITES%20-%20STD.%20PROG.%20-%20PRICING%20GRIDS%20DRAPES%20+%20HW\!%20PRICING%20GRIDS%20INTOWN%20SUITES%20STD.%20PROGRAM%20(OCT-01-19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!%20PRICING%20DEPARTMENT\MASTER%20TEMPLETES\09-20-17%20MASTER%20DRAPES,%20HW,%20M&amp;I,%20ROMANS,%20ROLLERS,%20WOOD%20&amp;%20UPH.%20CORNICES%20(KONI%20NEW%20TEMPLATE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Local%20Settings/Temporary%20Internet%20Files/Content.Outlook/OB4X7RL1/DRAPERY%20STD%20QUOTE%20NUEVO%2010500%20EBONY%20INN%20MOTEL%20SAN%20DIEGO%20%20FRENCH%20PLEA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iguera/Documents/!!%20QUOTES/MASTER%20FOR%20QUOTES/OLD%20MASTER%20TEMPLATES%20FOR%20QUOTING/1402FEB-11-MASTER%20FOR%20WOOD%20FASCIAS%20FOR%20FABTEX%20-%20FULL%20RETURNS%20AND%20HEADER%20(NEW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GRID SIDE PANEL+HW"/>
      <sheetName val="GRID BOD+HW"/>
      <sheetName val="GRID BOD+HW (closet)"/>
      <sheetName val="QTE M&amp;I "/>
      <sheetName val="DROP LIS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2">
          <cell r="F372" t="str">
            <v>CEILING MOUNT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D14" t="str">
            <v>HOSPITALITY WORKS</v>
          </cell>
        </row>
        <row r="15">
          <cell r="D15" t="str">
            <v>VFF</v>
          </cell>
        </row>
        <row r="16">
          <cell r="D16" t="str">
            <v>TURNER BROS.</v>
          </cell>
        </row>
        <row r="17">
          <cell r="B17" t="str">
            <v>VERTICAL</v>
          </cell>
        </row>
        <row r="18">
          <cell r="B18" t="str">
            <v>RAILROAD</v>
          </cell>
        </row>
        <row r="20">
          <cell r="F20" t="str">
            <v>48" ADA WHITE</v>
          </cell>
          <cell r="G20">
            <v>7.28</v>
          </cell>
        </row>
        <row r="21">
          <cell r="F21" t="str">
            <v>60" ADA WHITE</v>
          </cell>
          <cell r="G21">
            <v>8.2799999999999994</v>
          </cell>
        </row>
        <row r="22">
          <cell r="F22" t="str">
            <v>72" ADA WHITE</v>
          </cell>
          <cell r="G22">
            <v>10.28</v>
          </cell>
        </row>
        <row r="23">
          <cell r="F23" t="str">
            <v>96" ADA WHITE</v>
          </cell>
          <cell r="G23">
            <v>13.28</v>
          </cell>
        </row>
        <row r="24">
          <cell r="F24" t="str">
            <v>48" ADA CLEAR</v>
          </cell>
          <cell r="G24">
            <v>5.75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D32" t="str">
            <v>OPERABLE</v>
          </cell>
        </row>
        <row r="33">
          <cell r="D33" t="str">
            <v>STATIONARY</v>
          </cell>
        </row>
        <row r="34">
          <cell r="G34">
            <v>4</v>
          </cell>
        </row>
        <row r="35">
          <cell r="G35">
            <v>1.5</v>
          </cell>
        </row>
        <row r="36">
          <cell r="G36" t="str">
            <v>If other: write it.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G41" t="str">
            <v>NONE</v>
          </cell>
        </row>
        <row r="42">
          <cell r="B42" t="str">
            <v>OTHER</v>
          </cell>
        </row>
        <row r="44">
          <cell r="F44" t="str">
            <v>BATON OPERATED</v>
          </cell>
        </row>
        <row r="45">
          <cell r="F45" t="str">
            <v>CORD OPERATED</v>
          </cell>
        </row>
        <row r="46">
          <cell r="F46" t="str">
            <v>MOTOR OPERATED</v>
          </cell>
        </row>
        <row r="47">
          <cell r="F47" t="str">
            <v>N/A</v>
          </cell>
        </row>
        <row r="48"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F53" t="str">
            <v>CORD OPERATED</v>
          </cell>
        </row>
        <row r="54"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6.9230769230769234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S23" t="str">
            <v>BOLD</v>
          </cell>
        </row>
        <row r="24">
          <cell r="B24" t="str">
            <v>If other: write it.</v>
          </cell>
          <cell r="S24" t="str">
            <v>BOD</v>
          </cell>
        </row>
        <row r="25">
          <cell r="S25" t="str">
            <v>SHEER</v>
          </cell>
        </row>
        <row r="26">
          <cell r="S26" t="str">
            <v>UNL. DRAPE</v>
          </cell>
        </row>
        <row r="27"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TEM 1 "/>
      <sheetName val="ITEM 2"/>
      <sheetName val="ITEM 3"/>
      <sheetName val="ITEM 4"/>
      <sheetName val="ITEM 5"/>
      <sheetName val="ITEM 6"/>
      <sheetName val="ITEM 7"/>
      <sheetName val="ITEM 8"/>
      <sheetName val="QTE &amp; CALCUL."/>
      <sheetName val="GRID BOD+HW"/>
      <sheetName val="GRID TOP GROMMET"/>
      <sheetName val="QTE M&amp;I "/>
      <sheetName val="PRICING SHEET"/>
      <sheetName val="DROP LIST"/>
      <sheetName val="PRICING DATA"/>
      <sheetName val="BOM PPBOLD"/>
      <sheetName val="SOMFY BOM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Q11">
            <v>43739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B10">
            <v>0</v>
          </cell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B11">
            <v>0</v>
          </cell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B12">
            <v>0</v>
          </cell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B13">
            <v>0</v>
          </cell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B14">
            <v>0</v>
          </cell>
          <cell r="D14" t="str">
            <v>HOSPITALITY WORKS</v>
          </cell>
          <cell r="F14">
            <v>0</v>
          </cell>
        </row>
        <row r="15">
          <cell r="D15" t="str">
            <v>VFF</v>
          </cell>
          <cell r="F15">
            <v>0</v>
          </cell>
        </row>
        <row r="16">
          <cell r="D16" t="str">
            <v>TURNER BROS.</v>
          </cell>
          <cell r="F16">
            <v>0</v>
          </cell>
        </row>
        <row r="17">
          <cell r="B17" t="str">
            <v>VERTICAL</v>
          </cell>
          <cell r="D17">
            <v>0</v>
          </cell>
        </row>
        <row r="18">
          <cell r="B18" t="str">
            <v>RAILROAD</v>
          </cell>
          <cell r="D18">
            <v>0</v>
          </cell>
        </row>
        <row r="19">
          <cell r="B19">
            <v>0</v>
          </cell>
          <cell r="D19">
            <v>0</v>
          </cell>
        </row>
        <row r="20">
          <cell r="D20">
            <v>0</v>
          </cell>
          <cell r="F20" t="str">
            <v>48" ADA WHITE</v>
          </cell>
          <cell r="G20">
            <v>7.28</v>
          </cell>
          <cell r="I20" t="str">
            <v>FLAT</v>
          </cell>
        </row>
        <row r="21">
          <cell r="D21">
            <v>0</v>
          </cell>
          <cell r="F21" t="str">
            <v>60" ADA WHITE</v>
          </cell>
          <cell r="G21">
            <v>8.2799999999999994</v>
          </cell>
          <cell r="I21" t="str">
            <v>BOX PLEATED</v>
          </cell>
        </row>
        <row r="22">
          <cell r="D22">
            <v>0</v>
          </cell>
          <cell r="F22" t="str">
            <v>72" ADA WHITE</v>
          </cell>
          <cell r="G22">
            <v>10.28</v>
          </cell>
          <cell r="I22" t="str">
            <v>CENTER PLEAT</v>
          </cell>
        </row>
        <row r="23">
          <cell r="D23">
            <v>0</v>
          </cell>
          <cell r="F23" t="str">
            <v>96" ADA WHITE</v>
          </cell>
          <cell r="G23">
            <v>13.28</v>
          </cell>
          <cell r="I23">
            <v>0</v>
          </cell>
        </row>
        <row r="24">
          <cell r="D24">
            <v>0</v>
          </cell>
          <cell r="F24" t="str">
            <v>48" ADA CLEAR</v>
          </cell>
          <cell r="G24">
            <v>5.75</v>
          </cell>
          <cell r="I24">
            <v>0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D29">
            <v>0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D30">
            <v>0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B32">
            <v>0</v>
          </cell>
          <cell r="D32" t="str">
            <v>OPERABLE</v>
          </cell>
        </row>
        <row r="33">
          <cell r="B33">
            <v>0</v>
          </cell>
          <cell r="D33" t="str">
            <v>STATIONARY</v>
          </cell>
        </row>
        <row r="34">
          <cell r="B34">
            <v>0</v>
          </cell>
          <cell r="D34">
            <v>0</v>
          </cell>
          <cell r="G34">
            <v>4</v>
          </cell>
          <cell r="I34" t="str">
            <v>2-PASS BO</v>
          </cell>
        </row>
        <row r="35">
          <cell r="D35">
            <v>0</v>
          </cell>
          <cell r="G35">
            <v>1.5</v>
          </cell>
          <cell r="I35" t="str">
            <v>3-PASS BO</v>
          </cell>
        </row>
        <row r="36">
          <cell r="G36" t="str">
            <v>If other: write it.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I38">
            <v>0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F41">
            <v>0</v>
          </cell>
          <cell r="G41" t="str">
            <v>NONE</v>
          </cell>
        </row>
        <row r="42">
          <cell r="B42" t="str">
            <v>OTHER</v>
          </cell>
          <cell r="F42">
            <v>0</v>
          </cell>
        </row>
        <row r="43">
          <cell r="B43">
            <v>0</v>
          </cell>
        </row>
        <row r="44">
          <cell r="B44">
            <v>0</v>
          </cell>
          <cell r="F44" t="str">
            <v>BATON OPERATED</v>
          </cell>
        </row>
        <row r="45">
          <cell r="B45">
            <v>0</v>
          </cell>
          <cell r="F45" t="str">
            <v>CORD OPERATED</v>
          </cell>
        </row>
        <row r="46">
          <cell r="B46">
            <v>0</v>
          </cell>
          <cell r="F46" t="str">
            <v>MOTOR OPERATED</v>
          </cell>
        </row>
        <row r="47">
          <cell r="B47">
            <v>0</v>
          </cell>
          <cell r="F47" t="str">
            <v>N/A</v>
          </cell>
        </row>
        <row r="48">
          <cell r="B48">
            <v>0</v>
          </cell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D53">
            <v>0</v>
          </cell>
          <cell r="F53" t="str">
            <v>CORD OPERATED</v>
          </cell>
        </row>
        <row r="54">
          <cell r="B54">
            <v>0</v>
          </cell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7.0525641025641033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S23" t="str">
            <v>BOLD</v>
          </cell>
        </row>
        <row r="24">
          <cell r="B24" t="str">
            <v>If other: write it.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S24" t="str">
            <v>BOD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S25" t="str">
            <v>SHEER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S26" t="str">
            <v>UNL. DRAPE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  <row r="33">
          <cell r="S33" t="str">
            <v>LIN. DRAPE</v>
          </cell>
        </row>
        <row r="34">
          <cell r="S34" t="str">
            <v>STAT. LIN.SP</v>
          </cell>
        </row>
        <row r="35">
          <cell r="S35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QTE M&amp;I "/>
      <sheetName val="ROLLER SHADE"/>
      <sheetName val="SOMFY BOM"/>
      <sheetName val="DROP LIST"/>
      <sheetName val="PRICING SHEE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B10" t="str">
            <v>A.1 - 6" HEIGHT</v>
          </cell>
        </row>
        <row r="11">
          <cell r="B11" t="str">
            <v>A.1 - 8" HEIGHT</v>
          </cell>
        </row>
        <row r="12">
          <cell r="B12" t="str">
            <v>A.1 - 10" HEIGHT</v>
          </cell>
        </row>
        <row r="13">
          <cell r="B13" t="str">
            <v>C.1 - 6" HEIGHT</v>
          </cell>
        </row>
        <row r="14">
          <cell r="B14" t="str">
            <v>C.1 - 8" HEIGHT</v>
          </cell>
        </row>
        <row r="15">
          <cell r="B15" t="str">
            <v>C.1 - 10" HEIGHT</v>
          </cell>
        </row>
        <row r="16">
          <cell r="B16" t="str">
            <v>B.2 - 6" HEIGHT</v>
          </cell>
        </row>
        <row r="17">
          <cell r="B17" t="str">
            <v>B.2 - 8" HEIGHT</v>
          </cell>
        </row>
        <row r="18">
          <cell r="B18" t="str">
            <v>B.2 - 10" HEIGHT</v>
          </cell>
        </row>
        <row r="19">
          <cell r="B19" t="str">
            <v>A.2 - 6" HEIGHT</v>
          </cell>
        </row>
        <row r="20">
          <cell r="B20" t="str">
            <v>A.2 - 8" HEIGHT</v>
          </cell>
        </row>
        <row r="21">
          <cell r="B21" t="str">
            <v>A.2 - 10" HEIGHT</v>
          </cell>
        </row>
        <row r="22">
          <cell r="B22" t="str">
            <v>D.1 - 6" HEIGHT</v>
          </cell>
        </row>
        <row r="23">
          <cell r="B23" t="str">
            <v>D.1 - 8" HEIGHT</v>
          </cell>
        </row>
        <row r="24">
          <cell r="B24" t="str">
            <v>D.1 - 10" HEIGHT</v>
          </cell>
        </row>
        <row r="25">
          <cell r="B25" t="str">
            <v>A.1 - 13" HEIGHT</v>
          </cell>
        </row>
        <row r="26">
          <cell r="B26" t="str">
            <v>A.1 - 9" HEIGHT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ation"/>
      <sheetName val="Materials"/>
      <sheetName val="Data"/>
    </sheetNames>
    <sheetDataSet>
      <sheetData sheetId="0"/>
      <sheetData sheetId="1"/>
      <sheetData sheetId="2">
        <row r="26">
          <cell r="L26">
            <v>8</v>
          </cell>
          <cell r="M26">
            <v>5</v>
          </cell>
          <cell r="N26">
            <v>5.75</v>
          </cell>
          <cell r="O26">
            <v>5.75</v>
          </cell>
          <cell r="P26">
            <v>6.61</v>
          </cell>
          <cell r="Q26">
            <v>5.25</v>
          </cell>
          <cell r="R26">
            <v>6.04</v>
          </cell>
          <cell r="S26">
            <v>6.04</v>
          </cell>
          <cell r="T26">
            <v>6.95</v>
          </cell>
        </row>
        <row r="27">
          <cell r="L27">
            <v>96</v>
          </cell>
          <cell r="M27">
            <v>5</v>
          </cell>
          <cell r="N27">
            <v>5.75</v>
          </cell>
          <cell r="O27">
            <v>5.75</v>
          </cell>
          <cell r="P27">
            <v>6.61</v>
          </cell>
          <cell r="Q27">
            <v>5.25</v>
          </cell>
          <cell r="R27">
            <v>6.04</v>
          </cell>
          <cell r="S27">
            <v>6.04</v>
          </cell>
          <cell r="T27">
            <v>6.95</v>
          </cell>
        </row>
        <row r="28">
          <cell r="L28">
            <v>112</v>
          </cell>
          <cell r="M28">
            <v>5.83</v>
          </cell>
          <cell r="N28">
            <v>6.7</v>
          </cell>
          <cell r="O28">
            <v>6.7</v>
          </cell>
          <cell r="P28">
            <v>7.7</v>
          </cell>
          <cell r="Q28">
            <v>6.1215000000000002</v>
          </cell>
          <cell r="R28">
            <v>7.04</v>
          </cell>
          <cell r="S28">
            <v>7.04</v>
          </cell>
          <cell r="T28">
            <v>8.1</v>
          </cell>
        </row>
        <row r="29">
          <cell r="L29">
            <v>128</v>
          </cell>
          <cell r="M29">
            <v>6.67</v>
          </cell>
          <cell r="N29">
            <v>7.67</v>
          </cell>
          <cell r="O29">
            <v>7.67</v>
          </cell>
          <cell r="P29">
            <v>8.82</v>
          </cell>
          <cell r="Q29">
            <v>7.0034999999999998</v>
          </cell>
          <cell r="R29">
            <v>8.0500000000000007</v>
          </cell>
          <cell r="S29">
            <v>8.0500000000000007</v>
          </cell>
          <cell r="T29">
            <v>9.26</v>
          </cell>
        </row>
        <row r="30">
          <cell r="L30">
            <v>144</v>
          </cell>
          <cell r="M30">
            <v>7.5</v>
          </cell>
          <cell r="N30">
            <v>8.6300000000000008</v>
          </cell>
          <cell r="O30">
            <v>8.6300000000000008</v>
          </cell>
          <cell r="P30">
            <v>9.92</v>
          </cell>
          <cell r="Q30">
            <v>7.875</v>
          </cell>
          <cell r="R30">
            <v>9.06</v>
          </cell>
          <cell r="S30">
            <v>9.06</v>
          </cell>
          <cell r="T30">
            <v>10.42</v>
          </cell>
        </row>
        <row r="31">
          <cell r="L31">
            <v>160</v>
          </cell>
          <cell r="M31">
            <v>8.33</v>
          </cell>
          <cell r="N31">
            <v>9.58</v>
          </cell>
          <cell r="O31">
            <v>9.58</v>
          </cell>
          <cell r="P31">
            <v>11.02</v>
          </cell>
          <cell r="Q31">
            <v>8.7465000000000011</v>
          </cell>
          <cell r="R31">
            <v>10.06</v>
          </cell>
          <cell r="S31">
            <v>10.06</v>
          </cell>
          <cell r="T31">
            <v>11.57</v>
          </cell>
        </row>
        <row r="32">
          <cell r="L32">
            <v>176</v>
          </cell>
          <cell r="M32">
            <v>9.17</v>
          </cell>
          <cell r="N32">
            <v>10.55</v>
          </cell>
          <cell r="O32">
            <v>10.55</v>
          </cell>
          <cell r="P32">
            <v>12.13</v>
          </cell>
          <cell r="Q32">
            <v>9.6285000000000007</v>
          </cell>
          <cell r="R32">
            <v>11.07</v>
          </cell>
          <cell r="S32">
            <v>11.07</v>
          </cell>
          <cell r="T32">
            <v>12.73</v>
          </cell>
        </row>
        <row r="33">
          <cell r="L33">
            <v>192</v>
          </cell>
          <cell r="M33">
            <v>10</v>
          </cell>
          <cell r="N33">
            <v>11.5</v>
          </cell>
          <cell r="O33">
            <v>11.5</v>
          </cell>
          <cell r="P33">
            <v>13.23</v>
          </cell>
          <cell r="Q33">
            <v>10.5</v>
          </cell>
          <cell r="R33">
            <v>12.08</v>
          </cell>
          <cell r="S33">
            <v>12.08</v>
          </cell>
          <cell r="T33">
            <v>13.89</v>
          </cell>
        </row>
        <row r="34">
          <cell r="L34">
            <v>208</v>
          </cell>
          <cell r="M34">
            <v>10.83</v>
          </cell>
          <cell r="N34">
            <v>12.450000000000001</v>
          </cell>
          <cell r="O34">
            <v>12.450000000000001</v>
          </cell>
          <cell r="P34">
            <v>14.32</v>
          </cell>
          <cell r="Q34">
            <v>11.371500000000001</v>
          </cell>
          <cell r="R34">
            <v>13.08</v>
          </cell>
          <cell r="S34">
            <v>13.08</v>
          </cell>
          <cell r="T34">
            <v>15.040000000000001</v>
          </cell>
        </row>
        <row r="35">
          <cell r="L35">
            <v>224</v>
          </cell>
          <cell r="M35">
            <v>11.67</v>
          </cell>
          <cell r="N35">
            <v>13.42</v>
          </cell>
          <cell r="O35">
            <v>13.42</v>
          </cell>
          <cell r="P35">
            <v>15.43</v>
          </cell>
          <cell r="Q35">
            <v>12.253500000000001</v>
          </cell>
          <cell r="R35">
            <v>14.09</v>
          </cell>
          <cell r="S35">
            <v>14.09</v>
          </cell>
          <cell r="T35">
            <v>16.2</v>
          </cell>
        </row>
        <row r="36">
          <cell r="L36">
            <v>240</v>
          </cell>
          <cell r="M36">
            <v>12.5</v>
          </cell>
          <cell r="N36">
            <v>14.370000000000001</v>
          </cell>
          <cell r="O36">
            <v>14.370000000000001</v>
          </cell>
          <cell r="P36">
            <v>16.53</v>
          </cell>
          <cell r="Q36">
            <v>13.125</v>
          </cell>
          <cell r="R36">
            <v>15.09</v>
          </cell>
          <cell r="S36">
            <v>15.09</v>
          </cell>
          <cell r="T36">
            <v>17.350000000000001</v>
          </cell>
        </row>
        <row r="37">
          <cell r="L37">
            <v>256</v>
          </cell>
          <cell r="M37">
            <v>13.33</v>
          </cell>
          <cell r="N37">
            <v>15.33</v>
          </cell>
          <cell r="O37">
            <v>15.33</v>
          </cell>
          <cell r="P37">
            <v>17.63</v>
          </cell>
          <cell r="Q37">
            <v>13.996500000000001</v>
          </cell>
          <cell r="R37">
            <v>16.100000000000001</v>
          </cell>
          <cell r="S37">
            <v>16.100000000000001</v>
          </cell>
          <cell r="T37">
            <v>18.52</v>
          </cell>
        </row>
        <row r="38">
          <cell r="L38">
            <v>272</v>
          </cell>
          <cell r="M38">
            <v>14.17</v>
          </cell>
          <cell r="N38">
            <v>16.3</v>
          </cell>
          <cell r="O38">
            <v>16.3</v>
          </cell>
          <cell r="P38">
            <v>18.75</v>
          </cell>
          <cell r="Q38">
            <v>14.878500000000001</v>
          </cell>
          <cell r="R38">
            <v>17.11</v>
          </cell>
          <cell r="S38">
            <v>17.11</v>
          </cell>
          <cell r="T38">
            <v>19.68</v>
          </cell>
        </row>
        <row r="39">
          <cell r="L39">
            <v>288</v>
          </cell>
          <cell r="M39">
            <v>15</v>
          </cell>
          <cell r="N39">
            <v>17.25</v>
          </cell>
          <cell r="O39">
            <v>17.25</v>
          </cell>
          <cell r="P39">
            <v>19.84</v>
          </cell>
          <cell r="Q39">
            <v>15.75</v>
          </cell>
          <cell r="R39">
            <v>18.11</v>
          </cell>
          <cell r="S39">
            <v>18.11</v>
          </cell>
          <cell r="T39">
            <v>20.830000000000002</v>
          </cell>
        </row>
        <row r="40">
          <cell r="L40">
            <v>304</v>
          </cell>
          <cell r="M40">
            <v>15.83</v>
          </cell>
          <cell r="N40">
            <v>18.2</v>
          </cell>
          <cell r="O40">
            <v>18.2</v>
          </cell>
          <cell r="P40">
            <v>20.93</v>
          </cell>
          <cell r="Q40">
            <v>16.621500000000001</v>
          </cell>
          <cell r="R40">
            <v>19.11</v>
          </cell>
          <cell r="S40">
            <v>19.11</v>
          </cell>
          <cell r="T40">
            <v>21.98</v>
          </cell>
        </row>
        <row r="41">
          <cell r="L41">
            <v>320</v>
          </cell>
          <cell r="M41">
            <v>16.670000000000002</v>
          </cell>
          <cell r="N41">
            <v>19.170000000000002</v>
          </cell>
          <cell r="O41">
            <v>19.170000000000002</v>
          </cell>
          <cell r="P41">
            <v>22.05</v>
          </cell>
          <cell r="Q41">
            <v>17.503500000000003</v>
          </cell>
          <cell r="R41">
            <v>20.13</v>
          </cell>
          <cell r="S41">
            <v>20.13</v>
          </cell>
          <cell r="T41">
            <v>23.150000000000002</v>
          </cell>
        </row>
        <row r="42">
          <cell r="L42">
            <v>336</v>
          </cell>
          <cell r="M42">
            <v>17.5</v>
          </cell>
          <cell r="N42">
            <v>20.13</v>
          </cell>
          <cell r="O42">
            <v>20.13</v>
          </cell>
          <cell r="P42">
            <v>23.150000000000002</v>
          </cell>
          <cell r="Q42">
            <v>18.375</v>
          </cell>
          <cell r="R42">
            <v>21.13</v>
          </cell>
          <cell r="S42">
            <v>21.13</v>
          </cell>
          <cell r="T42">
            <v>24.3</v>
          </cell>
        </row>
        <row r="43">
          <cell r="L43">
            <v>352</v>
          </cell>
          <cell r="M43">
            <v>18.330000000000002</v>
          </cell>
          <cell r="N43">
            <v>21.080000000000002</v>
          </cell>
          <cell r="O43">
            <v>22.91</v>
          </cell>
          <cell r="P43">
            <v>26.35</v>
          </cell>
          <cell r="Q43">
            <v>21.216975000000001</v>
          </cell>
          <cell r="R43">
            <v>26.52</v>
          </cell>
          <cell r="S43">
            <v>26.52</v>
          </cell>
          <cell r="T43">
            <v>33.15</v>
          </cell>
        </row>
        <row r="44">
          <cell r="L44">
            <v>368</v>
          </cell>
          <cell r="M44">
            <v>19.170000000000002</v>
          </cell>
          <cell r="N44">
            <v>22.05</v>
          </cell>
          <cell r="O44">
            <v>23.96</v>
          </cell>
          <cell r="P44">
            <v>27.560000000000002</v>
          </cell>
          <cell r="Q44">
            <v>22.189275000000002</v>
          </cell>
          <cell r="R44">
            <v>27.740000000000002</v>
          </cell>
          <cell r="S44">
            <v>27.740000000000002</v>
          </cell>
          <cell r="T44">
            <v>34.68</v>
          </cell>
        </row>
        <row r="45">
          <cell r="L45">
            <v>384</v>
          </cell>
          <cell r="M45">
            <v>20</v>
          </cell>
          <cell r="N45">
            <v>23</v>
          </cell>
          <cell r="O45">
            <v>25</v>
          </cell>
          <cell r="P45">
            <v>28.75</v>
          </cell>
          <cell r="Q45">
            <v>23.15</v>
          </cell>
          <cell r="R45">
            <v>28.94</v>
          </cell>
          <cell r="S45">
            <v>28.94</v>
          </cell>
          <cell r="T45">
            <v>36.18</v>
          </cell>
        </row>
        <row r="46">
          <cell r="L46">
            <v>400</v>
          </cell>
          <cell r="M46">
            <v>20.830000000000002</v>
          </cell>
          <cell r="N46">
            <v>23.95</v>
          </cell>
          <cell r="O46">
            <v>26.04</v>
          </cell>
          <cell r="P46">
            <v>29.94</v>
          </cell>
          <cell r="Q46">
            <v>24.110725000000002</v>
          </cell>
          <cell r="R46">
            <v>30.14</v>
          </cell>
          <cell r="S46">
            <v>30.14</v>
          </cell>
          <cell r="T46">
            <v>37.67</v>
          </cell>
        </row>
        <row r="47">
          <cell r="L47">
            <v>416</v>
          </cell>
          <cell r="M47">
            <v>21.67</v>
          </cell>
          <cell r="N47">
            <v>24.92</v>
          </cell>
          <cell r="O47">
            <v>27.09</v>
          </cell>
          <cell r="P47">
            <v>31.150000000000002</v>
          </cell>
          <cell r="Q47">
            <v>25.083025000000003</v>
          </cell>
          <cell r="R47">
            <v>31.35</v>
          </cell>
          <cell r="S47">
            <v>31.35</v>
          </cell>
          <cell r="T47">
            <v>39.19</v>
          </cell>
        </row>
        <row r="48">
          <cell r="L48">
            <v>432</v>
          </cell>
          <cell r="M48">
            <v>22.5</v>
          </cell>
          <cell r="N48">
            <v>25.87</v>
          </cell>
          <cell r="O48">
            <v>28.13</v>
          </cell>
          <cell r="P48">
            <v>32.340000000000003</v>
          </cell>
          <cell r="Q48">
            <v>26.043749999999999</v>
          </cell>
          <cell r="R48">
            <v>32.549999999999997</v>
          </cell>
          <cell r="S48">
            <v>32.549999999999997</v>
          </cell>
          <cell r="T48">
            <v>40.69</v>
          </cell>
        </row>
        <row r="49">
          <cell r="L49">
            <v>448</v>
          </cell>
          <cell r="M49">
            <v>23.330000000000002</v>
          </cell>
          <cell r="N49">
            <v>26.830000000000002</v>
          </cell>
          <cell r="O49">
            <v>29.16</v>
          </cell>
          <cell r="P49">
            <v>33.54</v>
          </cell>
          <cell r="Q49">
            <v>27.004475000000003</v>
          </cell>
          <cell r="R49">
            <v>33.76</v>
          </cell>
          <cell r="S49">
            <v>33.76</v>
          </cell>
          <cell r="T49">
            <v>42.2</v>
          </cell>
        </row>
        <row r="50">
          <cell r="L50">
            <v>464</v>
          </cell>
          <cell r="M50">
            <v>24.17</v>
          </cell>
          <cell r="N50">
            <v>27.8</v>
          </cell>
          <cell r="O50">
            <v>30.21</v>
          </cell>
          <cell r="P50">
            <v>34.75</v>
          </cell>
          <cell r="Q50">
            <v>27.976775</v>
          </cell>
          <cell r="R50">
            <v>34.97</v>
          </cell>
          <cell r="S50">
            <v>34.97</v>
          </cell>
          <cell r="T50">
            <v>43.71</v>
          </cell>
        </row>
        <row r="51">
          <cell r="L51">
            <v>480</v>
          </cell>
          <cell r="M51">
            <v>25</v>
          </cell>
          <cell r="N51">
            <v>28.75</v>
          </cell>
          <cell r="O51">
            <v>31.25</v>
          </cell>
          <cell r="P51">
            <v>35.94</v>
          </cell>
          <cell r="Q51">
            <v>28.9375</v>
          </cell>
          <cell r="R51">
            <v>36.17</v>
          </cell>
          <cell r="S51">
            <v>36.17</v>
          </cell>
          <cell r="T51">
            <v>45.21</v>
          </cell>
        </row>
        <row r="52">
          <cell r="L52">
            <v>496</v>
          </cell>
          <cell r="M52">
            <v>25.830000000000002</v>
          </cell>
          <cell r="N52">
            <v>29.7</v>
          </cell>
          <cell r="O52">
            <v>32.29</v>
          </cell>
          <cell r="P52">
            <v>37.130000000000003</v>
          </cell>
          <cell r="Q52">
            <v>29.898225</v>
          </cell>
          <cell r="R52">
            <v>37.369999999999997</v>
          </cell>
          <cell r="S52">
            <v>37.369999999999997</v>
          </cell>
          <cell r="T52">
            <v>46.71</v>
          </cell>
        </row>
        <row r="53">
          <cell r="L53">
            <v>512</v>
          </cell>
          <cell r="M53">
            <v>26.67</v>
          </cell>
          <cell r="N53">
            <v>30.67</v>
          </cell>
          <cell r="O53">
            <v>33.340000000000003</v>
          </cell>
          <cell r="P53">
            <v>38.340000000000003</v>
          </cell>
          <cell r="Q53">
            <v>30.870525000000001</v>
          </cell>
          <cell r="R53">
            <v>38.590000000000003</v>
          </cell>
          <cell r="S53">
            <v>38.590000000000003</v>
          </cell>
          <cell r="T53">
            <v>48.24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&amp; CALCULATIONS"/>
      <sheetName val="PRICING SHEET"/>
      <sheetName val="QTE M&amp;I"/>
      <sheetName val="DATA"/>
    </sheetNames>
    <sheetDataSet>
      <sheetData sheetId="0"/>
      <sheetData sheetId="1"/>
      <sheetData sheetId="2"/>
      <sheetData sheetId="3">
        <row r="4">
          <cell r="C4" t="str">
            <v>WOOD FASCIA STYLES</v>
          </cell>
        </row>
        <row r="5">
          <cell r="C5" t="str">
            <v>A.1 - 6" HEIGHT</v>
          </cell>
        </row>
        <row r="6">
          <cell r="C6" t="str">
            <v>A.1 - 8" HEIGHT</v>
          </cell>
        </row>
        <row r="7">
          <cell r="C7" t="str">
            <v>A.1 - 10" HEIGHT</v>
          </cell>
        </row>
        <row r="8">
          <cell r="C8" t="str">
            <v>C.1 - 6" HEIGHT</v>
          </cell>
        </row>
        <row r="9">
          <cell r="C9" t="str">
            <v>C.1 - 8" HEIGHT</v>
          </cell>
        </row>
        <row r="10">
          <cell r="C10" t="str">
            <v>C.1 - 10" HEIGHT</v>
          </cell>
        </row>
        <row r="11">
          <cell r="C11" t="str">
            <v>B.2 - 6" HEIGHT</v>
          </cell>
        </row>
        <row r="12">
          <cell r="C12" t="str">
            <v>B.2 - 8" HEIGHT</v>
          </cell>
        </row>
        <row r="13">
          <cell r="C13" t="str">
            <v>B.2 - 10" HEIGHT</v>
          </cell>
        </row>
        <row r="14">
          <cell r="C14" t="str">
            <v>A.2 - 6" HEIGHT</v>
          </cell>
        </row>
        <row r="15">
          <cell r="C15" t="str">
            <v>A.2 - 8" HEIGHT</v>
          </cell>
        </row>
        <row r="16">
          <cell r="C16" t="str">
            <v>A.2 - 10" HEIGHT</v>
          </cell>
        </row>
        <row r="17">
          <cell r="C17" t="str">
            <v>D.1 - 6" HEIGHT</v>
          </cell>
        </row>
        <row r="18">
          <cell r="C18" t="str">
            <v>D.1 - 8" HEIGHT</v>
          </cell>
        </row>
        <row r="19">
          <cell r="C19" t="str">
            <v>D.1 - 10" HEIGHT</v>
          </cell>
        </row>
        <row r="20">
          <cell r="C20">
            <v>0</v>
          </cell>
        </row>
        <row r="21">
          <cell r="C21" t="str">
            <v>NONE</v>
          </cell>
        </row>
        <row r="22">
          <cell r="C22" t="str">
            <v>A.1 - 13" HEIGHT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enakat1234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tabColor rgb="FFFFFF00"/>
  </sheetPr>
  <dimension ref="A1:AA90"/>
  <sheetViews>
    <sheetView showGridLines="0" tabSelected="1" topLeftCell="D1" zoomScale="85" zoomScaleNormal="85" workbookViewId="0">
      <selection activeCell="Y72" sqref="Y72"/>
    </sheetView>
  </sheetViews>
  <sheetFormatPr defaultRowHeight="15" x14ac:dyDescent="0.25"/>
  <cols>
    <col min="1" max="1" width="3.7109375" style="265" customWidth="1"/>
    <col min="2" max="2" width="6" style="265" customWidth="1"/>
    <col min="3" max="3" width="12.42578125" style="265" customWidth="1"/>
    <col min="4" max="4" width="10.5703125" style="265" customWidth="1"/>
    <col min="5" max="5" width="20.7109375" style="265" customWidth="1"/>
    <col min="6" max="6" width="22.42578125" style="265" customWidth="1"/>
    <col min="7" max="7" width="15.7109375" style="265" hidden="1" customWidth="1"/>
    <col min="8" max="8" width="17" style="265" hidden="1" customWidth="1"/>
    <col min="9" max="9" width="25.5703125" style="265" hidden="1" customWidth="1"/>
    <col min="10" max="10" width="17.42578125" style="265" hidden="1" customWidth="1"/>
    <col min="11" max="11" width="38.7109375" style="265" customWidth="1"/>
    <col min="12" max="12" width="21.5703125" style="265" customWidth="1"/>
    <col min="13" max="13" width="23.42578125" style="265" customWidth="1"/>
    <col min="14" max="16" width="15.7109375" style="265" customWidth="1"/>
    <col min="17" max="17" width="29.28515625" style="265" customWidth="1"/>
    <col min="18" max="18" width="15.7109375" style="265" customWidth="1"/>
    <col min="19" max="19" width="24.140625" style="265" customWidth="1"/>
    <col min="20" max="20" width="14.85546875" style="265" hidden="1" customWidth="1"/>
    <col min="21" max="21" width="15.7109375" style="265" hidden="1" customWidth="1"/>
    <col min="22" max="22" width="20.7109375" style="265" customWidth="1"/>
    <col min="23" max="23" width="27.28515625" style="265" customWidth="1"/>
    <col min="24" max="24" width="2.7109375" style="265" customWidth="1"/>
    <col min="25" max="25" width="8.7109375" style="265" customWidth="1"/>
    <col min="26" max="26" width="2.42578125" style="265" customWidth="1"/>
    <col min="27" max="27" width="27" style="265" customWidth="1"/>
    <col min="28" max="32" width="13.5703125" style="265" customWidth="1"/>
    <col min="33" max="16384" width="9.140625" style="265"/>
  </cols>
  <sheetData>
    <row r="1" spans="2:27" ht="9.9499999999999993" customHeight="1" x14ac:dyDescent="0.25">
      <c r="Y1" s="327"/>
    </row>
    <row r="2" spans="2:27" ht="99.95" customHeight="1" thickBot="1" x14ac:dyDescent="0.3"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9"/>
      <c r="O2" s="330"/>
      <c r="P2" s="330"/>
      <c r="Q2" s="330"/>
      <c r="R2" s="329"/>
      <c r="S2" s="330"/>
      <c r="T2" s="330"/>
      <c r="U2" s="330"/>
      <c r="V2" s="331" t="str">
        <f>'FILL QUOTE-CALCULATIONS'!AB2</f>
        <v xml:space="preserve">COTIZACION # </v>
      </c>
      <c r="W2" s="332" t="str">
        <f>'FILL QUOTE-CALCULATIONS'!AC2</f>
        <v xml:space="preserve">BS 250722 D  REV 4  </v>
      </c>
      <c r="Y2" s="327"/>
    </row>
    <row r="3" spans="2:27" ht="17.25" thickTop="1" x14ac:dyDescent="0.25">
      <c r="B3" s="337" t="s">
        <v>119</v>
      </c>
      <c r="N3" s="338"/>
      <c r="R3" s="338"/>
      <c r="V3" s="338"/>
      <c r="W3" s="338"/>
      <c r="Y3" s="327"/>
    </row>
    <row r="4" spans="2:27" ht="17.25" thickBot="1" x14ac:dyDescent="0.3">
      <c r="B4" s="337" t="s">
        <v>120</v>
      </c>
      <c r="K4" s="339" t="str">
        <f>'FILL QUOTE-CALCULATIONS'!K6</f>
        <v xml:space="preserve">CABAÑAS NANGI </v>
      </c>
      <c r="L4" s="340"/>
      <c r="N4" s="340" t="str">
        <f>'FILL QUOTE-CALCULATIONS'!O6</f>
        <v>32°05'51.7"N 116°37'58.7"W</v>
      </c>
      <c r="O4" s="340"/>
      <c r="P4" s="340"/>
      <c r="R4" s="340" t="str">
        <f>'FILL QUOTE-CALCULATIONS'!S6</f>
        <v>DEPOSIT</v>
      </c>
      <c r="S4" s="340"/>
      <c r="W4" s="341" t="str">
        <f>'FILL QUOTE-CALCULATIONS'!AC6</f>
        <v>NO</v>
      </c>
      <c r="Y4" s="327"/>
    </row>
    <row r="5" spans="2:27" ht="17.25" thickTop="1" x14ac:dyDescent="0.25">
      <c r="B5" s="337" t="s">
        <v>121</v>
      </c>
      <c r="K5" s="342" t="str">
        <f>'FILL QUOTE-CALCULATIONS'!K7</f>
        <v>NOMBRE DEL PROYECTO</v>
      </c>
      <c r="L5" s="338"/>
      <c r="M5" s="338"/>
      <c r="N5" s="342" t="str">
        <f>'FILL QUOTE-CALCULATIONS'!O7</f>
        <v>DOMICILIO</v>
      </c>
      <c r="O5" s="338"/>
      <c r="P5" s="338"/>
      <c r="R5" s="343" t="str">
        <f>'FILL QUOTE-CALCULATIONS'!S7</f>
        <v>TIPO DE PAGO (EFECTIVO/CHEQUE/DEPOSITO)</v>
      </c>
      <c r="S5" s="343"/>
      <c r="V5" s="276"/>
      <c r="W5" s="344" t="str">
        <f>'FILL QUOTE-CALCULATIONS'!AC7</f>
        <v>REQUIERE FACTURA?</v>
      </c>
      <c r="Y5" s="327"/>
    </row>
    <row r="6" spans="2:27" ht="15.75" x14ac:dyDescent="0.25">
      <c r="O6" s="338"/>
      <c r="V6" s="276"/>
      <c r="Y6" s="327"/>
    </row>
    <row r="7" spans="2:27" ht="19.5" thickBot="1" x14ac:dyDescent="0.35">
      <c r="C7" s="345" t="s">
        <v>206</v>
      </c>
      <c r="F7" s="265" t="s">
        <v>207</v>
      </c>
      <c r="G7" s="346"/>
      <c r="H7" s="346"/>
      <c r="K7" s="340" t="str">
        <f>'FILL QUOTE-CALCULATIONS'!K9</f>
        <v xml:space="preserve">JENNIFER / ALAN </v>
      </c>
      <c r="L7" s="340"/>
      <c r="N7" s="347" t="str">
        <f>'FILL QUOTE-CALCULATIONS'!O9</f>
        <v xml:space="preserve"> 664 241 2622</v>
      </c>
      <c r="O7" s="340"/>
      <c r="P7" s="340"/>
      <c r="R7" s="340" t="str">
        <f>'FILL QUOTE-CALCULATIONS'!S9</f>
        <v>RICARDO GARCIA</v>
      </c>
      <c r="S7" s="340"/>
      <c r="W7" s="348">
        <f>'FILL QUOTE-CALCULATIONS'!AC9</f>
        <v>45954</v>
      </c>
      <c r="Y7" s="327"/>
    </row>
    <row r="8" spans="2:27" ht="16.5" thickTop="1" x14ac:dyDescent="0.25">
      <c r="C8" s="349"/>
      <c r="D8" s="349"/>
      <c r="E8" s="350"/>
      <c r="F8" s="343"/>
      <c r="G8" s="343"/>
      <c r="H8" s="343"/>
      <c r="K8" s="342" t="str">
        <f>'FILL QUOTE-CALCULATIONS'!K10</f>
        <v>NOMBRE DEL CONTACTO</v>
      </c>
      <c r="L8" s="338"/>
      <c r="M8" s="338"/>
      <c r="N8" s="342" t="str">
        <f>'FILL QUOTE-CALCULATIONS'!O10</f>
        <v>CORREO ELECTRONICO</v>
      </c>
      <c r="O8" s="338"/>
      <c r="P8" s="338"/>
      <c r="R8" s="342" t="str">
        <f>'FILL QUOTE-CALCULATIONS'!S10</f>
        <v>VENDEDOR(A)</v>
      </c>
      <c r="S8" s="342"/>
      <c r="V8" s="350"/>
      <c r="W8" s="344" t="str">
        <f>'FILL QUOTE-CALCULATIONS'!AC10</f>
        <v>FECHA</v>
      </c>
      <c r="Y8" s="327"/>
    </row>
    <row r="9" spans="2:27" x14ac:dyDescent="0.25">
      <c r="Y9" s="327"/>
    </row>
    <row r="10" spans="2:27" s="353" customFormat="1" ht="28.5" x14ac:dyDescent="0.25">
      <c r="B10" s="351" t="str">
        <f>'FILL QUOTE-CALCULATIONS'!B12:O12</f>
        <v>CORTINAS</v>
      </c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909" t="str">
        <f>'FILL QUOTE-CALCULATIONS'!P12:S12</f>
        <v>HERRAJE</v>
      </c>
      <c r="Q10" s="909"/>
      <c r="R10" s="909"/>
      <c r="S10" s="909"/>
      <c r="T10" s="352" t="str">
        <f>'FILL QUOTE-CALCULATIONS'!T12</f>
        <v>CORTINAS</v>
      </c>
      <c r="U10" s="352" t="str">
        <f>'FILL QUOTE-CALCULATIONS'!W12</f>
        <v>HERRAJE</v>
      </c>
      <c r="V10" s="909" t="str">
        <f>'FILL QUOTE-CALCULATIONS'!AB12</f>
        <v>TOTALES</v>
      </c>
      <c r="W10" s="909"/>
      <c r="Y10" s="354"/>
    </row>
    <row r="11" spans="2:27" s="353" customFormat="1" ht="45" customHeight="1" thickBot="1" x14ac:dyDescent="0.3">
      <c r="B11" s="355" t="str">
        <f>'FILL QUOTE-CALCULATIONS'!B14</f>
        <v>ART.</v>
      </c>
      <c r="C11" s="356" t="str">
        <f>'FILL QUOTE-CALCULATIONS'!C14</f>
        <v>CANT.</v>
      </c>
      <c r="D11" s="356" t="str">
        <f>'FILL QUOTE-CALCULATIONS'!D14</f>
        <v>DIRECCION DE CORTINA</v>
      </c>
      <c r="E11" s="356" t="str">
        <f>'FILL QUOTE-CALCULATIONS'!E14</f>
        <v>ESTILO DE CORTINA</v>
      </c>
      <c r="F11" s="356" t="str">
        <f>'FILL QUOTE-CALCULATIONS'!F14</f>
        <v>TIPO DE CORTINA</v>
      </c>
      <c r="G11" s="357" t="str">
        <f>'FILL QUOTE-CALCULATIONS'!G14</f>
        <v>AMPLITUD</v>
      </c>
      <c r="H11" s="357" t="str">
        <f>'FILL QUOTE-CALCULATIONS'!H14</f>
        <v>TELAS 'EN EXISTENCIA', 'POR ORDENAR' ó 'DEL CLIENTE'</v>
      </c>
      <c r="I11" s="357" t="str">
        <f>'FILL QUOTE-CALCULATIONS'!I14</f>
        <v>TIPO DE TELA</v>
      </c>
      <c r="J11" s="357" t="str">
        <f>'FILL QUOTE-CALCULATIONS'!J14</f>
        <v>YARDAGE SEGUN CANTIDAD REQUERIDA</v>
      </c>
      <c r="K11" s="356" t="str">
        <f>'FILL QUOTE-CALCULATIONS'!K14</f>
        <v>NOMBRE y COLOR DE TELA</v>
      </c>
      <c r="L11" s="356" t="str">
        <f>'FILL QUOTE-CALCULATIONS'!L14</f>
        <v>TIPO DE LINING</v>
      </c>
      <c r="M11" s="356" t="str">
        <f>'FILL QUOTE-CALCULATIONS'!M14</f>
        <v>NOMBRE DEL CUARTO ó AREA</v>
      </c>
      <c r="N11" s="356" t="str">
        <f>'FILL QUOTE-CALCULATIONS'!N14</f>
        <v>ANCHO DE RIEL</v>
      </c>
      <c r="O11" s="358" t="str">
        <f>'FILL QUOTE-CALCULATIONS'!O14</f>
        <v>ALTURA DE CORTINA</v>
      </c>
      <c r="P11" s="355" t="str">
        <f>'FILL QUOTE-CALCULATIONS'!P14</f>
        <v>MONTAJE</v>
      </c>
      <c r="Q11" s="356" t="str">
        <f>'FILL QUOTE-CALCULATIONS'!Q14</f>
        <v>TIPO HERRAJE</v>
      </c>
      <c r="R11" s="356" t="str">
        <f>'FILL QUOTE-CALCULATIONS'!R14</f>
        <v>COLOR HERRAJE</v>
      </c>
      <c r="S11" s="358" t="str">
        <f>'FILL QUOTE-CALCULATIONS'!S14</f>
        <v>TIPO DE BASTON (en caso de que aplique)</v>
      </c>
      <c r="T11" s="356" t="str">
        <f>'FILL QUOTE-CALCULATIONS'!T14</f>
        <v>PRECIO UNITARIO</v>
      </c>
      <c r="U11" s="356" t="str">
        <f>'FILL QUOTE-CALCULATIONS'!W14</f>
        <v>PRECIO UNITARIO</v>
      </c>
      <c r="V11" s="356" t="str">
        <f>'FILL QUOTE-CALCULATIONS'!AB14</f>
        <v>PRECIO UNITARIO</v>
      </c>
      <c r="W11" s="358" t="str">
        <f>'FILL QUOTE-CALCULATIONS'!AC14</f>
        <v>PRECIO EXTENDIDO</v>
      </c>
      <c r="Y11" s="327"/>
      <c r="AA11" s="695" t="s">
        <v>747</v>
      </c>
    </row>
    <row r="12" spans="2:27" s="353" customFormat="1" ht="30" customHeight="1" x14ac:dyDescent="0.25">
      <c r="B12" s="359">
        <f>'FILL QUOTE-CALCULATIONS'!B15</f>
        <v>1</v>
      </c>
      <c r="C12" s="360">
        <f>IF(OR('FILL QUOTE-CALCULATIONS'!C15&lt;1,'FILL QUOTE-CALCULATIONS'!C15=""),"",'FILL QUOTE-CALCULATIONS'!C15)</f>
        <v>1</v>
      </c>
      <c r="D12" s="360" t="str">
        <f>IF(OR(C12&lt;1,C12=""),"",IF('FILL QUOTE-CALCULATIONS'!$S$4="INGLES",'FILL QUOTE-CALCULATIONS'!D15,VLOOKUP('FILL QUOTE-CALCULATIONS'!D15,'DROP LIST'!$B$7:$C$13,2,0)))</f>
        <v>PAR</v>
      </c>
      <c r="E12" s="360" t="str">
        <f>IF(OR(C12&lt;1,C12=""),"",IF('FILL QUOTE-CALCULATIONS'!$S$4="INGLES",'FILL QUOTE-CALCULATIONS'!E15,VLOOKUP('FILL QUOTE-CALCULATIONS'!E15,'DROP LIST'!$E$7:$F$15,2,0)))</f>
        <v>PLIEGUES-GANCHOS</v>
      </c>
      <c r="F12" s="360" t="str">
        <f>IF(OR(C12&lt;1,C12=""),"",IF('FILL QUOTE-CALCULATIONS'!$S$4="INGLES",'FILL QUOTE-CALCULATIONS'!F15,VLOOKUP('FILL QUOTE-CALCULATIONS'!F15,'DROP LIST'!$H$7:$I$19,2,0)))</f>
        <v>CORTINA 'BLACKOUT'</v>
      </c>
      <c r="G12" s="361">
        <f>IF(OR(C12&lt;1,C12=""),"",'FILL QUOTE-CALCULATIONS'!G15)</f>
        <v>2</v>
      </c>
      <c r="H12" s="360" t="str">
        <f>IF(OR(C12&lt;1,C12=""),"",IF('FILL QUOTE-CALCULATIONS'!$S$4="INGLES",'FILL QUOTE-CALCULATIONS'!H15,VLOOKUP('FILL QUOTE-CALCULATIONS'!H15,'DROP LIST'!$M$7:$N$10,2,0)))</f>
        <v>EN EXISTENCIA</v>
      </c>
      <c r="I12" s="360" t="str">
        <f>IF(OR(C12&lt;1,C12=""),"",IF('FILL QUOTE-CALCULATIONS'!$S$4="INGLES",'FILL QUOTE-CALCULATIONS'!I15,VLOOKUP('FILL QUOTE-CALCULATIONS'!I15,'DROP LIST'!$M$15:$N$18,2,0)))</f>
        <v>BO TEXTURIZADO</v>
      </c>
      <c r="J12" s="360" t="str">
        <f>'FILL QUOTE-CALCULATIONS'!J15</f>
        <v/>
      </c>
      <c r="K12" s="360" t="str">
        <f>IF(OR(C12&lt;1,C12=""),"",'FILL QUOTE-CALCULATIONS'!K15)</f>
        <v xml:space="preserve">CRETA SHELL </v>
      </c>
      <c r="L12" s="360" t="str">
        <f>IF(OR(C12&lt;1,C12=""),"",IF('FILL QUOTE-CALCULATIONS'!$S$4="INGLES",'FILL QUOTE-CALCULATIONS'!L15,VLOOKUP('FILL QUOTE-CALCULATIONS'!L15,'DROP LIST'!$B$25:$C$31,2,0)))</f>
        <v>N/A</v>
      </c>
      <c r="M12" s="360" t="str">
        <f>IF(OR(E12&lt;1,E12=""),"",'FILL QUOTE-CALCULATIONS'!M15)</f>
        <v xml:space="preserve">REINA 1 SALA </v>
      </c>
      <c r="N12" s="362">
        <f>IF(OR(C12&lt;1,C12=""),"",'FILL QUOTE-CALCULATIONS'!N15)</f>
        <v>108</v>
      </c>
      <c r="O12" s="362">
        <f>IF(OR(C12&lt;1,C12=""),"",'FILL QUOTE-CALCULATIONS'!O15)</f>
        <v>115.5</v>
      </c>
      <c r="P12" s="360" t="str">
        <f>IF(OR(C12&lt;1,C12=""),"",IF('FILL QUOTE-CALCULATIONS'!$S$4="INGLES",'FILL QUOTE-CALCULATIONS'!P15, VLOOKUP('FILL QUOTE-CALCULATIONS'!P15,'DROP LIST'!$E$25:$F$27,2,0)))</f>
        <v>AL TECHO</v>
      </c>
      <c r="Q12" s="360" t="str">
        <f>IF(OR(C12&lt;1,C12=""),"",IF('FILL QUOTE-CALCULATIONS'!$S$4="INGLES",'FILL QUOTE-CALCULATIONS'!Q15,VLOOKUP('FILL QUOTE-CALCULATIONS'!Q15,'DROP LIST'!$H$25:$I$36,2,0)))</f>
        <v>HOTELERO - BASTON - P.P.</v>
      </c>
      <c r="R12" s="362" t="str">
        <f>IF('FILL QUOTE-CALCULATIONS'!R15="","",'FILL QUOTE-CALCULATIONS'!R15)</f>
        <v xml:space="preserve">BLANCO </v>
      </c>
      <c r="S12" s="360" t="str">
        <f>IF(OR(C12&lt;1,C12=""),"",IF('FILL QUOTE-CALCULATIONS'!$S$4="INGLES",'FILL QUOTE-CALCULATIONS'!S15,VLOOKUP('FILL QUOTE-CALCULATIONS'!S15,'DROP LIST'!$H$43:$I$46,2,0)))</f>
        <v>BLANCO</v>
      </c>
      <c r="T12" s="363">
        <f>IF(OR(C12&lt;1,C12=""),"",'FILL QUOTE-CALCULATIONS'!T15)</f>
        <v>587.25</v>
      </c>
      <c r="U12" s="364">
        <f>IF(OR(C12&lt;1,C12=""),"",'FILL QUOTE-CALCULATIONS'!W15)</f>
        <v>98.5</v>
      </c>
      <c r="V12" s="365">
        <f>IF(OR(C12&lt;1,C12=""),"",IF('FILL QUOTE-CALCULATIONS'!$S$3="DOLLARS",'FILL QUOTE-CALCULATIONS'!AB15,'FILL QUOTE-CALCULATIONS'!AB15*'FILL QUOTE-CALCULATIONS'!$AC$4))</f>
        <v>685.75</v>
      </c>
      <c r="W12" s="366">
        <f>IF(OR(C12&lt;1,C12=""),"",IF('FILL QUOTE-CALCULATIONS'!$S$3="DOLLARS",'FILL QUOTE-CALCULATIONS'!AC15,'FILL QUOTE-CALCULATIONS'!AC15*'FILL QUOTE-CALCULATIONS'!$AC$4))</f>
        <v>685.75</v>
      </c>
      <c r="Y12" s="327"/>
      <c r="AA12" s="908" t="s">
        <v>746</v>
      </c>
    </row>
    <row r="13" spans="2:27" s="353" customFormat="1" ht="30" customHeight="1" x14ac:dyDescent="0.25">
      <c r="B13" s="359">
        <f>IF(OR('FILL QUOTE-CALCULATIONS'!C16=0,'FILL QUOTE-CALCULATIONS'!C16=""),"",'FILL QUOTE-CALCULATIONS'!B16)</f>
        <v>2</v>
      </c>
      <c r="C13" s="360">
        <f>IF(OR('FILL QUOTE-CALCULATIONS'!C16&lt;1,'FILL QUOTE-CALCULATIONS'!C16=""),"",'FILL QUOTE-CALCULATIONS'!C16)</f>
        <v>1</v>
      </c>
      <c r="D13" s="360" t="str">
        <f>IF(OR(C13&lt;1,C13=""),"",IF('FILL QUOTE-CALCULATIONS'!$S$4="INGLES",'FILL QUOTE-CALCULATIONS'!D16,VLOOKUP('FILL QUOTE-CALCULATIONS'!D16,'DROP LIST'!$B$7:$C$13,2,0)))</f>
        <v>PAR</v>
      </c>
      <c r="E13" s="360" t="str">
        <f>IF(OR(C13&lt;1,C13=""),"",IF('FILL QUOTE-CALCULATIONS'!$S$4="INGLES",'FILL QUOTE-CALCULATIONS'!E16,VLOOKUP('FILL QUOTE-CALCULATIONS'!E16,'DROP LIST'!$E$7:$F$15,2,0)))</f>
        <v>PLIEGUES-GANCHOS</v>
      </c>
      <c r="F13" s="360" t="str">
        <f>IF(OR(C13&lt;1,C13=""),"",IF('FILL QUOTE-CALCULATIONS'!$S$4="INGLES",'FILL QUOTE-CALCULATIONS'!F16,VLOOKUP('FILL QUOTE-CALCULATIONS'!F16,'DROP LIST'!$H$7:$I$19,2,0)))</f>
        <v>FRESCURA (TERGAL)</v>
      </c>
      <c r="G13" s="361">
        <f>IF(OR(C13&lt;1,C13=""),"",'FILL QUOTE-CALCULATIONS'!G16)</f>
        <v>2</v>
      </c>
      <c r="H13" s="360" t="str">
        <f>IF(OR(C13&lt;1,C13=""),"",IF('FILL QUOTE-CALCULATIONS'!$S$4="INGLES",'FILL QUOTE-CALCULATIONS'!H16,VLOOKUP('FILL QUOTE-CALCULATIONS'!H16,'DROP LIST'!$M$7:$N$10,2,0)))</f>
        <v>EN EXISTENCIA</v>
      </c>
      <c r="I13" s="360" t="str">
        <f>IF(OR(C13&lt;1,C13=""),"",IF('FILL QUOTE-CALCULATIONS'!$S$4="INGLES",'FILL QUOTE-CALCULATIONS'!I16,VLOOKUP('FILL QUOTE-CALCULATIONS'!I16,'DROP LIST'!$M$15:$N$18,2,0)))</f>
        <v>SHEER DECORATIVA</v>
      </c>
      <c r="J13" s="360" t="str">
        <f>'FILL QUOTE-CALCULATIONS'!J16</f>
        <v/>
      </c>
      <c r="K13" s="360" t="str">
        <f>IF(OR(C13&lt;1,C13=""),"",'FILL QUOTE-CALCULATIONS'!K16)</f>
        <v xml:space="preserve">SHEER BATISTE STONEWASHED </v>
      </c>
      <c r="L13" s="360" t="str">
        <f>IF(OR(C13&lt;1,C13=""),"",IF('FILL QUOTE-CALCULATIONS'!$S$4="INGLES",'FILL QUOTE-CALCULATIONS'!L16,VLOOKUP('FILL QUOTE-CALCULATIONS'!L16,'DROP LIST'!$B$25:$C$31,2,0)))</f>
        <v>N/A</v>
      </c>
      <c r="M13" s="360" t="str">
        <f>IF(OR(E13&lt;1,E13=""),"",'FILL QUOTE-CALCULATIONS'!M16)</f>
        <v xml:space="preserve">REINA 1 SALA </v>
      </c>
      <c r="N13" s="362">
        <f>IF(OR(C13&lt;1,C13=""),"",'FILL QUOTE-CALCULATIONS'!N16)</f>
        <v>108</v>
      </c>
      <c r="O13" s="362">
        <f>IF(OR(C13&lt;1,C13=""),"",'FILL QUOTE-CALCULATIONS'!O16)</f>
        <v>115.5</v>
      </c>
      <c r="P13" s="360" t="str">
        <f>IF(OR(C13&lt;1,C13=""),"",IF('FILL QUOTE-CALCULATIONS'!$S$4="INGLES",'FILL QUOTE-CALCULATIONS'!P16, VLOOKUP('FILL QUOTE-CALCULATIONS'!P16,'DROP LIST'!$E$25:$F$27,2,0)))</f>
        <v>AL TECHO</v>
      </c>
      <c r="Q13" s="360" t="str">
        <f>IF(OR(C13&lt;1,C13=""),"",IF('FILL QUOTE-CALCULATIONS'!$S$4="INGLES",'FILL QUOTE-CALCULATIONS'!Q16,VLOOKUP('FILL QUOTE-CALCULATIONS'!Q16,'DROP LIST'!$H$25:$I$36,2,0)))</f>
        <v>HOTELERO - BASTON - P.P.</v>
      </c>
      <c r="R13" s="362" t="str">
        <f>IF('FILL QUOTE-CALCULATIONS'!R16="","",'FILL QUOTE-CALCULATIONS'!R16)</f>
        <v xml:space="preserve">BLANCO </v>
      </c>
      <c r="S13" s="360" t="str">
        <f>IF(OR(C13&lt;1,C13=""),"",IF('FILL QUOTE-CALCULATIONS'!$S$4="INGLES",'FILL QUOTE-CALCULATIONS'!S16,VLOOKUP('FILL QUOTE-CALCULATIONS'!S16,'DROP LIST'!$H$43:$I$46,2,0)))</f>
        <v>BLANCO</v>
      </c>
      <c r="T13" s="363">
        <f>IF(OR(C13&lt;1,C13=""),"",'FILL QUOTE-CALCULATIONS'!T16)</f>
        <v>325.45000000000005</v>
      </c>
      <c r="U13" s="364">
        <f>IF(OR(C13&lt;1,C13=""),"",'FILL QUOTE-CALCULATIONS'!W16)</f>
        <v>98.5</v>
      </c>
      <c r="V13" s="365">
        <f>IF(OR(C13&lt;1,C13=""),"",IF('FILL QUOTE-CALCULATIONS'!$S$3="DOLLARS",'FILL QUOTE-CALCULATIONS'!AB16,'FILL QUOTE-CALCULATIONS'!AB16*'FILL QUOTE-CALCULATIONS'!$AC$4))</f>
        <v>423.95000000000005</v>
      </c>
      <c r="W13" s="366">
        <f>IF(OR(C13&lt;1,C13=""),"",IF('FILL QUOTE-CALCULATIONS'!$S$3="DOLLARS",'FILL QUOTE-CALCULATIONS'!AC16,'FILL QUOTE-CALCULATIONS'!AC16*'FILL QUOTE-CALCULATIONS'!$AC$4))</f>
        <v>423.95000000000005</v>
      </c>
      <c r="Y13" s="367"/>
      <c r="AA13" s="908" t="s">
        <v>746</v>
      </c>
    </row>
    <row r="14" spans="2:27" s="353" customFormat="1" ht="30" customHeight="1" x14ac:dyDescent="0.25">
      <c r="B14" s="359">
        <f>IF(OR('FILL QUOTE-CALCULATIONS'!C17=0,'FILL QUOTE-CALCULATIONS'!C17=""),"",'FILL QUOTE-CALCULATIONS'!B17)</f>
        <v>3</v>
      </c>
      <c r="C14" s="360">
        <f>IF(OR('FILL QUOTE-CALCULATIONS'!C17&lt;1,'FILL QUOTE-CALCULATIONS'!C17=""),"",'FILL QUOTE-CALCULATIONS'!C17)</f>
        <v>1</v>
      </c>
      <c r="D14" s="360" t="str">
        <f>IF(OR(C14&lt;1,C14=""),"",IF('FILL QUOTE-CALCULATIONS'!$S$4="INGLES",'FILL QUOTE-CALCULATIONS'!D17,VLOOKUP('FILL QUOTE-CALCULATIONS'!D17,'DROP LIST'!$B$7:$C$13,2,0)))</f>
        <v>PAR</v>
      </c>
      <c r="E14" s="360" t="str">
        <f>IF(OR(C14&lt;1,C14=""),"",IF('FILL QUOTE-CALCULATIONS'!$S$4="INGLES",'FILL QUOTE-CALCULATIONS'!E17,VLOOKUP('FILL QUOTE-CALCULATIONS'!E17,'DROP LIST'!$E$7:$F$15,2,0)))</f>
        <v>PLIEGUES-GANCHOS</v>
      </c>
      <c r="F14" s="360" t="str">
        <f>IF(OR(C14&lt;1,C14=""),"",IF('FILL QUOTE-CALCULATIONS'!$S$4="INGLES",'FILL QUOTE-CALCULATIONS'!F17,VLOOKUP('FILL QUOTE-CALCULATIONS'!F17,'DROP LIST'!$H$7:$I$19,2,0)))</f>
        <v>CORTINA 'BLACKOUT'</v>
      </c>
      <c r="G14" s="361">
        <f>IF(OR(C14&lt;1,C14=""),"",'FILL QUOTE-CALCULATIONS'!G17)</f>
        <v>2</v>
      </c>
      <c r="H14" s="360" t="str">
        <f>IF(OR(C14&lt;1,C14=""),"",IF('FILL QUOTE-CALCULATIONS'!$S$4="INGLES",'FILL QUOTE-CALCULATIONS'!H17,VLOOKUP('FILL QUOTE-CALCULATIONS'!H17,'DROP LIST'!$M$7:$N$10,2,0)))</f>
        <v>EN EXISTENCIA</v>
      </c>
      <c r="I14" s="360" t="str">
        <f>IF(OR(C14&lt;1,C14=""),"",IF('FILL QUOTE-CALCULATIONS'!$S$4="INGLES",'FILL QUOTE-CALCULATIONS'!I17,VLOOKUP('FILL QUOTE-CALCULATIONS'!I17,'DROP LIST'!$M$15:$N$18,2,0)))</f>
        <v>BO TEXTURIZADO</v>
      </c>
      <c r="J14" s="360" t="str">
        <f>'FILL QUOTE-CALCULATIONS'!J17</f>
        <v/>
      </c>
      <c r="K14" s="360" t="str">
        <f>IF(OR(C14&lt;1,C14=""),"",'FILL QUOTE-CALCULATIONS'!K17)</f>
        <v xml:space="preserve">CRETA SHELL </v>
      </c>
      <c r="L14" s="360" t="str">
        <f>IF(OR(C14&lt;1,C14=""),"",IF('FILL QUOTE-CALCULATIONS'!$S$4="INGLES",'FILL QUOTE-CALCULATIONS'!L17,VLOOKUP('FILL QUOTE-CALCULATIONS'!L17,'DROP LIST'!$B$25:$C$31,2,0)))</f>
        <v>N/A</v>
      </c>
      <c r="M14" s="360" t="str">
        <f>IF(OR(E14&lt;1,E14=""),"",'FILL QUOTE-CALCULATIONS'!M17)</f>
        <v xml:space="preserve">REINA 1 RECAMARA </v>
      </c>
      <c r="N14" s="362">
        <f>IF(OR(C14&lt;1,C14=""),"",'FILL QUOTE-CALCULATIONS'!N17)</f>
        <v>139.5</v>
      </c>
      <c r="O14" s="362">
        <f>IF(OR(C14&lt;1,C14=""),"",'FILL QUOTE-CALCULATIONS'!O17)</f>
        <v>116.5</v>
      </c>
      <c r="P14" s="360" t="str">
        <f>IF(OR(C14&lt;1,C14=""),"",IF('FILL QUOTE-CALCULATIONS'!$S$4="INGLES",'FILL QUOTE-CALCULATIONS'!P17, VLOOKUP('FILL QUOTE-CALCULATIONS'!P17,'DROP LIST'!$E$25:$F$27,2,0)))</f>
        <v>AL TECHO</v>
      </c>
      <c r="Q14" s="360" t="str">
        <f>IF(OR(C14&lt;1,C14=""),"",IF('FILL QUOTE-CALCULATIONS'!$S$4="INGLES",'FILL QUOTE-CALCULATIONS'!Q17,VLOOKUP('FILL QUOTE-CALCULATIONS'!Q17,'DROP LIST'!$H$25:$I$36,2,0)))</f>
        <v>HOTELERO - BASTON - P.P.</v>
      </c>
      <c r="R14" s="362" t="str">
        <f>IF('FILL QUOTE-CALCULATIONS'!R17="","",'FILL QUOTE-CALCULATIONS'!R17)</f>
        <v xml:space="preserve">BLANCO </v>
      </c>
      <c r="S14" s="360" t="str">
        <f>IF(OR(C14&lt;1,C14=""),"",IF('FILL QUOTE-CALCULATIONS'!$S$4="INGLES",'FILL QUOTE-CALCULATIONS'!S17,VLOOKUP('FILL QUOTE-CALCULATIONS'!S17,'DROP LIST'!$H$43:$I$46,2,0)))</f>
        <v>BLANCO</v>
      </c>
      <c r="T14" s="363">
        <f>IF(OR(C14&lt;1,C14=""),"",'FILL QUOTE-CALCULATIONS'!T17)</f>
        <v>783</v>
      </c>
      <c r="U14" s="364">
        <f>IF(OR(C14&lt;1,C14=""),"",'FILL QUOTE-CALCULATIONS'!W17)</f>
        <v>122.75</v>
      </c>
      <c r="V14" s="365">
        <f>IF(OR(C14&lt;1,C14=""),"",IF('FILL QUOTE-CALCULATIONS'!$S$3="DOLLARS",'FILL QUOTE-CALCULATIONS'!AB17,'FILL QUOTE-CALCULATIONS'!AB17*'FILL QUOTE-CALCULATIONS'!$AC$4))</f>
        <v>905.75</v>
      </c>
      <c r="W14" s="366">
        <f>IF(OR(C14&lt;1,C14=""),"",IF('FILL QUOTE-CALCULATIONS'!$S$3="DOLLARS",'FILL QUOTE-CALCULATIONS'!AC17,'FILL QUOTE-CALCULATIONS'!AC17*'FILL QUOTE-CALCULATIONS'!$AC$4))</f>
        <v>905.75</v>
      </c>
      <c r="Y14" s="354"/>
      <c r="AA14" s="908" t="s">
        <v>746</v>
      </c>
    </row>
    <row r="15" spans="2:27" s="353" customFormat="1" ht="30" customHeight="1" x14ac:dyDescent="0.25">
      <c r="B15" s="359">
        <f>IF(OR('FILL QUOTE-CALCULATIONS'!C18=0,'FILL QUOTE-CALCULATIONS'!C18=""),"",'FILL QUOTE-CALCULATIONS'!B18)</f>
        <v>4</v>
      </c>
      <c r="C15" s="360">
        <f>IF(OR('FILL QUOTE-CALCULATIONS'!C18&lt;1,'FILL QUOTE-CALCULATIONS'!C18=""),"",'FILL QUOTE-CALCULATIONS'!C18)</f>
        <v>1</v>
      </c>
      <c r="D15" s="360" t="str">
        <f>IF(OR(C15&lt;1,C15=""),"",IF('FILL QUOTE-CALCULATIONS'!$S$4="INGLES",'FILL QUOTE-CALCULATIONS'!D18,VLOOKUP('FILL QUOTE-CALCULATIONS'!D18,'DROP LIST'!$B$7:$C$13,2,0)))</f>
        <v>PAR</v>
      </c>
      <c r="E15" s="360" t="str">
        <f>IF(OR(C15&lt;1,C15=""),"",IF('FILL QUOTE-CALCULATIONS'!$S$4="INGLES",'FILL QUOTE-CALCULATIONS'!E18,VLOOKUP('FILL QUOTE-CALCULATIONS'!E18,'DROP LIST'!$E$7:$F$15,2,0)))</f>
        <v>PLIEGUES-GANCHOS</v>
      </c>
      <c r="F15" s="360" t="str">
        <f>IF(OR(C15&lt;1,C15=""),"",IF('FILL QUOTE-CALCULATIONS'!$S$4="INGLES",'FILL QUOTE-CALCULATIONS'!F18,VLOOKUP('FILL QUOTE-CALCULATIONS'!F18,'DROP LIST'!$H$7:$I$19,2,0)))</f>
        <v>FRESCURA (TERGAL)</v>
      </c>
      <c r="G15" s="361">
        <f>IF(OR(C15&lt;1,C15=""),"",'FILL QUOTE-CALCULATIONS'!G18)</f>
        <v>2</v>
      </c>
      <c r="H15" s="360" t="str">
        <f>IF(OR(C15&lt;1,C15=""),"",IF('FILL QUOTE-CALCULATIONS'!$S$4="INGLES",'FILL QUOTE-CALCULATIONS'!H18,VLOOKUP('FILL QUOTE-CALCULATIONS'!H18,'DROP LIST'!$M$7:$N$10,2,0)))</f>
        <v>EN EXISTENCIA</v>
      </c>
      <c r="I15" s="360" t="str">
        <f>IF(OR(C15&lt;1,C15=""),"",IF('FILL QUOTE-CALCULATIONS'!$S$4="INGLES",'FILL QUOTE-CALCULATIONS'!I18,VLOOKUP('FILL QUOTE-CALCULATIONS'!I18,'DROP LIST'!$M$15:$N$18,2,0)))</f>
        <v>SHEER DECORATIVA</v>
      </c>
      <c r="J15" s="360" t="str">
        <f>'FILL QUOTE-CALCULATIONS'!J18</f>
        <v/>
      </c>
      <c r="K15" s="360" t="str">
        <f>IF(OR(C15&lt;1,C15=""),"",'FILL QUOTE-CALCULATIONS'!K18)</f>
        <v xml:space="preserve">SHEER BATISTE STONEWASHED </v>
      </c>
      <c r="L15" s="360" t="str">
        <f>IF(OR(C15&lt;1,C15=""),"",IF('FILL QUOTE-CALCULATIONS'!$S$4="INGLES",'FILL QUOTE-CALCULATIONS'!L18,VLOOKUP('FILL QUOTE-CALCULATIONS'!L18,'DROP LIST'!$B$25:$C$31,2,0)))</f>
        <v>N/A</v>
      </c>
      <c r="M15" s="360" t="str">
        <f>IF(OR(E15&lt;1,E15=""),"",'FILL QUOTE-CALCULATIONS'!M18)</f>
        <v xml:space="preserve">REINA 1 RECAMARA </v>
      </c>
      <c r="N15" s="362">
        <f>IF(OR(C15&lt;1,C15=""),"",'FILL QUOTE-CALCULATIONS'!N18)</f>
        <v>139.5</v>
      </c>
      <c r="O15" s="362">
        <f>IF(OR(C15&lt;1,C15=""),"",'FILL QUOTE-CALCULATIONS'!O18)</f>
        <v>116.5</v>
      </c>
      <c r="P15" s="360" t="str">
        <f>IF(OR(C15&lt;1,C15=""),"",IF('FILL QUOTE-CALCULATIONS'!$S$4="INGLES",'FILL QUOTE-CALCULATIONS'!P18, VLOOKUP('FILL QUOTE-CALCULATIONS'!P18,'DROP LIST'!$E$25:$F$27,2,0)))</f>
        <v>AL TECHO</v>
      </c>
      <c r="Q15" s="360" t="str">
        <f>IF(OR(C15&lt;1,C15=""),"",IF('FILL QUOTE-CALCULATIONS'!$S$4="INGLES",'FILL QUOTE-CALCULATIONS'!Q18,VLOOKUP('FILL QUOTE-CALCULATIONS'!Q18,'DROP LIST'!$H$25:$I$36,2,0)))</f>
        <v>HOTELERO - BASTON - P.P.</v>
      </c>
      <c r="R15" s="362" t="str">
        <f>IF('FILL QUOTE-CALCULATIONS'!R18="","",'FILL QUOTE-CALCULATIONS'!R18)</f>
        <v xml:space="preserve">BLANCO </v>
      </c>
      <c r="S15" s="360" t="str">
        <f>IF(OR(C15&lt;1,C15=""),"",IF('FILL QUOTE-CALCULATIONS'!$S$4="INGLES",'FILL QUOTE-CALCULATIONS'!S18,VLOOKUP('FILL QUOTE-CALCULATIONS'!S18,'DROP LIST'!$H$43:$I$46,2,0)))</f>
        <v>BLANCO</v>
      </c>
      <c r="T15" s="363">
        <f>IF(OR(C15&lt;1,C15=""),"",'FILL QUOTE-CALCULATIONS'!T18)</f>
        <v>447.5</v>
      </c>
      <c r="U15" s="364">
        <f>IF(OR(C15&lt;1,C15=""),"",'FILL QUOTE-CALCULATIONS'!W18)</f>
        <v>122.75</v>
      </c>
      <c r="V15" s="365">
        <f>IF(OR(C15&lt;1,C15=""),"",IF('FILL QUOTE-CALCULATIONS'!$S$3="DOLLARS",'FILL QUOTE-CALCULATIONS'!AB18,'FILL QUOTE-CALCULATIONS'!AB18*'FILL QUOTE-CALCULATIONS'!$AC$4))</f>
        <v>570.25</v>
      </c>
      <c r="W15" s="366">
        <f>IF(OR(C15&lt;1,C15=""),"",IF('FILL QUOTE-CALCULATIONS'!$S$3="DOLLARS",'FILL QUOTE-CALCULATIONS'!AC18,'FILL QUOTE-CALCULATIONS'!AC18*'FILL QUOTE-CALCULATIONS'!$AC$4))</f>
        <v>570.25</v>
      </c>
      <c r="Y15" s="354"/>
      <c r="AA15" s="908" t="s">
        <v>746</v>
      </c>
    </row>
    <row r="16" spans="2:27" s="353" customFormat="1" ht="30" customHeight="1" x14ac:dyDescent="0.25">
      <c r="B16" s="359">
        <f>IF(OR('FILL QUOTE-CALCULATIONS'!C19=0,'FILL QUOTE-CALCULATIONS'!C19=""),"",'FILL QUOTE-CALCULATIONS'!B19)</f>
        <v>5</v>
      </c>
      <c r="C16" s="360">
        <f>IF(OR('FILL QUOTE-CALCULATIONS'!C19&lt;1,'FILL QUOTE-CALCULATIONS'!C19=""),"",'FILL QUOTE-CALCULATIONS'!C19)</f>
        <v>1</v>
      </c>
      <c r="D16" s="360" t="str">
        <f>IF(OR(C16&lt;1,C16=""),"",IF('FILL QUOTE-CALCULATIONS'!$S$4="INGLES",'FILL QUOTE-CALCULATIONS'!D19,VLOOKUP('FILL QUOTE-CALCULATIONS'!D19,'DROP LIST'!$B$7:$C$13,2,0)))</f>
        <v>PAR</v>
      </c>
      <c r="E16" s="360" t="str">
        <f>IF(OR(C16&lt;1,C16=""),"",IF('FILL QUOTE-CALCULATIONS'!$S$4="INGLES",'FILL QUOTE-CALCULATIONS'!E19,VLOOKUP('FILL QUOTE-CALCULATIONS'!E19,'DROP LIST'!$E$7:$F$15,2,0)))</f>
        <v>PLIEGUES-GANCHOS</v>
      </c>
      <c r="F16" s="360" t="str">
        <f>IF(OR(C16&lt;1,C16=""),"",IF('FILL QUOTE-CALCULATIONS'!$S$4="INGLES",'FILL QUOTE-CALCULATIONS'!F19,VLOOKUP('FILL QUOTE-CALCULATIONS'!F19,'DROP LIST'!$H$7:$I$19,2,0)))</f>
        <v>CORTINA 'BLACKOUT'</v>
      </c>
      <c r="G16" s="361">
        <f>IF(OR(C16&lt;1,C16=""),"",'FILL QUOTE-CALCULATIONS'!G19)</f>
        <v>2</v>
      </c>
      <c r="H16" s="360" t="str">
        <f>IF(OR(C16&lt;1,C16=""),"",IF('FILL QUOTE-CALCULATIONS'!$S$4="INGLES",'FILL QUOTE-CALCULATIONS'!H19,VLOOKUP('FILL QUOTE-CALCULATIONS'!H19,'DROP LIST'!$M$7:$N$10,2,0)))</f>
        <v>EN EXISTENCIA</v>
      </c>
      <c r="I16" s="360" t="str">
        <f>IF(OR(C16&lt;1,C16=""),"",IF('FILL QUOTE-CALCULATIONS'!$S$4="INGLES",'FILL QUOTE-CALCULATIONS'!I19,VLOOKUP('FILL QUOTE-CALCULATIONS'!I19,'DROP LIST'!$M$15:$N$18,2,0)))</f>
        <v>BO TEXTURIZADO</v>
      </c>
      <c r="J16" s="360" t="str">
        <f>'FILL QUOTE-CALCULATIONS'!J19</f>
        <v/>
      </c>
      <c r="K16" s="360" t="str">
        <f>IF(OR(C16&lt;1,C16=""),"",'FILL QUOTE-CALCULATIONS'!K19)</f>
        <v xml:space="preserve">CRETA SHELL </v>
      </c>
      <c r="L16" s="360" t="str">
        <f>IF(OR(C16&lt;1,C16=""),"",IF('FILL QUOTE-CALCULATIONS'!$S$4="INGLES",'FILL QUOTE-CALCULATIONS'!L19,VLOOKUP('FILL QUOTE-CALCULATIONS'!L19,'DROP LIST'!$B$25:$C$31,2,0)))</f>
        <v>N/A</v>
      </c>
      <c r="M16" s="360" t="str">
        <f>IF(OR(E16&lt;1,E16=""),"",'FILL QUOTE-CALCULATIONS'!M19)</f>
        <v xml:space="preserve">REINA 1 COCINA </v>
      </c>
      <c r="N16" s="362">
        <f>IF(OR(C16&lt;1,C16=""),"",'FILL QUOTE-CALCULATIONS'!N19)</f>
        <v>90</v>
      </c>
      <c r="O16" s="362">
        <f>IF(OR(C16&lt;1,C16=""),"",'FILL QUOTE-CALCULATIONS'!O19)</f>
        <v>51</v>
      </c>
      <c r="P16" s="360" t="str">
        <f>IF(OR(C16&lt;1,C16=""),"",IF('FILL QUOTE-CALCULATIONS'!$S$4="INGLES",'FILL QUOTE-CALCULATIONS'!P19, VLOOKUP('FILL QUOTE-CALCULATIONS'!P19,'DROP LIST'!$E$25:$F$27,2,0)))</f>
        <v>A LA PARED</v>
      </c>
      <c r="Q16" s="360" t="str">
        <f>IF(OR(C16&lt;1,C16=""),"",IF('FILL QUOTE-CALCULATIONS'!$S$4="INGLES",'FILL QUOTE-CALCULATIONS'!Q19,VLOOKUP('FILL QUOTE-CALCULATIONS'!Q19,'DROP LIST'!$H$25:$I$36,2,0)))</f>
        <v>HOTELERO - BASTON - P.P.</v>
      </c>
      <c r="R16" s="362" t="str">
        <f>IF('FILL QUOTE-CALCULATIONS'!R19="","",'FILL QUOTE-CALCULATIONS'!R19)</f>
        <v xml:space="preserve">BLANCO </v>
      </c>
      <c r="S16" s="360" t="str">
        <f>IF(OR(C16&lt;1,C16=""),"",IF('FILL QUOTE-CALCULATIONS'!$S$4="INGLES",'FILL QUOTE-CALCULATIONS'!S19,VLOOKUP('FILL QUOTE-CALCULATIONS'!S19,'DROP LIST'!$H$43:$I$46,2,0)))</f>
        <v>BLANCO</v>
      </c>
      <c r="T16" s="363">
        <f>IF(OR(C16&lt;1,C16=""),"",'FILL QUOTE-CALCULATIONS'!T19)</f>
        <v>305.8</v>
      </c>
      <c r="U16" s="364">
        <f>IF(OR(C16&lt;1,C16=""),"",'FILL QUOTE-CALCULATIONS'!W19)</f>
        <v>78.550000000000011</v>
      </c>
      <c r="V16" s="365">
        <f>IF(OR(C16&lt;1,C16=""),"",IF('FILL QUOTE-CALCULATIONS'!$S$3="DOLLARS",'FILL QUOTE-CALCULATIONS'!AB19,'FILL QUOTE-CALCULATIONS'!AB19*'FILL QUOTE-CALCULATIONS'!$AC$4))</f>
        <v>384.35</v>
      </c>
      <c r="W16" s="366">
        <f>IF(OR(C16&lt;1,C16=""),"",IF('FILL QUOTE-CALCULATIONS'!$S$3="DOLLARS",'FILL QUOTE-CALCULATIONS'!AC19,'FILL QUOTE-CALCULATIONS'!AC19*'FILL QUOTE-CALCULATIONS'!$AC$4))</f>
        <v>384.35</v>
      </c>
      <c r="Y16" s="354"/>
      <c r="AA16" s="908" t="s">
        <v>746</v>
      </c>
    </row>
    <row r="17" spans="2:27" s="353" customFormat="1" ht="30" customHeight="1" x14ac:dyDescent="0.25">
      <c r="B17" s="359">
        <f>IF(OR('FILL QUOTE-CALCULATIONS'!C20=0,'FILL QUOTE-CALCULATIONS'!C20=""),"",'FILL QUOTE-CALCULATIONS'!B20)</f>
        <v>6</v>
      </c>
      <c r="C17" s="360">
        <f>IF(OR('FILL QUOTE-CALCULATIONS'!C20&lt;1,'FILL QUOTE-CALCULATIONS'!C20=""),"",'FILL QUOTE-CALCULATIONS'!C20)</f>
        <v>1</v>
      </c>
      <c r="D17" s="360" t="str">
        <f>IF(OR(C17&lt;1,C17=""),"",IF('FILL QUOTE-CALCULATIONS'!$S$4="INGLES",'FILL QUOTE-CALCULATIONS'!D20,VLOOKUP('FILL QUOTE-CALCULATIONS'!D20,'DROP LIST'!$B$7:$C$13,2,0)))</f>
        <v>PAR</v>
      </c>
      <c r="E17" s="360" t="str">
        <f>IF(OR(C17&lt;1,C17=""),"",IF('FILL QUOTE-CALCULATIONS'!$S$4="INGLES",'FILL QUOTE-CALCULATIONS'!E20,VLOOKUP('FILL QUOTE-CALCULATIONS'!E20,'DROP LIST'!$E$7:$F$15,2,0)))</f>
        <v>PLIEGUES-GANCHOS</v>
      </c>
      <c r="F17" s="360" t="str">
        <f>IF(OR(C17&lt;1,C17=""),"",IF('FILL QUOTE-CALCULATIONS'!$S$4="INGLES",'FILL QUOTE-CALCULATIONS'!F20,VLOOKUP('FILL QUOTE-CALCULATIONS'!F20,'DROP LIST'!$H$7:$I$19,2,0)))</f>
        <v>FRESCURA (TERGAL)</v>
      </c>
      <c r="G17" s="361">
        <f>IF(OR(C17&lt;1,C17=""),"",'FILL QUOTE-CALCULATIONS'!G20)</f>
        <v>2</v>
      </c>
      <c r="H17" s="360" t="str">
        <f>IF(OR(C17&lt;1,C17=""),"",IF('FILL QUOTE-CALCULATIONS'!$S$4="INGLES",'FILL QUOTE-CALCULATIONS'!H20,VLOOKUP('FILL QUOTE-CALCULATIONS'!H20,'DROP LIST'!$M$7:$N$10,2,0)))</f>
        <v>EN EXISTENCIA</v>
      </c>
      <c r="I17" s="360" t="str">
        <f>IF(OR(C17&lt;1,C17=""),"",IF('FILL QUOTE-CALCULATIONS'!$S$4="INGLES",'FILL QUOTE-CALCULATIONS'!I20,VLOOKUP('FILL QUOTE-CALCULATIONS'!I20,'DROP LIST'!$M$15:$N$18,2,0)))</f>
        <v>SHEER DECORATIVA</v>
      </c>
      <c r="J17" s="360" t="str">
        <f>'FILL QUOTE-CALCULATIONS'!J20</f>
        <v/>
      </c>
      <c r="K17" s="360" t="str">
        <f>IF(OR(C17&lt;1,C17=""),"",'FILL QUOTE-CALCULATIONS'!K20)</f>
        <v xml:space="preserve">SHEER BATISTE STONEWASHED </v>
      </c>
      <c r="L17" s="360" t="str">
        <f>IF(OR(C17&lt;1,C17=""),"",IF('FILL QUOTE-CALCULATIONS'!$S$4="INGLES",'FILL QUOTE-CALCULATIONS'!L20,VLOOKUP('FILL QUOTE-CALCULATIONS'!L20,'DROP LIST'!$B$25:$C$31,2,0)))</f>
        <v>N/A</v>
      </c>
      <c r="M17" s="360" t="str">
        <f>IF(OR(E17&lt;1,E17=""),"",'FILL QUOTE-CALCULATIONS'!M20)</f>
        <v xml:space="preserve">REINA 1 COCINA </v>
      </c>
      <c r="N17" s="362">
        <f>IF(OR(C17&lt;1,C17=""),"",'FILL QUOTE-CALCULATIONS'!N20)</f>
        <v>90</v>
      </c>
      <c r="O17" s="362">
        <f>IF(OR(C17&lt;1,C17=""),"",'FILL QUOTE-CALCULATIONS'!O20)</f>
        <v>51</v>
      </c>
      <c r="P17" s="360" t="str">
        <f>IF(OR(C17&lt;1,C17=""),"",IF('FILL QUOTE-CALCULATIONS'!$S$4="INGLES",'FILL QUOTE-CALCULATIONS'!P20, VLOOKUP('FILL QUOTE-CALCULATIONS'!P20,'DROP LIST'!$E$25:$F$27,2,0)))</f>
        <v>A LA PARED</v>
      </c>
      <c r="Q17" s="360" t="str">
        <f>IF(OR(C17&lt;1,C17=""),"",IF('FILL QUOTE-CALCULATIONS'!$S$4="INGLES",'FILL QUOTE-CALCULATIONS'!Q20,VLOOKUP('FILL QUOTE-CALCULATIONS'!Q20,'DROP LIST'!$H$25:$I$36,2,0)))</f>
        <v>HOTELERO - BASTON - P.P.</v>
      </c>
      <c r="R17" s="362" t="str">
        <f>IF('FILL QUOTE-CALCULATIONS'!R20="","",'FILL QUOTE-CALCULATIONS'!R20)</f>
        <v xml:space="preserve">BLANCO </v>
      </c>
      <c r="S17" s="360" t="str">
        <f>IF(OR(C17&lt;1,C17=""),"",IF('FILL QUOTE-CALCULATIONS'!$S$4="INGLES",'FILL QUOTE-CALCULATIONS'!S20,VLOOKUP('FILL QUOTE-CALCULATIONS'!S20,'DROP LIST'!$H$43:$I$46,2,0)))</f>
        <v>BLANCO</v>
      </c>
      <c r="T17" s="363">
        <f>IF(OR(C17&lt;1,C17=""),"",'FILL QUOTE-CALCULATIONS'!T20)</f>
        <v>255.8</v>
      </c>
      <c r="U17" s="364">
        <f>IF(OR(C17&lt;1,C17=""),"",'FILL QUOTE-CALCULATIONS'!W20)</f>
        <v>78.550000000000011</v>
      </c>
      <c r="V17" s="365">
        <f>IF(OR(C17&lt;1,C17=""),"",IF('FILL QUOTE-CALCULATIONS'!$S$3="DOLLARS",'FILL QUOTE-CALCULATIONS'!AB20,'FILL QUOTE-CALCULATIONS'!AB20*'FILL QUOTE-CALCULATIONS'!$AC$4))</f>
        <v>334.35</v>
      </c>
      <c r="W17" s="366">
        <f>IF(OR(C17&lt;1,C17=""),"",IF('FILL QUOTE-CALCULATIONS'!$S$3="DOLLARS",'FILL QUOTE-CALCULATIONS'!AC20,'FILL QUOTE-CALCULATIONS'!AC20*'FILL QUOTE-CALCULATIONS'!$AC$4))</f>
        <v>334.35</v>
      </c>
      <c r="Y17" s="354"/>
      <c r="AA17" s="908" t="s">
        <v>746</v>
      </c>
    </row>
    <row r="18" spans="2:27" s="353" customFormat="1" ht="30" customHeight="1" x14ac:dyDescent="0.25">
      <c r="B18" s="359">
        <f>IF(OR('FILL QUOTE-CALCULATIONS'!C21=0,'FILL QUOTE-CALCULATIONS'!C21=""),"",'FILL QUOTE-CALCULATIONS'!B21)</f>
        <v>7</v>
      </c>
      <c r="C18" s="360">
        <f>IF(OR('FILL QUOTE-CALCULATIONS'!C21&lt;1,'FILL QUOTE-CALCULATIONS'!C21=""),"",'FILL QUOTE-CALCULATIONS'!C21)</f>
        <v>1</v>
      </c>
      <c r="D18" s="360" t="str">
        <f>IF(OR(C18&lt;1,C18=""),"",IF('FILL QUOTE-CALCULATIONS'!$S$4="INGLES",'FILL QUOTE-CALCULATIONS'!D21,VLOOKUP('FILL QUOTE-CALCULATIONS'!D21,'DROP LIST'!$B$7:$C$13,2,0)))</f>
        <v>PAR</v>
      </c>
      <c r="E18" s="360" t="str">
        <f>IF(OR(C18&lt;1,C18=""),"",IF('FILL QUOTE-CALCULATIONS'!$S$4="INGLES",'FILL QUOTE-CALCULATIONS'!E21,VLOOKUP('FILL QUOTE-CALCULATIONS'!E21,'DROP LIST'!$E$7:$F$15,2,0)))</f>
        <v>PLIEGUES-GANCHOS</v>
      </c>
      <c r="F18" s="360" t="str">
        <f>IF(OR(C18&lt;1,C18=""),"",IF('FILL QUOTE-CALCULATIONS'!$S$4="INGLES",'FILL QUOTE-CALCULATIONS'!F21,VLOOKUP('FILL QUOTE-CALCULATIONS'!F21,'DROP LIST'!$H$7:$I$19,2,0)))</f>
        <v>CORTINA 'BLACKOUT'</v>
      </c>
      <c r="G18" s="361">
        <f>IF(OR(C18&lt;1,C18=""),"",'FILL QUOTE-CALCULATIONS'!G21)</f>
        <v>2</v>
      </c>
      <c r="H18" s="360" t="str">
        <f>IF(OR(C18&lt;1,C18=""),"",IF('FILL QUOTE-CALCULATIONS'!$S$4="INGLES",'FILL QUOTE-CALCULATIONS'!H21,VLOOKUP('FILL QUOTE-CALCULATIONS'!H21,'DROP LIST'!$M$7:$N$10,2,0)))</f>
        <v>EN EXISTENCIA</v>
      </c>
      <c r="I18" s="360" t="str">
        <f>IF(OR(C18&lt;1,C18=""),"",IF('FILL QUOTE-CALCULATIONS'!$S$4="INGLES",'FILL QUOTE-CALCULATIONS'!I21,VLOOKUP('FILL QUOTE-CALCULATIONS'!I21,'DROP LIST'!$M$15:$N$18,2,0)))</f>
        <v>BO TEXTURIZADO</v>
      </c>
      <c r="J18" s="360" t="str">
        <f>'FILL QUOTE-CALCULATIONS'!J21</f>
        <v/>
      </c>
      <c r="K18" s="360" t="str">
        <f>IF(OR(C18&lt;1,C18=""),"",'FILL QUOTE-CALCULATIONS'!K21)</f>
        <v xml:space="preserve">CRETA SHELL </v>
      </c>
      <c r="L18" s="360" t="str">
        <f>IF(OR(C18&lt;1,C18=""),"",IF('FILL QUOTE-CALCULATIONS'!$S$4="INGLES",'FILL QUOTE-CALCULATIONS'!L21,VLOOKUP('FILL QUOTE-CALCULATIONS'!L21,'DROP LIST'!$B$25:$C$31,2,0)))</f>
        <v>N/A</v>
      </c>
      <c r="M18" s="360" t="str">
        <f>IF(OR(E18&lt;1,E18=""),"",'FILL QUOTE-CALCULATIONS'!M21)</f>
        <v xml:space="preserve">REINA 2 SALA </v>
      </c>
      <c r="N18" s="362">
        <f>IF(OR(C18&lt;1,C18=""),"",'FILL QUOTE-CALCULATIONS'!N21)</f>
        <v>109</v>
      </c>
      <c r="O18" s="362">
        <f>IF(OR(C18&lt;1,C18=""),"",'FILL QUOTE-CALCULATIONS'!O21)</f>
        <v>116.5</v>
      </c>
      <c r="P18" s="360" t="str">
        <f>IF(OR(C18&lt;1,C18=""),"",IF('FILL QUOTE-CALCULATIONS'!$S$4="INGLES",'FILL QUOTE-CALCULATIONS'!P21, VLOOKUP('FILL QUOTE-CALCULATIONS'!P21,'DROP LIST'!$E$25:$F$27,2,0)))</f>
        <v>AL TECHO</v>
      </c>
      <c r="Q18" s="360" t="str">
        <f>IF(OR(C18&lt;1,C18=""),"",IF('FILL QUOTE-CALCULATIONS'!$S$4="INGLES",'FILL QUOTE-CALCULATIONS'!Q21,VLOOKUP('FILL QUOTE-CALCULATIONS'!Q21,'DROP LIST'!$H$25:$I$36,2,0)))</f>
        <v>HOTELERO - BASTON - P.P.</v>
      </c>
      <c r="R18" s="362" t="str">
        <f>IF('FILL QUOTE-CALCULATIONS'!R21="","",'FILL QUOTE-CALCULATIONS'!R21)</f>
        <v xml:space="preserve">BLANCO </v>
      </c>
      <c r="S18" s="360" t="str">
        <f>IF(OR(C18&lt;1,C18=""),"",IF('FILL QUOTE-CALCULATIONS'!$S$4="INGLES",'FILL QUOTE-CALCULATIONS'!S21,VLOOKUP('FILL QUOTE-CALCULATIONS'!S21,'DROP LIST'!$H$43:$I$46,2,0)))</f>
        <v>BLANCO</v>
      </c>
      <c r="T18" s="363">
        <f>IF(OR(C18&lt;1,C18=""),"",'FILL QUOTE-CALCULATIONS'!T21)</f>
        <v>587.25</v>
      </c>
      <c r="U18" s="364">
        <f>IF(OR(C18&lt;1,C18=""),"",'FILL QUOTE-CALCULATIONS'!W21)</f>
        <v>99.25</v>
      </c>
      <c r="V18" s="365">
        <f>IF(OR(C18&lt;1,C18=""),"",IF('FILL QUOTE-CALCULATIONS'!$S$3="DOLLARS",'FILL QUOTE-CALCULATIONS'!AB21,'FILL QUOTE-CALCULATIONS'!AB21*'FILL QUOTE-CALCULATIONS'!$AC$4))</f>
        <v>686.5</v>
      </c>
      <c r="W18" s="366">
        <f>IF(OR(C18&lt;1,C18=""),"",IF('FILL QUOTE-CALCULATIONS'!$S$3="DOLLARS",'FILL QUOTE-CALCULATIONS'!AC21,'FILL QUOTE-CALCULATIONS'!AC21*'FILL QUOTE-CALCULATIONS'!$AC$4))</f>
        <v>686.5</v>
      </c>
      <c r="Y18" s="354"/>
      <c r="AA18" s="908" t="s">
        <v>746</v>
      </c>
    </row>
    <row r="19" spans="2:27" s="353" customFormat="1" ht="30" customHeight="1" x14ac:dyDescent="0.25">
      <c r="B19" s="359">
        <f>IF(OR('FILL QUOTE-CALCULATIONS'!C22=0,'FILL QUOTE-CALCULATIONS'!C22=""),"",'FILL QUOTE-CALCULATIONS'!B22)</f>
        <v>8</v>
      </c>
      <c r="C19" s="360">
        <f>IF(OR('FILL QUOTE-CALCULATIONS'!C22&lt;1,'FILL QUOTE-CALCULATIONS'!C22=""),"",'FILL QUOTE-CALCULATIONS'!C22)</f>
        <v>1</v>
      </c>
      <c r="D19" s="360" t="str">
        <f>IF(OR(C19&lt;1,C19=""),"",IF('FILL QUOTE-CALCULATIONS'!$S$4="INGLES",'FILL QUOTE-CALCULATIONS'!D22,VLOOKUP('FILL QUOTE-CALCULATIONS'!D22,'DROP LIST'!$B$7:$C$13,2,0)))</f>
        <v>PAR</v>
      </c>
      <c r="E19" s="360" t="str">
        <f>IF(OR(C19&lt;1,C19=""),"",IF('FILL QUOTE-CALCULATIONS'!$S$4="INGLES",'FILL QUOTE-CALCULATIONS'!E22,VLOOKUP('FILL QUOTE-CALCULATIONS'!E22,'DROP LIST'!$E$7:$F$15,2,0)))</f>
        <v>PLIEGUES-GANCHOS</v>
      </c>
      <c r="F19" s="360" t="str">
        <f>IF(OR(C19&lt;1,C19=""),"",IF('FILL QUOTE-CALCULATIONS'!$S$4="INGLES",'FILL QUOTE-CALCULATIONS'!F22,VLOOKUP('FILL QUOTE-CALCULATIONS'!F22,'DROP LIST'!$H$7:$I$19,2,0)))</f>
        <v>FRESCURA (TERGAL)</v>
      </c>
      <c r="G19" s="361">
        <f>IF(OR(C19&lt;1,C19=""),"",'FILL QUOTE-CALCULATIONS'!G22)</f>
        <v>2</v>
      </c>
      <c r="H19" s="360" t="str">
        <f>IF(OR(C19&lt;1,C19=""),"",IF('FILL QUOTE-CALCULATIONS'!$S$4="INGLES",'FILL QUOTE-CALCULATIONS'!H22,VLOOKUP('FILL QUOTE-CALCULATIONS'!H22,'DROP LIST'!$M$7:$N$10,2,0)))</f>
        <v>EN EXISTENCIA</v>
      </c>
      <c r="I19" s="360" t="str">
        <f>IF(OR(C19&lt;1,C19=""),"",IF('FILL QUOTE-CALCULATIONS'!$S$4="INGLES",'FILL QUOTE-CALCULATIONS'!I22,VLOOKUP('FILL QUOTE-CALCULATIONS'!I22,'DROP LIST'!$M$15:$N$18,2,0)))</f>
        <v>SHEER DECORATIVA</v>
      </c>
      <c r="J19" s="360" t="str">
        <f>'FILL QUOTE-CALCULATIONS'!J22</f>
        <v/>
      </c>
      <c r="K19" s="360" t="str">
        <f>IF(OR(C19&lt;1,C19=""),"",'FILL QUOTE-CALCULATIONS'!K22)</f>
        <v xml:space="preserve">SHEER BATISTE STONEWASHED </v>
      </c>
      <c r="L19" s="360" t="str">
        <f>IF(OR(C19&lt;1,C19=""),"",IF('FILL QUOTE-CALCULATIONS'!$S$4="INGLES",'FILL QUOTE-CALCULATIONS'!L22,VLOOKUP('FILL QUOTE-CALCULATIONS'!L22,'DROP LIST'!$B$25:$C$31,2,0)))</f>
        <v>N/A</v>
      </c>
      <c r="M19" s="360" t="str">
        <f>IF(OR(E19&lt;1,E19=""),"",'FILL QUOTE-CALCULATIONS'!M22)</f>
        <v xml:space="preserve">REINA 2 SALA </v>
      </c>
      <c r="N19" s="362">
        <f>IF(OR(C19&lt;1,C19=""),"",'FILL QUOTE-CALCULATIONS'!N22)</f>
        <v>109</v>
      </c>
      <c r="O19" s="362">
        <f>IF(OR(C19&lt;1,C19=""),"",'FILL QUOTE-CALCULATIONS'!O22)</f>
        <v>116.5</v>
      </c>
      <c r="P19" s="360" t="str">
        <f>IF(OR(C19&lt;1,C19=""),"",IF('FILL QUOTE-CALCULATIONS'!$S$4="INGLES",'FILL QUOTE-CALCULATIONS'!P22, VLOOKUP('FILL QUOTE-CALCULATIONS'!P22,'DROP LIST'!$E$25:$F$27,2,0)))</f>
        <v>AL TECHO</v>
      </c>
      <c r="Q19" s="360" t="str">
        <f>IF(OR(C19&lt;1,C19=""),"",IF('FILL QUOTE-CALCULATIONS'!$S$4="INGLES",'FILL QUOTE-CALCULATIONS'!Q22,VLOOKUP('FILL QUOTE-CALCULATIONS'!Q22,'DROP LIST'!$H$25:$I$36,2,0)))</f>
        <v>HOTELERO - BASTON - P.P.</v>
      </c>
      <c r="R19" s="362" t="str">
        <f>IF('FILL QUOTE-CALCULATIONS'!R22="","",'FILL QUOTE-CALCULATIONS'!R22)</f>
        <v xml:space="preserve">BLANCO </v>
      </c>
      <c r="S19" s="360" t="str">
        <f>IF(OR(C19&lt;1,C19=""),"",IF('FILL QUOTE-CALCULATIONS'!$S$4="INGLES",'FILL QUOTE-CALCULATIONS'!S22,VLOOKUP('FILL QUOTE-CALCULATIONS'!S22,'DROP LIST'!$H$43:$I$46,2,0)))</f>
        <v>BLANCO</v>
      </c>
      <c r="T19" s="363">
        <f>IF(OR(C19&lt;1,C19=""),"",'FILL QUOTE-CALCULATIONS'!T22)</f>
        <v>325.45000000000005</v>
      </c>
      <c r="U19" s="364">
        <f>IF(OR(C19&lt;1,C19=""),"",'FILL QUOTE-CALCULATIONS'!W22)</f>
        <v>99.25</v>
      </c>
      <c r="V19" s="365">
        <f>IF(OR(C19&lt;1,C19=""),"",IF('FILL QUOTE-CALCULATIONS'!$S$3="DOLLARS",'FILL QUOTE-CALCULATIONS'!AB22,'FILL QUOTE-CALCULATIONS'!AB22*'FILL QUOTE-CALCULATIONS'!$AC$4))</f>
        <v>424.70000000000005</v>
      </c>
      <c r="W19" s="366">
        <f>IF(OR(C19&lt;1,C19=""),"",IF('FILL QUOTE-CALCULATIONS'!$S$3="DOLLARS",'FILL QUOTE-CALCULATIONS'!AC22,'FILL QUOTE-CALCULATIONS'!AC22*'FILL QUOTE-CALCULATIONS'!$AC$4))</f>
        <v>424.70000000000005</v>
      </c>
      <c r="Y19" s="354"/>
      <c r="AA19" s="908" t="s">
        <v>746</v>
      </c>
    </row>
    <row r="20" spans="2:27" s="353" customFormat="1" ht="30" customHeight="1" x14ac:dyDescent="0.25">
      <c r="B20" s="359">
        <f>IF(OR('FILL QUOTE-CALCULATIONS'!C23=0,'FILL QUOTE-CALCULATIONS'!C23=""),"",'FILL QUOTE-CALCULATIONS'!B23)</f>
        <v>9</v>
      </c>
      <c r="C20" s="360">
        <f>IF(OR('FILL QUOTE-CALCULATIONS'!C23&lt;1,'FILL QUOTE-CALCULATIONS'!C23=""),"",'FILL QUOTE-CALCULATIONS'!C23)</f>
        <v>1</v>
      </c>
      <c r="D20" s="360" t="str">
        <f>IF(OR(C20&lt;1,C20=""),"",IF('FILL QUOTE-CALCULATIONS'!$S$4="INGLES",'FILL QUOTE-CALCULATIONS'!D23,VLOOKUP('FILL QUOTE-CALCULATIONS'!D23,'DROP LIST'!$B$7:$C$13,2,0)))</f>
        <v>PAR</v>
      </c>
      <c r="E20" s="360" t="str">
        <f>IF(OR(C20&lt;1,C20=""),"",IF('FILL QUOTE-CALCULATIONS'!$S$4="INGLES",'FILL QUOTE-CALCULATIONS'!E23,VLOOKUP('FILL QUOTE-CALCULATIONS'!E23,'DROP LIST'!$E$7:$F$15,2,0)))</f>
        <v>PLIEGUES-GANCHOS</v>
      </c>
      <c r="F20" s="360" t="str">
        <f>IF(OR(C20&lt;1,C20=""),"",IF('FILL QUOTE-CALCULATIONS'!$S$4="INGLES",'FILL QUOTE-CALCULATIONS'!F23,VLOOKUP('FILL QUOTE-CALCULATIONS'!F23,'DROP LIST'!$H$7:$I$19,2,0)))</f>
        <v>CORTINA 'BLACKOUT'</v>
      </c>
      <c r="G20" s="361">
        <f>IF(OR(C20&lt;1,C20=""),"",'FILL QUOTE-CALCULATIONS'!G23)</f>
        <v>2</v>
      </c>
      <c r="H20" s="360" t="str">
        <f>IF(OR(C20&lt;1,C20=""),"",IF('FILL QUOTE-CALCULATIONS'!$S$4="INGLES",'FILL QUOTE-CALCULATIONS'!H23,VLOOKUP('FILL QUOTE-CALCULATIONS'!H23,'DROP LIST'!$M$7:$N$10,2,0)))</f>
        <v>EN EXISTENCIA</v>
      </c>
      <c r="I20" s="360" t="str">
        <f>IF(OR(C20&lt;1,C20=""),"",IF('FILL QUOTE-CALCULATIONS'!$S$4="INGLES",'FILL QUOTE-CALCULATIONS'!I23,VLOOKUP('FILL QUOTE-CALCULATIONS'!I23,'DROP LIST'!$M$15:$N$18,2,0)))</f>
        <v>BO TEXTURIZADO</v>
      </c>
      <c r="J20" s="360" t="str">
        <f>'FILL QUOTE-CALCULATIONS'!J23</f>
        <v/>
      </c>
      <c r="K20" s="360" t="str">
        <f>IF(OR(C20&lt;1,C20=""),"",'FILL QUOTE-CALCULATIONS'!K23)</f>
        <v xml:space="preserve">CRETA SHELL </v>
      </c>
      <c r="L20" s="360" t="str">
        <f>IF(OR(C20&lt;1,C20=""),"",IF('FILL QUOTE-CALCULATIONS'!$S$4="INGLES",'FILL QUOTE-CALCULATIONS'!L23,VLOOKUP('FILL QUOTE-CALCULATIONS'!L23,'DROP LIST'!$B$25:$C$31,2,0)))</f>
        <v>N/A</v>
      </c>
      <c r="M20" s="360" t="str">
        <f>IF(OR(E20&lt;1,E20=""),"",'FILL QUOTE-CALCULATIONS'!M23)</f>
        <v xml:space="preserve">REINA 2 RECAMARA </v>
      </c>
      <c r="N20" s="362">
        <f>IF(OR(C20&lt;1,C20=""),"",'FILL QUOTE-CALCULATIONS'!N23)</f>
        <v>133</v>
      </c>
      <c r="O20" s="362">
        <f>IF(OR(C20&lt;1,C20=""),"",'FILL QUOTE-CALCULATIONS'!O23)</f>
        <v>116.25</v>
      </c>
      <c r="P20" s="360" t="str">
        <f>IF(OR(C20&lt;1,C20=""),"",IF('FILL QUOTE-CALCULATIONS'!$S$4="INGLES",'FILL QUOTE-CALCULATIONS'!P23, VLOOKUP('FILL QUOTE-CALCULATIONS'!P23,'DROP LIST'!$E$25:$F$27,2,0)))</f>
        <v>AL TECHO</v>
      </c>
      <c r="Q20" s="360" t="str">
        <f>IF(OR(C20&lt;1,C20=""),"",IF('FILL QUOTE-CALCULATIONS'!$S$4="INGLES",'FILL QUOTE-CALCULATIONS'!Q23,VLOOKUP('FILL QUOTE-CALCULATIONS'!Q23,'DROP LIST'!$H$25:$I$36,2,0)))</f>
        <v>HOTELERO - BASTON - P.P.</v>
      </c>
      <c r="R20" s="362" t="str">
        <f>IF('FILL QUOTE-CALCULATIONS'!R23="","",'FILL QUOTE-CALCULATIONS'!R23)</f>
        <v xml:space="preserve">BLANCO </v>
      </c>
      <c r="S20" s="360" t="str">
        <f>IF(OR(C20&lt;1,C20=""),"",IF('FILL QUOTE-CALCULATIONS'!$S$4="INGLES",'FILL QUOTE-CALCULATIONS'!S23,VLOOKUP('FILL QUOTE-CALCULATIONS'!S23,'DROP LIST'!$H$43:$I$46,2,0)))</f>
        <v>BLANCO</v>
      </c>
      <c r="T20" s="363">
        <f>IF(OR(C20&lt;1,C20=""),"",'FILL QUOTE-CALCULATIONS'!T23)</f>
        <v>717.75</v>
      </c>
      <c r="U20" s="364">
        <f>IF(OR(C20&lt;1,C20=""),"",'FILL QUOTE-CALCULATIONS'!W23)</f>
        <v>117.75</v>
      </c>
      <c r="V20" s="365">
        <f>IF(OR(C20&lt;1,C20=""),"",IF('FILL QUOTE-CALCULATIONS'!$S$3="DOLLARS",'FILL QUOTE-CALCULATIONS'!AB23,'FILL QUOTE-CALCULATIONS'!AB23*'FILL QUOTE-CALCULATIONS'!$AC$4))</f>
        <v>835.5</v>
      </c>
      <c r="W20" s="366">
        <f>IF(OR(C20&lt;1,C20=""),"",IF('FILL QUOTE-CALCULATIONS'!$S$3="DOLLARS",'FILL QUOTE-CALCULATIONS'!AC23,'FILL QUOTE-CALCULATIONS'!AC23*'FILL QUOTE-CALCULATIONS'!$AC$4))</f>
        <v>835.5</v>
      </c>
      <c r="Y20" s="354"/>
      <c r="AA20" s="908" t="s">
        <v>746</v>
      </c>
    </row>
    <row r="21" spans="2:27" s="353" customFormat="1" ht="30" customHeight="1" x14ac:dyDescent="0.25">
      <c r="B21" s="359">
        <f>IF(OR('FILL QUOTE-CALCULATIONS'!C24=0,'FILL QUOTE-CALCULATIONS'!C24=""),"",'FILL QUOTE-CALCULATIONS'!B24)</f>
        <v>10</v>
      </c>
      <c r="C21" s="360">
        <f>IF(OR('FILL QUOTE-CALCULATIONS'!C24&lt;1,'FILL QUOTE-CALCULATIONS'!C24=""),"",'FILL QUOTE-CALCULATIONS'!C24)</f>
        <v>1</v>
      </c>
      <c r="D21" s="360" t="str">
        <f>IF(OR(C21&lt;1,C21=""),"",IF('FILL QUOTE-CALCULATIONS'!$S$4="INGLES",'FILL QUOTE-CALCULATIONS'!D24,VLOOKUP('FILL QUOTE-CALCULATIONS'!D24,'DROP LIST'!$B$7:$C$13,2,0)))</f>
        <v>PAR</v>
      </c>
      <c r="E21" s="360" t="str">
        <f>IF(OR(C21&lt;1,C21=""),"",IF('FILL QUOTE-CALCULATIONS'!$S$4="INGLES",'FILL QUOTE-CALCULATIONS'!E24,VLOOKUP('FILL QUOTE-CALCULATIONS'!E24,'DROP LIST'!$E$7:$F$15,2,0)))</f>
        <v>PLIEGUES-GANCHOS</v>
      </c>
      <c r="F21" s="360" t="str">
        <f>IF(OR(C21&lt;1,C21=""),"",IF('FILL QUOTE-CALCULATIONS'!$S$4="INGLES",'FILL QUOTE-CALCULATIONS'!F24,VLOOKUP('FILL QUOTE-CALCULATIONS'!F24,'DROP LIST'!$H$7:$I$19,2,0)))</f>
        <v>FRESCURA (TERGAL)</v>
      </c>
      <c r="G21" s="361">
        <f>IF(OR(C21&lt;1,C21=""),"",'FILL QUOTE-CALCULATIONS'!G24)</f>
        <v>2</v>
      </c>
      <c r="H21" s="360" t="str">
        <f>IF(OR(C21&lt;1,C21=""),"",IF('FILL QUOTE-CALCULATIONS'!$S$4="INGLES",'FILL QUOTE-CALCULATIONS'!H24,VLOOKUP('FILL QUOTE-CALCULATIONS'!H24,'DROP LIST'!$M$7:$N$10,2,0)))</f>
        <v>EN EXISTENCIA</v>
      </c>
      <c r="I21" s="360" t="str">
        <f>IF(OR(C21&lt;1,C21=""),"",IF('FILL QUOTE-CALCULATIONS'!$S$4="INGLES",'FILL QUOTE-CALCULATIONS'!I24,VLOOKUP('FILL QUOTE-CALCULATIONS'!I24,'DROP LIST'!$M$15:$N$18,2,0)))</f>
        <v>SHEER DECORATIVA</v>
      </c>
      <c r="J21" s="360" t="str">
        <f>'FILL QUOTE-CALCULATIONS'!J24</f>
        <v/>
      </c>
      <c r="K21" s="360" t="str">
        <f>IF(OR(C21&lt;1,C21=""),"",'FILL QUOTE-CALCULATIONS'!K24)</f>
        <v xml:space="preserve">SHEER BATISTE STONEWASHED </v>
      </c>
      <c r="L21" s="360" t="str">
        <f>IF(OR(C21&lt;1,C21=""),"",IF('FILL QUOTE-CALCULATIONS'!$S$4="INGLES",'FILL QUOTE-CALCULATIONS'!L24,VLOOKUP('FILL QUOTE-CALCULATIONS'!L24,'DROP LIST'!$B$25:$C$31,2,0)))</f>
        <v>N/A</v>
      </c>
      <c r="M21" s="360" t="str">
        <f>IF(OR(E21&lt;1,E21=""),"",'FILL QUOTE-CALCULATIONS'!M24)</f>
        <v xml:space="preserve">REINA 2 RECAMARA </v>
      </c>
      <c r="N21" s="362">
        <f>IF(OR(C21&lt;1,C21=""),"",'FILL QUOTE-CALCULATIONS'!N24)</f>
        <v>133</v>
      </c>
      <c r="O21" s="362">
        <f>IF(OR(C21&lt;1,C21=""),"",'FILL QUOTE-CALCULATIONS'!O24)</f>
        <v>116.25</v>
      </c>
      <c r="P21" s="360" t="str">
        <f>IF(OR(C21&lt;1,C21=""),"",IF('FILL QUOTE-CALCULATIONS'!$S$4="INGLES",'FILL QUOTE-CALCULATIONS'!P24, VLOOKUP('FILL QUOTE-CALCULATIONS'!P24,'DROP LIST'!$E$25:$F$27,2,0)))</f>
        <v>AL TECHO</v>
      </c>
      <c r="Q21" s="360" t="str">
        <f>IF(OR(C21&lt;1,C21=""),"",IF('FILL QUOTE-CALCULATIONS'!$S$4="INGLES",'FILL QUOTE-CALCULATIONS'!Q24,VLOOKUP('FILL QUOTE-CALCULATIONS'!Q24,'DROP LIST'!$H$25:$I$36,2,0)))</f>
        <v>HOTELERO - BASTON - P.P.</v>
      </c>
      <c r="R21" s="362" t="str">
        <f>IF('FILL QUOTE-CALCULATIONS'!R24="","",'FILL QUOTE-CALCULATIONS'!R24)</f>
        <v xml:space="preserve">BLANCO </v>
      </c>
      <c r="S21" s="360" t="str">
        <f>IF(OR(C21&lt;1,C21=""),"",IF('FILL QUOTE-CALCULATIONS'!$S$4="INGLES",'FILL QUOTE-CALCULATIONS'!S24,VLOOKUP('FILL QUOTE-CALCULATIONS'!S24,'DROP LIST'!$H$43:$I$46,2,0)))</f>
        <v>BLANCO</v>
      </c>
      <c r="T21" s="363">
        <f>IF(OR(C21&lt;1,C21=""),"",'FILL QUOTE-CALCULATIONS'!T24)</f>
        <v>406.8</v>
      </c>
      <c r="U21" s="364">
        <f>IF(OR(C21&lt;1,C21=""),"",'FILL QUOTE-CALCULATIONS'!W24)</f>
        <v>117.75</v>
      </c>
      <c r="V21" s="365">
        <f>IF(OR(C21&lt;1,C21=""),"",IF('FILL QUOTE-CALCULATIONS'!$S$3="DOLLARS",'FILL QUOTE-CALCULATIONS'!AB24,'FILL QUOTE-CALCULATIONS'!AB24*'FILL QUOTE-CALCULATIONS'!$AC$4))</f>
        <v>524.54999999999995</v>
      </c>
      <c r="W21" s="366">
        <f>IF(OR(C21&lt;1,C21=""),"",IF('FILL QUOTE-CALCULATIONS'!$S$3="DOLLARS",'FILL QUOTE-CALCULATIONS'!AC24,'FILL QUOTE-CALCULATIONS'!AC24*'FILL QUOTE-CALCULATIONS'!$AC$4))</f>
        <v>524.54999999999995</v>
      </c>
      <c r="Y21" s="354"/>
      <c r="AA21" s="908" t="s">
        <v>746</v>
      </c>
    </row>
    <row r="22" spans="2:27" s="353" customFormat="1" ht="30" customHeight="1" x14ac:dyDescent="0.25">
      <c r="B22" s="359">
        <f>IF(OR('FILL QUOTE-CALCULATIONS'!C25=0,'FILL QUOTE-CALCULATIONS'!C25=""),"",'FILL QUOTE-CALCULATIONS'!B25)</f>
        <v>11</v>
      </c>
      <c r="C22" s="360">
        <f>IF(OR('FILL QUOTE-CALCULATIONS'!C25&lt;1,'FILL QUOTE-CALCULATIONS'!C25=""),"",'FILL QUOTE-CALCULATIONS'!C25)</f>
        <v>1</v>
      </c>
      <c r="D22" s="360" t="str">
        <f>IF(OR(C22&lt;1,C22=""),"",IF('FILL QUOTE-CALCULATIONS'!$S$4="INGLES",'FILL QUOTE-CALCULATIONS'!D25,VLOOKUP('FILL QUOTE-CALCULATIONS'!D25,'DROP LIST'!$B$7:$C$13,2,0)))</f>
        <v>PAR</v>
      </c>
      <c r="E22" s="360" t="str">
        <f>IF(OR(C22&lt;1,C22=""),"",IF('FILL QUOTE-CALCULATIONS'!$S$4="INGLES",'FILL QUOTE-CALCULATIONS'!E25,VLOOKUP('FILL QUOTE-CALCULATIONS'!E25,'DROP LIST'!$E$7:$F$15,2,0)))</f>
        <v>PLIEGUES-GANCHOS</v>
      </c>
      <c r="F22" s="360" t="str">
        <f>IF(OR(C22&lt;1,C22=""),"",IF('FILL QUOTE-CALCULATIONS'!$S$4="INGLES",'FILL QUOTE-CALCULATIONS'!F25,VLOOKUP('FILL QUOTE-CALCULATIONS'!F25,'DROP LIST'!$H$7:$I$19,2,0)))</f>
        <v>CORTINA 'BLACKOUT'</v>
      </c>
      <c r="G22" s="361">
        <f>IF(OR(C22&lt;1,C22=""),"",'FILL QUOTE-CALCULATIONS'!G25)</f>
        <v>2</v>
      </c>
      <c r="H22" s="360" t="str">
        <f>IF(OR(C22&lt;1,C22=""),"",IF('FILL QUOTE-CALCULATIONS'!$S$4="INGLES",'FILL QUOTE-CALCULATIONS'!H25,VLOOKUP('FILL QUOTE-CALCULATIONS'!H25,'DROP LIST'!$M$7:$N$10,2,0)))</f>
        <v>EN EXISTENCIA</v>
      </c>
      <c r="I22" s="360" t="str">
        <f>IF(OR(C22&lt;1,C22=""),"",IF('FILL QUOTE-CALCULATIONS'!$S$4="INGLES",'FILL QUOTE-CALCULATIONS'!I25,VLOOKUP('FILL QUOTE-CALCULATIONS'!I25,'DROP LIST'!$M$15:$N$18,2,0)))</f>
        <v>BO TEXTURIZADO</v>
      </c>
      <c r="J22" s="360" t="str">
        <f>'FILL QUOTE-CALCULATIONS'!J25</f>
        <v/>
      </c>
      <c r="K22" s="360" t="str">
        <f>IF(OR(C22&lt;1,C22=""),"",'FILL QUOTE-CALCULATIONS'!K25)</f>
        <v xml:space="preserve">CRETA SHELL </v>
      </c>
      <c r="L22" s="360" t="str">
        <f>IF(OR(C22&lt;1,C22=""),"",IF('FILL QUOTE-CALCULATIONS'!$S$4="INGLES",'FILL QUOTE-CALCULATIONS'!L25,VLOOKUP('FILL QUOTE-CALCULATIONS'!L25,'DROP LIST'!$B$25:$C$31,2,0)))</f>
        <v>N/A</v>
      </c>
      <c r="M22" s="360" t="str">
        <f>IF(OR(E22&lt;1,E22=""),"",'FILL QUOTE-CALCULATIONS'!M25)</f>
        <v xml:space="preserve">REINA 2 COCINA </v>
      </c>
      <c r="N22" s="362">
        <f>IF(OR(C22&lt;1,C22=""),"",'FILL QUOTE-CALCULATIONS'!N25)</f>
        <v>90</v>
      </c>
      <c r="O22" s="362">
        <f>IF(OR(C22&lt;1,C22=""),"",'FILL QUOTE-CALCULATIONS'!O25)</f>
        <v>51</v>
      </c>
      <c r="P22" s="360" t="str">
        <f>IF(OR(C22&lt;1,C22=""),"",IF('FILL QUOTE-CALCULATIONS'!$S$4="INGLES",'FILL QUOTE-CALCULATIONS'!P25, VLOOKUP('FILL QUOTE-CALCULATIONS'!P25,'DROP LIST'!$E$25:$F$27,2,0)))</f>
        <v>A LA PARED</v>
      </c>
      <c r="Q22" s="360" t="str">
        <f>IF(OR(C22&lt;1,C22=""),"",IF('FILL QUOTE-CALCULATIONS'!$S$4="INGLES",'FILL QUOTE-CALCULATIONS'!Q25,VLOOKUP('FILL QUOTE-CALCULATIONS'!Q25,'DROP LIST'!$H$25:$I$36,2,0)))</f>
        <v>HOTELERO - BASTON - P.P.</v>
      </c>
      <c r="R22" s="362" t="str">
        <f>IF('FILL QUOTE-CALCULATIONS'!R25="","",'FILL QUOTE-CALCULATIONS'!R25)</f>
        <v xml:space="preserve">BLANCO </v>
      </c>
      <c r="S22" s="360" t="str">
        <f>IF(OR(C22&lt;1,C22=""),"",IF('FILL QUOTE-CALCULATIONS'!$S$4="INGLES",'FILL QUOTE-CALCULATIONS'!S25,VLOOKUP('FILL QUOTE-CALCULATIONS'!S25,'DROP LIST'!$H$43:$I$46,2,0)))</f>
        <v>BLANCO</v>
      </c>
      <c r="T22" s="363">
        <f>IF(OR(C22&lt;1,C22=""),"",'FILL QUOTE-CALCULATIONS'!T25)</f>
        <v>305.8</v>
      </c>
      <c r="U22" s="364">
        <f>IF(OR(C22&lt;1,C22=""),"",'FILL QUOTE-CALCULATIONS'!W25)</f>
        <v>78.550000000000011</v>
      </c>
      <c r="V22" s="365">
        <f>IF(OR(C22&lt;1,C22=""),"",IF('FILL QUOTE-CALCULATIONS'!$S$3="DOLLARS",'FILL QUOTE-CALCULATIONS'!AB25,'FILL QUOTE-CALCULATIONS'!AB25*'FILL QUOTE-CALCULATIONS'!$AC$4))</f>
        <v>384.35</v>
      </c>
      <c r="W22" s="366">
        <f>IF(OR(C22&lt;1,C22=""),"",IF('FILL QUOTE-CALCULATIONS'!$S$3="DOLLARS",'FILL QUOTE-CALCULATIONS'!AC25,'FILL QUOTE-CALCULATIONS'!AC25*'FILL QUOTE-CALCULATIONS'!$AC$4))</f>
        <v>384.35</v>
      </c>
      <c r="Y22" s="354"/>
      <c r="AA22" s="908" t="s">
        <v>746</v>
      </c>
    </row>
    <row r="23" spans="2:27" s="353" customFormat="1" ht="30" customHeight="1" x14ac:dyDescent="0.25">
      <c r="B23" s="359">
        <f>IF(OR('FILL QUOTE-CALCULATIONS'!C26=0,'FILL QUOTE-CALCULATIONS'!C26=""),"",'FILL QUOTE-CALCULATIONS'!B26)</f>
        <v>12</v>
      </c>
      <c r="C23" s="360">
        <f>IF(OR('FILL QUOTE-CALCULATIONS'!C26&lt;1,'FILL QUOTE-CALCULATIONS'!C26=""),"",'FILL QUOTE-CALCULATIONS'!C26)</f>
        <v>1</v>
      </c>
      <c r="D23" s="360" t="str">
        <f>IF(OR(C23&lt;1,C23=""),"",IF('FILL QUOTE-CALCULATIONS'!$S$4="INGLES",'FILL QUOTE-CALCULATIONS'!D26,VLOOKUP('FILL QUOTE-CALCULATIONS'!D26,'DROP LIST'!$B$7:$C$13,2,0)))</f>
        <v>PAR</v>
      </c>
      <c r="E23" s="360" t="str">
        <f>IF(OR(C23&lt;1,C23=""),"",IF('FILL QUOTE-CALCULATIONS'!$S$4="INGLES",'FILL QUOTE-CALCULATIONS'!E26,VLOOKUP('FILL QUOTE-CALCULATIONS'!E26,'DROP LIST'!$E$7:$F$15,2,0)))</f>
        <v>PLIEGUES-GANCHOS</v>
      </c>
      <c r="F23" s="360" t="str">
        <f>IF(OR(C23&lt;1,C23=""),"",IF('FILL QUOTE-CALCULATIONS'!$S$4="INGLES",'FILL QUOTE-CALCULATIONS'!F26,VLOOKUP('FILL QUOTE-CALCULATIONS'!F26,'DROP LIST'!$H$7:$I$19,2,0)))</f>
        <v>FRESCURA (TERGAL)</v>
      </c>
      <c r="G23" s="361">
        <f>IF(OR(C23&lt;1,C23=""),"",'FILL QUOTE-CALCULATIONS'!G26)</f>
        <v>2</v>
      </c>
      <c r="H23" s="360" t="str">
        <f>IF(OR(C23&lt;1,C23=""),"",IF('FILL QUOTE-CALCULATIONS'!$S$4="INGLES",'FILL QUOTE-CALCULATIONS'!H26,VLOOKUP('FILL QUOTE-CALCULATIONS'!H26,'DROP LIST'!$M$7:$N$10,2,0)))</f>
        <v>EN EXISTENCIA</v>
      </c>
      <c r="I23" s="360" t="str">
        <f>IF(OR(C23&lt;1,C23=""),"",IF('FILL QUOTE-CALCULATIONS'!$S$4="INGLES",'FILL QUOTE-CALCULATIONS'!I26,VLOOKUP('FILL QUOTE-CALCULATIONS'!I26,'DROP LIST'!$M$15:$N$18,2,0)))</f>
        <v>SHEER DECORATIVA</v>
      </c>
      <c r="J23" s="360" t="str">
        <f>'FILL QUOTE-CALCULATIONS'!J26</f>
        <v/>
      </c>
      <c r="K23" s="360" t="str">
        <f>IF(OR(C23&lt;1,C23=""),"",'FILL QUOTE-CALCULATIONS'!K26)</f>
        <v xml:space="preserve">SHEER BATISTE STONEWASHED </v>
      </c>
      <c r="L23" s="360" t="str">
        <f>IF(OR(C23&lt;1,C23=""),"",IF('FILL QUOTE-CALCULATIONS'!$S$4="INGLES",'FILL QUOTE-CALCULATIONS'!L26,VLOOKUP('FILL QUOTE-CALCULATIONS'!L26,'DROP LIST'!$B$25:$C$31,2,0)))</f>
        <v>N/A</v>
      </c>
      <c r="M23" s="360" t="str">
        <f>IF(OR(E23&lt;1,E23=""),"",'FILL QUOTE-CALCULATIONS'!M26)</f>
        <v xml:space="preserve">REINA 2 COCINA </v>
      </c>
      <c r="N23" s="362">
        <f>IF(OR(C23&lt;1,C23=""),"",'FILL QUOTE-CALCULATIONS'!N26)</f>
        <v>90</v>
      </c>
      <c r="O23" s="362">
        <f>IF(OR(C23&lt;1,C23=""),"",'FILL QUOTE-CALCULATIONS'!O26)</f>
        <v>51</v>
      </c>
      <c r="P23" s="360" t="str">
        <f>IF(OR(C23&lt;1,C23=""),"",IF('FILL QUOTE-CALCULATIONS'!$S$4="INGLES",'FILL QUOTE-CALCULATIONS'!P26, VLOOKUP('FILL QUOTE-CALCULATIONS'!P26,'DROP LIST'!$E$25:$F$27,2,0)))</f>
        <v>A LA PARED</v>
      </c>
      <c r="Q23" s="360" t="str">
        <f>IF(OR(C23&lt;1,C23=""),"",IF('FILL QUOTE-CALCULATIONS'!$S$4="INGLES",'FILL QUOTE-CALCULATIONS'!Q26,VLOOKUP('FILL QUOTE-CALCULATIONS'!Q26,'DROP LIST'!$H$25:$I$36,2,0)))</f>
        <v>HOTELERO - BASTON - P.P.</v>
      </c>
      <c r="R23" s="362" t="str">
        <f>IF('FILL QUOTE-CALCULATIONS'!R26="","",'FILL QUOTE-CALCULATIONS'!R26)</f>
        <v xml:space="preserve">BLANCO </v>
      </c>
      <c r="S23" s="360" t="str">
        <f>IF(OR(C23&lt;1,C23=""),"",IF('FILL QUOTE-CALCULATIONS'!$S$4="INGLES",'FILL QUOTE-CALCULATIONS'!S26,VLOOKUP('FILL QUOTE-CALCULATIONS'!S26,'DROP LIST'!$H$43:$I$46,2,0)))</f>
        <v>BLANCO</v>
      </c>
      <c r="T23" s="363">
        <f>IF(OR(C23&lt;1,C23=""),"",'FILL QUOTE-CALCULATIONS'!T26)</f>
        <v>255.8</v>
      </c>
      <c r="U23" s="364">
        <f>IF(OR(C23&lt;1,C23=""),"",'FILL QUOTE-CALCULATIONS'!W26)</f>
        <v>78.550000000000011</v>
      </c>
      <c r="V23" s="365">
        <f>IF(OR(C23&lt;1,C23=""),"",IF('FILL QUOTE-CALCULATIONS'!$S$3="DOLLARS",'FILL QUOTE-CALCULATIONS'!AB26,'FILL QUOTE-CALCULATIONS'!AB26*'FILL QUOTE-CALCULATIONS'!$AC$4))</f>
        <v>334.35</v>
      </c>
      <c r="W23" s="366">
        <f>IF(OR(C23&lt;1,C23=""),"",IF('FILL QUOTE-CALCULATIONS'!$S$3="DOLLARS",'FILL QUOTE-CALCULATIONS'!AC26,'FILL QUOTE-CALCULATIONS'!AC26*'FILL QUOTE-CALCULATIONS'!$AC$4))</f>
        <v>334.35</v>
      </c>
      <c r="Y23" s="354"/>
      <c r="AA23" s="908" t="s">
        <v>746</v>
      </c>
    </row>
    <row r="24" spans="2:27" s="353" customFormat="1" ht="30" customHeight="1" x14ac:dyDescent="0.25">
      <c r="B24" s="359">
        <f>IF(OR('FILL QUOTE-CALCULATIONS'!C27=0,'FILL QUOTE-CALCULATIONS'!C27=""),"",'FILL QUOTE-CALCULATIONS'!B27)</f>
        <v>13</v>
      </c>
      <c r="C24" s="360">
        <f>IF(OR('FILL QUOTE-CALCULATIONS'!C27&lt;1,'FILL QUOTE-CALCULATIONS'!C27=""),"",'FILL QUOTE-CALCULATIONS'!C27)</f>
        <v>1</v>
      </c>
      <c r="D24" s="360" t="str">
        <f>IF(OR(C24&lt;1,C24=""),"",IF('FILL QUOTE-CALCULATIONS'!$S$4="INGLES",'FILL QUOTE-CALCULATIONS'!D27,VLOOKUP('FILL QUOTE-CALCULATIONS'!D27,'DROP LIST'!$B$7:$C$13,2,0)))</f>
        <v>PAR</v>
      </c>
      <c r="E24" s="360" t="str">
        <f>IF(OR(C24&lt;1,C24=""),"",IF('FILL QUOTE-CALCULATIONS'!$S$4="INGLES",'FILL QUOTE-CALCULATIONS'!E27,VLOOKUP('FILL QUOTE-CALCULATIONS'!E27,'DROP LIST'!$E$7:$F$15,2,0)))</f>
        <v>PLIEGUES-GANCHOS</v>
      </c>
      <c r="F24" s="360" t="str">
        <f>IF(OR(C24&lt;1,C24=""),"",IF('FILL QUOTE-CALCULATIONS'!$S$4="INGLES",'FILL QUOTE-CALCULATIONS'!F27,VLOOKUP('FILL QUOTE-CALCULATIONS'!F27,'DROP LIST'!$H$7:$I$19,2,0)))</f>
        <v>CORTINA 'BLACKOUT'</v>
      </c>
      <c r="G24" s="361">
        <f>IF(OR(C24&lt;1,C24=""),"",'FILL QUOTE-CALCULATIONS'!G27)</f>
        <v>2</v>
      </c>
      <c r="H24" s="360" t="str">
        <f>IF(OR(C24&lt;1,C24=""),"",IF('FILL QUOTE-CALCULATIONS'!$S$4="INGLES",'FILL QUOTE-CALCULATIONS'!H27,VLOOKUP('FILL QUOTE-CALCULATIONS'!H27,'DROP LIST'!$M$7:$N$10,2,0)))</f>
        <v>EN EXISTENCIA</v>
      </c>
      <c r="I24" s="360" t="str">
        <f>IF(OR(C24&lt;1,C24=""),"",IF('FILL QUOTE-CALCULATIONS'!$S$4="INGLES",'FILL QUOTE-CALCULATIONS'!I27,VLOOKUP('FILL QUOTE-CALCULATIONS'!I27,'DROP LIST'!$M$15:$N$18,2,0)))</f>
        <v>BO TEXTURIZADO</v>
      </c>
      <c r="J24" s="360" t="str">
        <f>'FILL QUOTE-CALCULATIONS'!J27</f>
        <v/>
      </c>
      <c r="K24" s="360" t="str">
        <f>IF(OR(C24&lt;1,C24=""),"",'FILL QUOTE-CALCULATIONS'!K27)</f>
        <v xml:space="preserve">CRETA SHELL </v>
      </c>
      <c r="L24" s="360" t="str">
        <f>IF(OR(C24&lt;1,C24=""),"",IF('FILL QUOTE-CALCULATIONS'!$S$4="INGLES",'FILL QUOTE-CALCULATIONS'!L27,VLOOKUP('FILL QUOTE-CALCULATIONS'!L27,'DROP LIST'!$B$25:$C$31,2,0)))</f>
        <v>N/A</v>
      </c>
      <c r="M24" s="360" t="str">
        <f>IF(OR(E24&lt;1,E24=""),"",'FILL QUOTE-CALCULATIONS'!M27)</f>
        <v xml:space="preserve">REINA 3 SALA </v>
      </c>
      <c r="N24" s="362">
        <f>IF(OR(C24&lt;1,C24=""),"",'FILL QUOTE-CALCULATIONS'!N27)</f>
        <v>105.5</v>
      </c>
      <c r="O24" s="362">
        <f>IF(OR(C24&lt;1,C24=""),"",'FILL QUOTE-CALCULATIONS'!O27)</f>
        <v>116</v>
      </c>
      <c r="P24" s="360" t="str">
        <f>IF(OR(C24&lt;1,C24=""),"",IF('FILL QUOTE-CALCULATIONS'!$S$4="INGLES",'FILL QUOTE-CALCULATIONS'!P27, VLOOKUP('FILL QUOTE-CALCULATIONS'!P27,'DROP LIST'!$E$25:$F$27,2,0)))</f>
        <v>AL TECHO</v>
      </c>
      <c r="Q24" s="360" t="str">
        <f>IF(OR(C24&lt;1,C24=""),"",IF('FILL QUOTE-CALCULATIONS'!$S$4="INGLES",'FILL QUOTE-CALCULATIONS'!Q27,VLOOKUP('FILL QUOTE-CALCULATIONS'!Q27,'DROP LIST'!$H$25:$I$36,2,0)))</f>
        <v>HOTELERO - BASTON - P.P.</v>
      </c>
      <c r="R24" s="362" t="str">
        <f>IF('FILL QUOTE-CALCULATIONS'!R27="","",'FILL QUOTE-CALCULATIONS'!R27)</f>
        <v xml:space="preserve">BLANCO </v>
      </c>
      <c r="S24" s="360" t="str">
        <f>IF(OR(C24&lt;1,C24=""),"",IF('FILL QUOTE-CALCULATIONS'!$S$4="INGLES",'FILL QUOTE-CALCULATIONS'!S27,VLOOKUP('FILL QUOTE-CALCULATIONS'!S27,'DROP LIST'!$H$43:$I$46,2,0)))</f>
        <v>BLANCO</v>
      </c>
      <c r="T24" s="363">
        <f>IF(OR(C24&lt;1,C24=""),"",'FILL QUOTE-CALCULATIONS'!T27)</f>
        <v>587.25</v>
      </c>
      <c r="U24" s="364">
        <f>IF(OR(C24&lt;1,C24=""),"",'FILL QUOTE-CALCULATIONS'!W27)</f>
        <v>96.550000000000011</v>
      </c>
      <c r="V24" s="365">
        <f>IF(OR(C24&lt;1,C24=""),"",IF('FILL QUOTE-CALCULATIONS'!$S$3="DOLLARS",'FILL QUOTE-CALCULATIONS'!AB27,'FILL QUOTE-CALCULATIONS'!AB27*'FILL QUOTE-CALCULATIONS'!$AC$4))</f>
        <v>683.8</v>
      </c>
      <c r="W24" s="366">
        <f>IF(OR(C24&lt;1,C24=""),"",IF('FILL QUOTE-CALCULATIONS'!$S$3="DOLLARS",'FILL QUOTE-CALCULATIONS'!AC27,'FILL QUOTE-CALCULATIONS'!AC27*'FILL QUOTE-CALCULATIONS'!$AC$4))</f>
        <v>683.8</v>
      </c>
      <c r="Y24" s="354"/>
      <c r="AA24" s="908" t="s">
        <v>746</v>
      </c>
    </row>
    <row r="25" spans="2:27" s="353" customFormat="1" ht="30" customHeight="1" x14ac:dyDescent="0.25">
      <c r="B25" s="359">
        <f>IF(OR('FILL QUOTE-CALCULATIONS'!C28=0,'FILL QUOTE-CALCULATIONS'!C28=""),"",'FILL QUOTE-CALCULATIONS'!B28)</f>
        <v>14</v>
      </c>
      <c r="C25" s="360">
        <f>IF(OR('FILL QUOTE-CALCULATIONS'!C28&lt;1,'FILL QUOTE-CALCULATIONS'!C28=""),"",'FILL QUOTE-CALCULATIONS'!C28)</f>
        <v>1</v>
      </c>
      <c r="D25" s="360" t="str">
        <f>IF(OR(C25&lt;1,C25=""),"",IF('FILL QUOTE-CALCULATIONS'!$S$4="INGLES",'FILL QUOTE-CALCULATIONS'!D28,VLOOKUP('FILL QUOTE-CALCULATIONS'!D28,'DROP LIST'!$B$7:$C$13,2,0)))</f>
        <v>PAR</v>
      </c>
      <c r="E25" s="360" t="str">
        <f>IF(OR(C25&lt;1,C25=""),"",IF('FILL QUOTE-CALCULATIONS'!$S$4="INGLES",'FILL QUOTE-CALCULATIONS'!E28,VLOOKUP('FILL QUOTE-CALCULATIONS'!E28,'DROP LIST'!$E$7:$F$15,2,0)))</f>
        <v>PLIEGUES-GANCHOS</v>
      </c>
      <c r="F25" s="360" t="str">
        <f>IF(OR(C25&lt;1,C25=""),"",IF('FILL QUOTE-CALCULATIONS'!$S$4="INGLES",'FILL QUOTE-CALCULATIONS'!F28,VLOOKUP('FILL QUOTE-CALCULATIONS'!F28,'DROP LIST'!$H$7:$I$19,2,0)))</f>
        <v>FRESCURA (TERGAL)</v>
      </c>
      <c r="G25" s="361">
        <f>IF(OR(C25&lt;1,C25=""),"",'FILL QUOTE-CALCULATIONS'!G28)</f>
        <v>2</v>
      </c>
      <c r="H25" s="360" t="str">
        <f>IF(OR(C25&lt;1,C25=""),"",IF('FILL QUOTE-CALCULATIONS'!$S$4="INGLES",'FILL QUOTE-CALCULATIONS'!H28,VLOOKUP('FILL QUOTE-CALCULATIONS'!H28,'DROP LIST'!$M$7:$N$10,2,0)))</f>
        <v>EN EXISTENCIA</v>
      </c>
      <c r="I25" s="360" t="str">
        <f>IF(OR(C25&lt;1,C25=""),"",IF('FILL QUOTE-CALCULATIONS'!$S$4="INGLES",'FILL QUOTE-CALCULATIONS'!I28,VLOOKUP('FILL QUOTE-CALCULATIONS'!I28,'DROP LIST'!$M$15:$N$18,2,0)))</f>
        <v>SHEER DECORATIVA</v>
      </c>
      <c r="J25" s="360" t="str">
        <f>'FILL QUOTE-CALCULATIONS'!J28</f>
        <v/>
      </c>
      <c r="K25" s="360" t="str">
        <f>IF(OR(C25&lt;1,C25=""),"",'FILL QUOTE-CALCULATIONS'!K28)</f>
        <v xml:space="preserve">SHEER BATISTE STONEWASHED </v>
      </c>
      <c r="L25" s="360" t="str">
        <f>IF(OR(C25&lt;1,C25=""),"",IF('FILL QUOTE-CALCULATIONS'!$S$4="INGLES",'FILL QUOTE-CALCULATIONS'!L28,VLOOKUP('FILL QUOTE-CALCULATIONS'!L28,'DROP LIST'!$B$25:$C$31,2,0)))</f>
        <v>N/A</v>
      </c>
      <c r="M25" s="360" t="str">
        <f>IF(OR(E25&lt;1,E25=""),"",'FILL QUOTE-CALCULATIONS'!M28)</f>
        <v xml:space="preserve">REINA 3 SALA </v>
      </c>
      <c r="N25" s="362">
        <f>IF(OR(C25&lt;1,C25=""),"",'FILL QUOTE-CALCULATIONS'!N28)</f>
        <v>105.5</v>
      </c>
      <c r="O25" s="362">
        <f>IF(OR(C25&lt;1,C25=""),"",'FILL QUOTE-CALCULATIONS'!O28)</f>
        <v>116</v>
      </c>
      <c r="P25" s="360" t="str">
        <f>IF(OR(C25&lt;1,C25=""),"",IF('FILL QUOTE-CALCULATIONS'!$S$4="INGLES",'FILL QUOTE-CALCULATIONS'!P28, VLOOKUP('FILL QUOTE-CALCULATIONS'!P28,'DROP LIST'!$E$25:$F$27,2,0)))</f>
        <v>AL TECHO</v>
      </c>
      <c r="Q25" s="360" t="str">
        <f>IF(OR(C25&lt;1,C25=""),"",IF('FILL QUOTE-CALCULATIONS'!$S$4="INGLES",'FILL QUOTE-CALCULATIONS'!Q28,VLOOKUP('FILL QUOTE-CALCULATIONS'!Q28,'DROP LIST'!$H$25:$I$36,2,0)))</f>
        <v>HOTELERO - BASTON - P.P.</v>
      </c>
      <c r="R25" s="362" t="str">
        <f>IF('FILL QUOTE-CALCULATIONS'!R28="","",'FILL QUOTE-CALCULATIONS'!R28)</f>
        <v xml:space="preserve">BLANCO </v>
      </c>
      <c r="S25" s="360" t="str">
        <f>IF(OR(C25&lt;1,C25=""),"",IF('FILL QUOTE-CALCULATIONS'!$S$4="INGLES",'FILL QUOTE-CALCULATIONS'!S28,VLOOKUP('FILL QUOTE-CALCULATIONS'!S28,'DROP LIST'!$H$43:$I$46,2,0)))</f>
        <v>BLANCO</v>
      </c>
      <c r="T25" s="363">
        <f>IF(OR(C25&lt;1,C25=""),"",'FILL QUOTE-CALCULATIONS'!T28)</f>
        <v>325.45000000000005</v>
      </c>
      <c r="U25" s="364">
        <f>IF(OR(C25&lt;1,C25=""),"",'FILL QUOTE-CALCULATIONS'!W28)</f>
        <v>96.550000000000011</v>
      </c>
      <c r="V25" s="365">
        <f>IF(OR(C25&lt;1,C25=""),"",IF('FILL QUOTE-CALCULATIONS'!$S$3="DOLLARS",'FILL QUOTE-CALCULATIONS'!AB28,'FILL QUOTE-CALCULATIONS'!AB28*'FILL QUOTE-CALCULATIONS'!$AC$4))</f>
        <v>422.00000000000006</v>
      </c>
      <c r="W25" s="366">
        <f>IF(OR(C25&lt;1,C25=""),"",IF('FILL QUOTE-CALCULATIONS'!$S$3="DOLLARS",'FILL QUOTE-CALCULATIONS'!AC28,'FILL QUOTE-CALCULATIONS'!AC28*'FILL QUOTE-CALCULATIONS'!$AC$4))</f>
        <v>422.00000000000006</v>
      </c>
      <c r="Y25" s="354"/>
      <c r="AA25" s="908" t="s">
        <v>746</v>
      </c>
    </row>
    <row r="26" spans="2:27" s="353" customFormat="1" ht="30" customHeight="1" x14ac:dyDescent="0.25">
      <c r="B26" s="359">
        <f>IF(OR('FILL QUOTE-CALCULATIONS'!C29=0,'FILL QUOTE-CALCULATIONS'!C29=""),"",'FILL QUOTE-CALCULATIONS'!B29)</f>
        <v>15</v>
      </c>
      <c r="C26" s="360">
        <f>IF(OR('FILL QUOTE-CALCULATIONS'!C29&lt;1,'FILL QUOTE-CALCULATIONS'!C29=""),"",'FILL QUOTE-CALCULATIONS'!C29)</f>
        <v>1</v>
      </c>
      <c r="D26" s="360" t="str">
        <f>IF(OR(C26&lt;1,C26=""),"",IF('FILL QUOTE-CALCULATIONS'!$S$4="INGLES",'FILL QUOTE-CALCULATIONS'!D29,VLOOKUP('FILL QUOTE-CALCULATIONS'!D29,'DROP LIST'!$B$7:$C$13,2,0)))</f>
        <v>PAR</v>
      </c>
      <c r="E26" s="360" t="str">
        <f>IF(OR(C26&lt;1,C26=""),"",IF('FILL QUOTE-CALCULATIONS'!$S$4="INGLES",'FILL QUOTE-CALCULATIONS'!E29,VLOOKUP('FILL QUOTE-CALCULATIONS'!E29,'DROP LIST'!$E$7:$F$15,2,0)))</f>
        <v>PLIEGUES-GANCHOS</v>
      </c>
      <c r="F26" s="360" t="str">
        <f>IF(OR(C26&lt;1,C26=""),"",IF('FILL QUOTE-CALCULATIONS'!$S$4="INGLES",'FILL QUOTE-CALCULATIONS'!F29,VLOOKUP('FILL QUOTE-CALCULATIONS'!F29,'DROP LIST'!$H$7:$I$19,2,0)))</f>
        <v>CORTINA 'BLACKOUT'</v>
      </c>
      <c r="G26" s="361">
        <f>IF(OR(C26&lt;1,C26=""),"",'FILL QUOTE-CALCULATIONS'!G29)</f>
        <v>2</v>
      </c>
      <c r="H26" s="360" t="str">
        <f>IF(OR(C26&lt;1,C26=""),"",IF('FILL QUOTE-CALCULATIONS'!$S$4="INGLES",'FILL QUOTE-CALCULATIONS'!H29,VLOOKUP('FILL QUOTE-CALCULATIONS'!H29,'DROP LIST'!$M$7:$N$10,2,0)))</f>
        <v>EN EXISTENCIA</v>
      </c>
      <c r="I26" s="360" t="str">
        <f>IF(OR(C26&lt;1,C26=""),"",IF('FILL QUOTE-CALCULATIONS'!$S$4="INGLES",'FILL QUOTE-CALCULATIONS'!I29,VLOOKUP('FILL QUOTE-CALCULATIONS'!I29,'DROP LIST'!$M$15:$N$18,2,0)))</f>
        <v>BO TEXTURIZADO</v>
      </c>
      <c r="J26" s="360" t="str">
        <f>'FILL QUOTE-CALCULATIONS'!J29</f>
        <v/>
      </c>
      <c r="K26" s="360" t="str">
        <f>IF(OR(C26&lt;1,C26=""),"",'FILL QUOTE-CALCULATIONS'!K29)</f>
        <v xml:space="preserve">CRETA SHELL </v>
      </c>
      <c r="L26" s="360" t="str">
        <f>IF(OR(C26&lt;1,C26=""),"",IF('FILL QUOTE-CALCULATIONS'!$S$4="INGLES",'FILL QUOTE-CALCULATIONS'!L29,VLOOKUP('FILL QUOTE-CALCULATIONS'!L29,'DROP LIST'!$B$25:$C$31,2,0)))</f>
        <v>N/A</v>
      </c>
      <c r="M26" s="360" t="str">
        <f>IF(OR(E26&lt;1,E26=""),"",'FILL QUOTE-CALCULATIONS'!M29)</f>
        <v xml:space="preserve">REINA 3 RECAMARA </v>
      </c>
      <c r="N26" s="362">
        <f>IF(OR(C26&lt;1,C26=""),"",'FILL QUOTE-CALCULATIONS'!N29)</f>
        <v>132</v>
      </c>
      <c r="O26" s="362">
        <f>IF(OR(C26&lt;1,C26=""),"",'FILL QUOTE-CALCULATIONS'!O29)</f>
        <v>116.5</v>
      </c>
      <c r="P26" s="360" t="str">
        <f>IF(OR(C26&lt;1,C26=""),"",IF('FILL QUOTE-CALCULATIONS'!$S$4="INGLES",'FILL QUOTE-CALCULATIONS'!P29, VLOOKUP('FILL QUOTE-CALCULATIONS'!P29,'DROP LIST'!$E$25:$F$27,2,0)))</f>
        <v>AL TECHO</v>
      </c>
      <c r="Q26" s="360" t="str">
        <f>IF(OR(C26&lt;1,C26=""),"",IF('FILL QUOTE-CALCULATIONS'!$S$4="INGLES",'FILL QUOTE-CALCULATIONS'!Q29,VLOOKUP('FILL QUOTE-CALCULATIONS'!Q29,'DROP LIST'!$H$25:$I$36,2,0)))</f>
        <v>HOTELERO - BASTON - P.P.</v>
      </c>
      <c r="R26" s="362" t="str">
        <f>IF('FILL QUOTE-CALCULATIONS'!R29="","",'FILL QUOTE-CALCULATIONS'!R29)</f>
        <v xml:space="preserve">BLANCO </v>
      </c>
      <c r="S26" s="360" t="str">
        <f>IF(OR(C26&lt;1,C26=""),"",IF('FILL QUOTE-CALCULATIONS'!$S$4="INGLES",'FILL QUOTE-CALCULATIONS'!S29,VLOOKUP('FILL QUOTE-CALCULATIONS'!S29,'DROP LIST'!$H$43:$I$46,2,0)))</f>
        <v>BLANCO</v>
      </c>
      <c r="T26" s="363">
        <f>IF(OR(C26&lt;1,C26=""),"",'FILL QUOTE-CALCULATIONS'!T29)</f>
        <v>717.75</v>
      </c>
      <c r="U26" s="364">
        <f>IF(OR(C26&lt;1,C26=""),"",'FILL QUOTE-CALCULATIONS'!W29)</f>
        <v>116.95</v>
      </c>
      <c r="V26" s="365">
        <f>IF(OR(C26&lt;1,C26=""),"",IF('FILL QUOTE-CALCULATIONS'!$S$3="DOLLARS",'FILL QUOTE-CALCULATIONS'!AB29,'FILL QUOTE-CALCULATIONS'!AB29*'FILL QUOTE-CALCULATIONS'!$AC$4))</f>
        <v>834.7</v>
      </c>
      <c r="W26" s="366">
        <f>IF(OR(C26&lt;1,C26=""),"",IF('FILL QUOTE-CALCULATIONS'!$S$3="DOLLARS",'FILL QUOTE-CALCULATIONS'!AC29,'FILL QUOTE-CALCULATIONS'!AC29*'FILL QUOTE-CALCULATIONS'!$AC$4))</f>
        <v>834.7</v>
      </c>
      <c r="Y26" s="354"/>
      <c r="AA26" s="908" t="s">
        <v>746</v>
      </c>
    </row>
    <row r="27" spans="2:27" s="353" customFormat="1" ht="30" customHeight="1" x14ac:dyDescent="0.25">
      <c r="B27" s="359">
        <f>IF(OR('FILL QUOTE-CALCULATIONS'!C30=0,'FILL QUOTE-CALCULATIONS'!C30=""),"",'FILL QUOTE-CALCULATIONS'!B30)</f>
        <v>16</v>
      </c>
      <c r="C27" s="360">
        <f>IF(OR('FILL QUOTE-CALCULATIONS'!C30&lt;1,'FILL QUOTE-CALCULATIONS'!C30=""),"",'FILL QUOTE-CALCULATIONS'!C30)</f>
        <v>1</v>
      </c>
      <c r="D27" s="360" t="str">
        <f>IF(OR(C27&lt;1,C27=""),"",IF('FILL QUOTE-CALCULATIONS'!$S$4="INGLES",'FILL QUOTE-CALCULATIONS'!D30,VLOOKUP('FILL QUOTE-CALCULATIONS'!D30,'DROP LIST'!$B$7:$C$13,2,0)))</f>
        <v>PAR</v>
      </c>
      <c r="E27" s="360" t="str">
        <f>IF(OR(C27&lt;1,C27=""),"",IF('FILL QUOTE-CALCULATIONS'!$S$4="INGLES",'FILL QUOTE-CALCULATIONS'!E30,VLOOKUP('FILL QUOTE-CALCULATIONS'!E30,'DROP LIST'!$E$7:$F$15,2,0)))</f>
        <v>PLIEGUES-GANCHOS</v>
      </c>
      <c r="F27" s="360" t="str">
        <f>IF(OR(C27&lt;1,C27=""),"",IF('FILL QUOTE-CALCULATIONS'!$S$4="INGLES",'FILL QUOTE-CALCULATIONS'!F30,VLOOKUP('FILL QUOTE-CALCULATIONS'!F30,'DROP LIST'!$H$7:$I$19,2,0)))</f>
        <v>FRESCURA (TERGAL)</v>
      </c>
      <c r="G27" s="361">
        <f>IF(OR(C27&lt;1,C27=""),"",'FILL QUOTE-CALCULATIONS'!G30)</f>
        <v>2</v>
      </c>
      <c r="H27" s="360" t="str">
        <f>IF(OR(C27&lt;1,C27=""),"",IF('FILL QUOTE-CALCULATIONS'!$S$4="INGLES",'FILL QUOTE-CALCULATIONS'!H30,VLOOKUP('FILL QUOTE-CALCULATIONS'!H30,'DROP LIST'!$M$7:$N$10,2,0)))</f>
        <v>EN EXISTENCIA</v>
      </c>
      <c r="I27" s="360" t="str">
        <f>IF(OR(C27&lt;1,C27=""),"",IF('FILL QUOTE-CALCULATIONS'!$S$4="INGLES",'FILL QUOTE-CALCULATIONS'!I30,VLOOKUP('FILL QUOTE-CALCULATIONS'!I30,'DROP LIST'!$M$15:$N$18,2,0)))</f>
        <v>SHEER DECORATIVA</v>
      </c>
      <c r="J27" s="360" t="str">
        <f>'FILL QUOTE-CALCULATIONS'!J30</f>
        <v/>
      </c>
      <c r="K27" s="360" t="str">
        <f>IF(OR(C27&lt;1,C27=""),"",'FILL QUOTE-CALCULATIONS'!K30)</f>
        <v xml:space="preserve">SHEER BATISTE STONEWASHED </v>
      </c>
      <c r="L27" s="360" t="str">
        <f>IF(OR(C27&lt;1,C27=""),"",IF('FILL QUOTE-CALCULATIONS'!$S$4="INGLES",'FILL QUOTE-CALCULATIONS'!L30,VLOOKUP('FILL QUOTE-CALCULATIONS'!L30,'DROP LIST'!$B$25:$C$31,2,0)))</f>
        <v>N/A</v>
      </c>
      <c r="M27" s="360" t="str">
        <f>IF(OR(E27&lt;1,E27=""),"",'FILL QUOTE-CALCULATIONS'!M30)</f>
        <v xml:space="preserve">REINA 3 RECAMARA </v>
      </c>
      <c r="N27" s="362">
        <f>IF(OR(C27&lt;1,C27=""),"",'FILL QUOTE-CALCULATIONS'!N30)</f>
        <v>132</v>
      </c>
      <c r="O27" s="362">
        <f>IF(OR(C27&lt;1,C27=""),"",'FILL QUOTE-CALCULATIONS'!O30)</f>
        <v>116.5</v>
      </c>
      <c r="P27" s="360" t="str">
        <f>IF(OR(C27&lt;1,C27=""),"",IF('FILL QUOTE-CALCULATIONS'!$S$4="INGLES",'FILL QUOTE-CALCULATIONS'!P30, VLOOKUP('FILL QUOTE-CALCULATIONS'!P30,'DROP LIST'!$E$25:$F$27,2,0)))</f>
        <v>AL TECHO</v>
      </c>
      <c r="Q27" s="360" t="str">
        <f>IF(OR(C27&lt;1,C27=""),"",IF('FILL QUOTE-CALCULATIONS'!$S$4="INGLES",'FILL QUOTE-CALCULATIONS'!Q30,VLOOKUP('FILL QUOTE-CALCULATIONS'!Q30,'DROP LIST'!$H$25:$I$36,2,0)))</f>
        <v>HOTELERO - BASTON - P.P.</v>
      </c>
      <c r="R27" s="362" t="str">
        <f>IF('FILL QUOTE-CALCULATIONS'!R30="","",'FILL QUOTE-CALCULATIONS'!R30)</f>
        <v xml:space="preserve">BLANCO </v>
      </c>
      <c r="S27" s="360" t="str">
        <f>IF(OR(C27&lt;1,C27=""),"",IF('FILL QUOTE-CALCULATIONS'!$S$4="INGLES",'FILL QUOTE-CALCULATIONS'!S30,VLOOKUP('FILL QUOTE-CALCULATIONS'!S30,'DROP LIST'!$H$43:$I$46,2,0)))</f>
        <v>BLANCO</v>
      </c>
      <c r="T27" s="363">
        <f>IF(OR(C27&lt;1,C27=""),"",'FILL QUOTE-CALCULATIONS'!T30)</f>
        <v>406.8</v>
      </c>
      <c r="U27" s="364">
        <f>IF(OR(C27&lt;1,C27=""),"",'FILL QUOTE-CALCULATIONS'!W30)</f>
        <v>116.95</v>
      </c>
      <c r="V27" s="365">
        <f>IF(OR(C27&lt;1,C27=""),"",IF('FILL QUOTE-CALCULATIONS'!$S$3="DOLLARS",'FILL QUOTE-CALCULATIONS'!AB30,'FILL QUOTE-CALCULATIONS'!AB30*'FILL QUOTE-CALCULATIONS'!$AC$4))</f>
        <v>523.75</v>
      </c>
      <c r="W27" s="366">
        <f>IF(OR(C27&lt;1,C27=""),"",IF('FILL QUOTE-CALCULATIONS'!$S$3="DOLLARS",'FILL QUOTE-CALCULATIONS'!AC30,'FILL QUOTE-CALCULATIONS'!AC30*'FILL QUOTE-CALCULATIONS'!$AC$4))</f>
        <v>523.75</v>
      </c>
      <c r="Y27" s="354"/>
      <c r="AA27" s="908" t="s">
        <v>746</v>
      </c>
    </row>
    <row r="28" spans="2:27" s="353" customFormat="1" ht="30" customHeight="1" x14ac:dyDescent="0.25">
      <c r="B28" s="359">
        <f>IF(OR('FILL QUOTE-CALCULATIONS'!C31=0,'FILL QUOTE-CALCULATIONS'!C31=""),"",'FILL QUOTE-CALCULATIONS'!B31)</f>
        <v>17</v>
      </c>
      <c r="C28" s="360">
        <f>IF(OR('FILL QUOTE-CALCULATIONS'!C31&lt;1,'FILL QUOTE-CALCULATIONS'!C31=""),"",'FILL QUOTE-CALCULATIONS'!C31)</f>
        <v>1</v>
      </c>
      <c r="D28" s="360" t="str">
        <f>IF(OR(C28&lt;1,C28=""),"",IF('FILL QUOTE-CALCULATIONS'!$S$4="INGLES",'FILL QUOTE-CALCULATIONS'!D31,VLOOKUP('FILL QUOTE-CALCULATIONS'!D31,'DROP LIST'!$B$7:$C$13,2,0)))</f>
        <v>PAR</v>
      </c>
      <c r="E28" s="360" t="str">
        <f>IF(OR(C28&lt;1,C28=""),"",IF('FILL QUOTE-CALCULATIONS'!$S$4="INGLES",'FILL QUOTE-CALCULATIONS'!E31,VLOOKUP('FILL QUOTE-CALCULATIONS'!E31,'DROP LIST'!$E$7:$F$15,2,0)))</f>
        <v>PLIEGUES-GANCHOS</v>
      </c>
      <c r="F28" s="360" t="str">
        <f>IF(OR(C28&lt;1,C28=""),"",IF('FILL QUOTE-CALCULATIONS'!$S$4="INGLES",'FILL QUOTE-CALCULATIONS'!F31,VLOOKUP('FILL QUOTE-CALCULATIONS'!F31,'DROP LIST'!$H$7:$I$19,2,0)))</f>
        <v>CORTINA 'BLACKOUT'</v>
      </c>
      <c r="G28" s="361">
        <f>IF(OR(C28&lt;1,C28=""),"",'FILL QUOTE-CALCULATIONS'!G31)</f>
        <v>2</v>
      </c>
      <c r="H28" s="360" t="str">
        <f>IF(OR(C28&lt;1,C28=""),"",IF('FILL QUOTE-CALCULATIONS'!$S$4="INGLES",'FILL QUOTE-CALCULATIONS'!H31,VLOOKUP('FILL QUOTE-CALCULATIONS'!H31,'DROP LIST'!$M$7:$N$10,2,0)))</f>
        <v>EN EXISTENCIA</v>
      </c>
      <c r="I28" s="360" t="str">
        <f>IF(OR(C28&lt;1,C28=""),"",IF('FILL QUOTE-CALCULATIONS'!$S$4="INGLES",'FILL QUOTE-CALCULATIONS'!I31,VLOOKUP('FILL QUOTE-CALCULATIONS'!I31,'DROP LIST'!$M$15:$N$18,2,0)))</f>
        <v>BO TEXTURIZADO</v>
      </c>
      <c r="J28" s="360" t="str">
        <f>'FILL QUOTE-CALCULATIONS'!J31</f>
        <v/>
      </c>
      <c r="K28" s="360" t="str">
        <f>IF(OR(C28&lt;1,C28=""),"",'FILL QUOTE-CALCULATIONS'!K31)</f>
        <v xml:space="preserve">CRETA SHELL </v>
      </c>
      <c r="L28" s="360" t="str">
        <f>IF(OR(C28&lt;1,C28=""),"",IF('FILL QUOTE-CALCULATIONS'!$S$4="INGLES",'FILL QUOTE-CALCULATIONS'!L31,VLOOKUP('FILL QUOTE-CALCULATIONS'!L31,'DROP LIST'!$B$25:$C$31,2,0)))</f>
        <v>N/A</v>
      </c>
      <c r="M28" s="360" t="str">
        <f>IF(OR(E28&lt;1,E28=""),"",'FILL QUOTE-CALCULATIONS'!M31)</f>
        <v xml:space="preserve">REINA 3 COCINA </v>
      </c>
      <c r="N28" s="362">
        <f>IF(OR(C28&lt;1,C28=""),"",'FILL QUOTE-CALCULATIONS'!N31)</f>
        <v>90</v>
      </c>
      <c r="O28" s="362">
        <f>IF(OR(C28&lt;1,C28=""),"",'FILL QUOTE-CALCULATIONS'!O31)</f>
        <v>51</v>
      </c>
      <c r="P28" s="360" t="str">
        <f>IF(OR(C28&lt;1,C28=""),"",IF('FILL QUOTE-CALCULATIONS'!$S$4="INGLES",'FILL QUOTE-CALCULATIONS'!P31, VLOOKUP('FILL QUOTE-CALCULATIONS'!P31,'DROP LIST'!$E$25:$F$27,2,0)))</f>
        <v>A LA PARED</v>
      </c>
      <c r="Q28" s="360" t="str">
        <f>IF(OR(C28&lt;1,C28=""),"",IF('FILL QUOTE-CALCULATIONS'!$S$4="INGLES",'FILL QUOTE-CALCULATIONS'!Q31,VLOOKUP('FILL QUOTE-CALCULATIONS'!Q31,'DROP LIST'!$H$25:$I$36,2,0)))</f>
        <v>HOTELERO - BASTON - P.P.</v>
      </c>
      <c r="R28" s="362" t="str">
        <f>IF('FILL QUOTE-CALCULATIONS'!R31="","",'FILL QUOTE-CALCULATIONS'!R31)</f>
        <v xml:space="preserve">BLANCO </v>
      </c>
      <c r="S28" s="360" t="str">
        <f>IF(OR(C28&lt;1,C28=""),"",IF('FILL QUOTE-CALCULATIONS'!$S$4="INGLES",'FILL QUOTE-CALCULATIONS'!S31,VLOOKUP('FILL QUOTE-CALCULATIONS'!S31,'DROP LIST'!$H$43:$I$46,2,0)))</f>
        <v>BLANCO</v>
      </c>
      <c r="T28" s="363">
        <f>IF(OR(C28&lt;1,C28=""),"",'FILL QUOTE-CALCULATIONS'!T31)</f>
        <v>305.8</v>
      </c>
      <c r="U28" s="364">
        <f>IF(OR(C28&lt;1,C28=""),"",'FILL QUOTE-CALCULATIONS'!W31)</f>
        <v>78.550000000000011</v>
      </c>
      <c r="V28" s="365">
        <f>IF(OR(C28&lt;1,C28=""),"",IF('FILL QUOTE-CALCULATIONS'!$S$3="DOLLARS",'FILL QUOTE-CALCULATIONS'!AB31,'FILL QUOTE-CALCULATIONS'!AB31*'FILL QUOTE-CALCULATIONS'!$AC$4))</f>
        <v>384.35</v>
      </c>
      <c r="W28" s="366">
        <f>IF(OR(C28&lt;1,C28=""),"",IF('FILL QUOTE-CALCULATIONS'!$S$3="DOLLARS",'FILL QUOTE-CALCULATIONS'!AC31,'FILL QUOTE-CALCULATIONS'!AC31*'FILL QUOTE-CALCULATIONS'!$AC$4))</f>
        <v>384.35</v>
      </c>
      <c r="Y28" s="354"/>
      <c r="AA28" s="908" t="s">
        <v>746</v>
      </c>
    </row>
    <row r="29" spans="2:27" s="353" customFormat="1" ht="30" customHeight="1" x14ac:dyDescent="0.25">
      <c r="B29" s="359">
        <f>IF(OR('FILL QUOTE-CALCULATIONS'!C32=0,'FILL QUOTE-CALCULATIONS'!C32=""),"",'FILL QUOTE-CALCULATIONS'!B32)</f>
        <v>18</v>
      </c>
      <c r="C29" s="360">
        <f>IF(OR('FILL QUOTE-CALCULATIONS'!C32&lt;1,'FILL QUOTE-CALCULATIONS'!C32=""),"",'FILL QUOTE-CALCULATIONS'!C32)</f>
        <v>1</v>
      </c>
      <c r="D29" s="360" t="str">
        <f>IF(OR(C29&lt;1,C29=""),"",IF('FILL QUOTE-CALCULATIONS'!$S$4="INGLES",'FILL QUOTE-CALCULATIONS'!D32,VLOOKUP('FILL QUOTE-CALCULATIONS'!D32,'DROP LIST'!$B$7:$C$13,2,0)))</f>
        <v>PAR</v>
      </c>
      <c r="E29" s="360" t="str">
        <f>IF(OR(C29&lt;1,C29=""),"",IF('FILL QUOTE-CALCULATIONS'!$S$4="INGLES",'FILL QUOTE-CALCULATIONS'!E32,VLOOKUP('FILL QUOTE-CALCULATIONS'!E32,'DROP LIST'!$E$7:$F$15,2,0)))</f>
        <v>PLIEGUES-GANCHOS</v>
      </c>
      <c r="F29" s="360" t="str">
        <f>IF(OR(C29&lt;1,C29=""),"",IF('FILL QUOTE-CALCULATIONS'!$S$4="INGLES",'FILL QUOTE-CALCULATIONS'!F32,VLOOKUP('FILL QUOTE-CALCULATIONS'!F32,'DROP LIST'!$H$7:$I$19,2,0)))</f>
        <v>FRESCURA (TERGAL)</v>
      </c>
      <c r="G29" s="361">
        <f>IF(OR(C29&lt;1,C29=""),"",'FILL QUOTE-CALCULATIONS'!G32)</f>
        <v>2</v>
      </c>
      <c r="H29" s="360" t="str">
        <f>IF(OR(C29&lt;1,C29=""),"",IF('FILL QUOTE-CALCULATIONS'!$S$4="INGLES",'FILL QUOTE-CALCULATIONS'!H32,VLOOKUP('FILL QUOTE-CALCULATIONS'!H32,'DROP LIST'!$M$7:$N$10,2,0)))</f>
        <v>EN EXISTENCIA</v>
      </c>
      <c r="I29" s="360" t="str">
        <f>IF(OR(C29&lt;1,C29=""),"",IF('FILL QUOTE-CALCULATIONS'!$S$4="INGLES",'FILL QUOTE-CALCULATIONS'!I32,VLOOKUP('FILL QUOTE-CALCULATIONS'!I32,'DROP LIST'!$M$15:$N$18,2,0)))</f>
        <v>SHEER DECORATIVA</v>
      </c>
      <c r="J29" s="360" t="str">
        <f>'FILL QUOTE-CALCULATIONS'!J32</f>
        <v/>
      </c>
      <c r="K29" s="360" t="str">
        <f>IF(OR(C29&lt;1,C29=""),"",'FILL QUOTE-CALCULATIONS'!K32)</f>
        <v xml:space="preserve">SHEER BATISTE STONEWASHED </v>
      </c>
      <c r="L29" s="360" t="str">
        <f>IF(OR(C29&lt;1,C29=""),"",IF('FILL QUOTE-CALCULATIONS'!$S$4="INGLES",'FILL QUOTE-CALCULATIONS'!L32,VLOOKUP('FILL QUOTE-CALCULATIONS'!L32,'DROP LIST'!$B$25:$C$31,2,0)))</f>
        <v>N/A</v>
      </c>
      <c r="M29" s="360" t="str">
        <f>IF(OR(E29&lt;1,E29=""),"",'FILL QUOTE-CALCULATIONS'!M32)</f>
        <v xml:space="preserve">REINA 3 COCINA </v>
      </c>
      <c r="N29" s="362">
        <f>IF(OR(C29&lt;1,C29=""),"",'FILL QUOTE-CALCULATIONS'!N32)</f>
        <v>90</v>
      </c>
      <c r="O29" s="362">
        <f>IF(OR(C29&lt;1,C29=""),"",'FILL QUOTE-CALCULATIONS'!O32)</f>
        <v>51</v>
      </c>
      <c r="P29" s="360" t="str">
        <f>IF(OR(C29&lt;1,C29=""),"",IF('FILL QUOTE-CALCULATIONS'!$S$4="INGLES",'FILL QUOTE-CALCULATIONS'!P32, VLOOKUP('FILL QUOTE-CALCULATIONS'!P32,'DROP LIST'!$E$25:$F$27,2,0)))</f>
        <v>A LA PARED</v>
      </c>
      <c r="Q29" s="360" t="str">
        <f>IF(OR(C29&lt;1,C29=""),"",IF('FILL QUOTE-CALCULATIONS'!$S$4="INGLES",'FILL QUOTE-CALCULATIONS'!Q32,VLOOKUP('FILL QUOTE-CALCULATIONS'!Q32,'DROP LIST'!$H$25:$I$36,2,0)))</f>
        <v>HOTELERO - BASTON - P.P.</v>
      </c>
      <c r="R29" s="362" t="str">
        <f>IF('FILL QUOTE-CALCULATIONS'!R32="","",'FILL QUOTE-CALCULATIONS'!R32)</f>
        <v xml:space="preserve">BLANCO </v>
      </c>
      <c r="S29" s="360" t="str">
        <f>IF(OR(C29&lt;1,C29=""),"",IF('FILL QUOTE-CALCULATIONS'!$S$4="INGLES",'FILL QUOTE-CALCULATIONS'!S32,VLOOKUP('FILL QUOTE-CALCULATIONS'!S32,'DROP LIST'!$H$43:$I$46,2,0)))</f>
        <v>BLANCO</v>
      </c>
      <c r="T29" s="363">
        <f>IF(OR(C29&lt;1,C29=""),"",'FILL QUOTE-CALCULATIONS'!T32)</f>
        <v>255.8</v>
      </c>
      <c r="U29" s="364">
        <f>IF(OR(C29&lt;1,C29=""),"",'FILL QUOTE-CALCULATIONS'!W32)</f>
        <v>78.550000000000011</v>
      </c>
      <c r="V29" s="365">
        <f>IF(OR(C29&lt;1,C29=""),"",IF('FILL QUOTE-CALCULATIONS'!$S$3="DOLLARS",'FILL QUOTE-CALCULATIONS'!AB32,'FILL QUOTE-CALCULATIONS'!AB32*'FILL QUOTE-CALCULATIONS'!$AC$4))</f>
        <v>334.35</v>
      </c>
      <c r="W29" s="366">
        <f>IF(OR(C29&lt;1,C29=""),"",IF('FILL QUOTE-CALCULATIONS'!$S$3="DOLLARS",'FILL QUOTE-CALCULATIONS'!AC32,'FILL QUOTE-CALCULATIONS'!AC32*'FILL QUOTE-CALCULATIONS'!$AC$4))</f>
        <v>334.35</v>
      </c>
      <c r="Y29" s="354"/>
      <c r="AA29" s="908" t="s">
        <v>746</v>
      </c>
    </row>
    <row r="30" spans="2:27" s="353" customFormat="1" ht="30" customHeight="1" x14ac:dyDescent="0.25">
      <c r="B30" s="359">
        <f>IF(OR('FILL QUOTE-CALCULATIONS'!C33=0,'FILL QUOTE-CALCULATIONS'!C33=""),"",'FILL QUOTE-CALCULATIONS'!B33)</f>
        <v>19</v>
      </c>
      <c r="C30" s="360">
        <f>IF(OR('FILL QUOTE-CALCULATIONS'!C33&lt;1,'FILL QUOTE-CALCULATIONS'!C33=""),"",'FILL QUOTE-CALCULATIONS'!C33)</f>
        <v>1</v>
      </c>
      <c r="D30" s="360" t="str">
        <f>IF(OR(C30&lt;1,C30=""),"",IF('FILL QUOTE-CALCULATIONS'!$S$4="INGLES",'FILL QUOTE-CALCULATIONS'!D33,VLOOKUP('FILL QUOTE-CALCULATIONS'!D33,'DROP LIST'!$B$7:$C$13,2,0)))</f>
        <v>PAR</v>
      </c>
      <c r="E30" s="360" t="str">
        <f>IF(OR(C30&lt;1,C30=""),"",IF('FILL QUOTE-CALCULATIONS'!$S$4="INGLES",'FILL QUOTE-CALCULATIONS'!E33,VLOOKUP('FILL QUOTE-CALCULATIONS'!E33,'DROP LIST'!$E$7:$F$15,2,0)))</f>
        <v>PLIEGUES-GANCHOS</v>
      </c>
      <c r="F30" s="360" t="str">
        <f>IF(OR(C30&lt;1,C30=""),"",IF('FILL QUOTE-CALCULATIONS'!$S$4="INGLES",'FILL QUOTE-CALCULATIONS'!F33,VLOOKUP('FILL QUOTE-CALCULATIONS'!F33,'DROP LIST'!$H$7:$I$19,2,0)))</f>
        <v>CORTINA 'BLACKOUT'</v>
      </c>
      <c r="G30" s="361">
        <f>IF(OR(C30&lt;1,C30=""),"",'FILL QUOTE-CALCULATIONS'!G33)</f>
        <v>2</v>
      </c>
      <c r="H30" s="360" t="str">
        <f>IF(OR(C30&lt;1,C30=""),"",IF('FILL QUOTE-CALCULATIONS'!$S$4="INGLES",'FILL QUOTE-CALCULATIONS'!H33,VLOOKUP('FILL QUOTE-CALCULATIONS'!H33,'DROP LIST'!$M$7:$N$10,2,0)))</f>
        <v>EN EXISTENCIA</v>
      </c>
      <c r="I30" s="360" t="str">
        <f>IF(OR(C30&lt;1,C30=""),"",IF('FILL QUOTE-CALCULATIONS'!$S$4="INGLES",'FILL QUOTE-CALCULATIONS'!I33,VLOOKUP('FILL QUOTE-CALCULATIONS'!I33,'DROP LIST'!$M$15:$N$18,2,0)))</f>
        <v>BO TEXTURIZADO</v>
      </c>
      <c r="J30" s="360" t="str">
        <f>'FILL QUOTE-CALCULATIONS'!J33</f>
        <v/>
      </c>
      <c r="K30" s="360" t="str">
        <f>IF(OR(C30&lt;1,C30=""),"",'FILL QUOTE-CALCULATIONS'!K33)</f>
        <v xml:space="preserve">CRETA SHELL </v>
      </c>
      <c r="L30" s="360" t="str">
        <f>IF(OR(C30&lt;1,C30=""),"",IF('FILL QUOTE-CALCULATIONS'!$S$4="INGLES",'FILL QUOTE-CALCULATIONS'!L33,VLOOKUP('FILL QUOTE-CALCULATIONS'!L33,'DROP LIST'!$B$25:$C$31,2,0)))</f>
        <v>N/A</v>
      </c>
      <c r="M30" s="360" t="str">
        <f>IF(OR(E30&lt;1,E30=""),"",'FILL QUOTE-CALCULATIONS'!M33)</f>
        <v xml:space="preserve">REINA 4 SALA </v>
      </c>
      <c r="N30" s="362">
        <f>IF(OR(C30&lt;1,C30=""),"",'FILL QUOTE-CALCULATIONS'!N33)</f>
        <v>107</v>
      </c>
      <c r="O30" s="362">
        <f>IF(OR(C30&lt;1,C30=""),"",'FILL QUOTE-CALCULATIONS'!O33)</f>
        <v>117.75</v>
      </c>
      <c r="P30" s="360" t="str">
        <f>IF(OR(C30&lt;1,C30=""),"",IF('FILL QUOTE-CALCULATIONS'!$S$4="INGLES",'FILL QUOTE-CALCULATIONS'!P33, VLOOKUP('FILL QUOTE-CALCULATIONS'!P33,'DROP LIST'!$E$25:$F$27,2,0)))</f>
        <v>AL TECHO</v>
      </c>
      <c r="Q30" s="360" t="str">
        <f>IF(OR(C30&lt;1,C30=""),"",IF('FILL QUOTE-CALCULATIONS'!$S$4="INGLES",'FILL QUOTE-CALCULATIONS'!Q33,VLOOKUP('FILL QUOTE-CALCULATIONS'!Q33,'DROP LIST'!$H$25:$I$36,2,0)))</f>
        <v>HOTELERO - BASTON - P.P.</v>
      </c>
      <c r="R30" s="362" t="str">
        <f>IF('FILL QUOTE-CALCULATIONS'!R33="","",'FILL QUOTE-CALCULATIONS'!R33)</f>
        <v xml:space="preserve">BLANCO </v>
      </c>
      <c r="S30" s="360" t="str">
        <f>IF(OR(C30&lt;1,C30=""),"",IF('FILL QUOTE-CALCULATIONS'!$S$4="INGLES",'FILL QUOTE-CALCULATIONS'!S33,VLOOKUP('FILL QUOTE-CALCULATIONS'!S33,'DROP LIST'!$H$43:$I$46,2,0)))</f>
        <v>BLANCO</v>
      </c>
      <c r="T30" s="363">
        <f>IF(OR(C30&lt;1,C30=""),"",'FILL QUOTE-CALCULATIONS'!T33)</f>
        <v>594.25</v>
      </c>
      <c r="U30" s="364">
        <f>IF(OR(C30&lt;1,C30=""),"",'FILL QUOTE-CALCULATIONS'!W33)</f>
        <v>97.7</v>
      </c>
      <c r="V30" s="365">
        <f>IF(OR(C30&lt;1,C30=""),"",IF('FILL QUOTE-CALCULATIONS'!$S$3="DOLLARS",'FILL QUOTE-CALCULATIONS'!AB33,'FILL QUOTE-CALCULATIONS'!AB33*'FILL QUOTE-CALCULATIONS'!$AC$4))</f>
        <v>691.95</v>
      </c>
      <c r="W30" s="366">
        <f>IF(OR(C30&lt;1,C30=""),"",IF('FILL QUOTE-CALCULATIONS'!$S$3="DOLLARS",'FILL QUOTE-CALCULATIONS'!AC33,'FILL QUOTE-CALCULATIONS'!AC33*'FILL QUOTE-CALCULATIONS'!$AC$4))</f>
        <v>691.95</v>
      </c>
      <c r="Y30" s="354"/>
      <c r="AA30" s="908" t="s">
        <v>746</v>
      </c>
    </row>
    <row r="31" spans="2:27" s="353" customFormat="1" ht="30" customHeight="1" x14ac:dyDescent="0.25">
      <c r="B31" s="359">
        <f>IF(OR('FILL QUOTE-CALCULATIONS'!C34=0,'FILL QUOTE-CALCULATIONS'!C34=""),"",'FILL QUOTE-CALCULATIONS'!B34)</f>
        <v>20</v>
      </c>
      <c r="C31" s="360">
        <f>IF(OR('FILL QUOTE-CALCULATIONS'!C34&lt;1,'FILL QUOTE-CALCULATIONS'!C34=""),"",'FILL QUOTE-CALCULATIONS'!C34)</f>
        <v>1</v>
      </c>
      <c r="D31" s="360" t="str">
        <f>IF(OR(C31&lt;1,C31=""),"",IF('FILL QUOTE-CALCULATIONS'!$S$4="INGLES",'FILL QUOTE-CALCULATIONS'!D34,VLOOKUP('FILL QUOTE-CALCULATIONS'!D34,'DROP LIST'!$B$7:$C$13,2,0)))</f>
        <v>PAR</v>
      </c>
      <c r="E31" s="360" t="str">
        <f>IF(OR(C31&lt;1,C31=""),"",IF('FILL QUOTE-CALCULATIONS'!$S$4="INGLES",'FILL QUOTE-CALCULATIONS'!E34,VLOOKUP('FILL QUOTE-CALCULATIONS'!E34,'DROP LIST'!$E$7:$F$15,2,0)))</f>
        <v>PLIEGUES-GANCHOS</v>
      </c>
      <c r="F31" s="360" t="str">
        <f>IF(OR(C31&lt;1,C31=""),"",IF('FILL QUOTE-CALCULATIONS'!$S$4="INGLES",'FILL QUOTE-CALCULATIONS'!F34,VLOOKUP('FILL QUOTE-CALCULATIONS'!F34,'DROP LIST'!$H$7:$I$19,2,0)))</f>
        <v>FRESCURA (TERGAL)</v>
      </c>
      <c r="G31" s="361">
        <f>IF(OR(C31&lt;1,C31=""),"",'FILL QUOTE-CALCULATIONS'!G34)</f>
        <v>2</v>
      </c>
      <c r="H31" s="360" t="str">
        <f>IF(OR(C31&lt;1,C31=""),"",IF('FILL QUOTE-CALCULATIONS'!$S$4="INGLES",'FILL QUOTE-CALCULATIONS'!H34,VLOOKUP('FILL QUOTE-CALCULATIONS'!H34,'DROP LIST'!$M$7:$N$10,2,0)))</f>
        <v>EN EXISTENCIA</v>
      </c>
      <c r="I31" s="360" t="str">
        <f>IF(OR(C31&lt;1,C31=""),"",IF('FILL QUOTE-CALCULATIONS'!$S$4="INGLES",'FILL QUOTE-CALCULATIONS'!I34,VLOOKUP('FILL QUOTE-CALCULATIONS'!I34,'DROP LIST'!$M$15:$N$18,2,0)))</f>
        <v>SHEER DECORATIVA</v>
      </c>
      <c r="J31" s="360" t="str">
        <f>'FILL QUOTE-CALCULATIONS'!J34</f>
        <v/>
      </c>
      <c r="K31" s="360" t="str">
        <f>IF(OR(C31&lt;1,C31=""),"",'FILL QUOTE-CALCULATIONS'!K34)</f>
        <v xml:space="preserve">SHEER BATISTE STONEWASHED </v>
      </c>
      <c r="L31" s="360" t="str">
        <f>IF(OR(C31&lt;1,C31=""),"",IF('FILL QUOTE-CALCULATIONS'!$S$4="INGLES",'FILL QUOTE-CALCULATIONS'!L34,VLOOKUP('FILL QUOTE-CALCULATIONS'!L34,'DROP LIST'!$B$25:$C$31,2,0)))</f>
        <v>N/A</v>
      </c>
      <c r="M31" s="360" t="str">
        <f>IF(OR(E31&lt;1,E31=""),"",'FILL QUOTE-CALCULATIONS'!M34)</f>
        <v xml:space="preserve">REINA 4 SALA </v>
      </c>
      <c r="N31" s="362">
        <f>IF(OR(C31&lt;1,C31=""),"",'FILL QUOTE-CALCULATIONS'!N34)</f>
        <v>107</v>
      </c>
      <c r="O31" s="362">
        <f>IF(OR(C31&lt;1,C31=""),"",'FILL QUOTE-CALCULATIONS'!O34)</f>
        <v>117.75</v>
      </c>
      <c r="P31" s="360" t="str">
        <f>IF(OR(C31&lt;1,C31=""),"",IF('FILL QUOTE-CALCULATIONS'!$S$4="INGLES",'FILL QUOTE-CALCULATIONS'!P34, VLOOKUP('FILL QUOTE-CALCULATIONS'!P34,'DROP LIST'!$E$25:$F$27,2,0)))</f>
        <v>AL TECHO</v>
      </c>
      <c r="Q31" s="360" t="str">
        <f>IF(OR(C31&lt;1,C31=""),"",IF('FILL QUOTE-CALCULATIONS'!$S$4="INGLES",'FILL QUOTE-CALCULATIONS'!Q34,VLOOKUP('FILL QUOTE-CALCULATIONS'!Q34,'DROP LIST'!$H$25:$I$36,2,0)))</f>
        <v>HOTELERO - BASTON - P.P.</v>
      </c>
      <c r="R31" s="362" t="str">
        <f>IF('FILL QUOTE-CALCULATIONS'!R34="","",'FILL QUOTE-CALCULATIONS'!R34)</f>
        <v xml:space="preserve">BLANCO </v>
      </c>
      <c r="S31" s="360" t="str">
        <f>IF(OR(C31&lt;1,C31=""),"",IF('FILL QUOTE-CALCULATIONS'!$S$4="INGLES",'FILL QUOTE-CALCULATIONS'!S34,VLOOKUP('FILL QUOTE-CALCULATIONS'!S34,'DROP LIST'!$H$43:$I$46,2,0)))</f>
        <v>BLANCO</v>
      </c>
      <c r="T31" s="363">
        <f>IF(OR(C31&lt;1,C31=""),"",'FILL QUOTE-CALCULATIONS'!T34)</f>
        <v>333.40000000000003</v>
      </c>
      <c r="U31" s="364">
        <f>IF(OR(C31&lt;1,C31=""),"",'FILL QUOTE-CALCULATIONS'!W34)</f>
        <v>97.7</v>
      </c>
      <c r="V31" s="365">
        <f>IF(OR(C31&lt;1,C31=""),"",IF('FILL QUOTE-CALCULATIONS'!$S$3="DOLLARS",'FILL QUOTE-CALCULATIONS'!AB34,'FILL QUOTE-CALCULATIONS'!AB34*'FILL QUOTE-CALCULATIONS'!$AC$4))</f>
        <v>431.1</v>
      </c>
      <c r="W31" s="366">
        <f>IF(OR(C31&lt;1,C31=""),"",IF('FILL QUOTE-CALCULATIONS'!$S$3="DOLLARS",'FILL QUOTE-CALCULATIONS'!AC34,'FILL QUOTE-CALCULATIONS'!AC34*'FILL QUOTE-CALCULATIONS'!$AC$4))</f>
        <v>431.1</v>
      </c>
      <c r="Y31" s="354"/>
      <c r="AA31" s="908" t="s">
        <v>746</v>
      </c>
    </row>
    <row r="32" spans="2:27" s="353" customFormat="1" ht="30" customHeight="1" x14ac:dyDescent="0.25">
      <c r="B32" s="359">
        <f>IF(OR('FILL QUOTE-CALCULATIONS'!C35=0,'FILL QUOTE-CALCULATIONS'!C35=""),"",'FILL QUOTE-CALCULATIONS'!B35)</f>
        <v>21</v>
      </c>
      <c r="C32" s="360">
        <f>IF(OR('FILL QUOTE-CALCULATIONS'!C35&lt;1,'FILL QUOTE-CALCULATIONS'!C35=""),"",'FILL QUOTE-CALCULATIONS'!C35)</f>
        <v>1</v>
      </c>
      <c r="D32" s="360" t="str">
        <f>IF(OR(C32&lt;1,C32=""),"",IF('FILL QUOTE-CALCULATIONS'!$S$4="INGLES",'FILL QUOTE-CALCULATIONS'!D35,VLOOKUP('FILL QUOTE-CALCULATIONS'!D35,'DROP LIST'!$B$7:$C$13,2,0)))</f>
        <v>PAR</v>
      </c>
      <c r="E32" s="360" t="str">
        <f>IF(OR(C32&lt;1,C32=""),"",IF('FILL QUOTE-CALCULATIONS'!$S$4="INGLES",'FILL QUOTE-CALCULATIONS'!E35,VLOOKUP('FILL QUOTE-CALCULATIONS'!E35,'DROP LIST'!$E$7:$F$15,2,0)))</f>
        <v>PLIEGUES-GANCHOS</v>
      </c>
      <c r="F32" s="360" t="str">
        <f>IF(OR(C32&lt;1,C32=""),"",IF('FILL QUOTE-CALCULATIONS'!$S$4="INGLES",'FILL QUOTE-CALCULATIONS'!F35,VLOOKUP('FILL QUOTE-CALCULATIONS'!F35,'DROP LIST'!$H$7:$I$19,2,0)))</f>
        <v>CORTINA 'BLACKOUT'</v>
      </c>
      <c r="G32" s="361">
        <f>IF(OR(C32&lt;1,C32=""),"",'FILL QUOTE-CALCULATIONS'!G35)</f>
        <v>2</v>
      </c>
      <c r="H32" s="360" t="str">
        <f>IF(OR(C32&lt;1,C32=""),"",IF('FILL QUOTE-CALCULATIONS'!$S$4="INGLES",'FILL QUOTE-CALCULATIONS'!H35,VLOOKUP('FILL QUOTE-CALCULATIONS'!H35,'DROP LIST'!$M$7:$N$10,2,0)))</f>
        <v>EN EXISTENCIA</v>
      </c>
      <c r="I32" s="360" t="str">
        <f>IF(OR(C32&lt;1,C32=""),"",IF('FILL QUOTE-CALCULATIONS'!$S$4="INGLES",'FILL QUOTE-CALCULATIONS'!I35,VLOOKUP('FILL QUOTE-CALCULATIONS'!I35,'DROP LIST'!$M$15:$N$18,2,0)))</f>
        <v>BO TEXTURIZADO</v>
      </c>
      <c r="J32" s="360" t="str">
        <f>'FILL QUOTE-CALCULATIONS'!J35</f>
        <v/>
      </c>
      <c r="K32" s="360" t="str">
        <f>IF(OR(C32&lt;1,C32=""),"",'FILL QUOTE-CALCULATIONS'!K35)</f>
        <v xml:space="preserve">CRETA SHELL </v>
      </c>
      <c r="L32" s="360" t="str">
        <f>IF(OR(C32&lt;1,C32=""),"",IF('FILL QUOTE-CALCULATIONS'!$S$4="INGLES",'FILL QUOTE-CALCULATIONS'!L35,VLOOKUP('FILL QUOTE-CALCULATIONS'!L35,'DROP LIST'!$B$25:$C$31,2,0)))</f>
        <v>N/A</v>
      </c>
      <c r="M32" s="360" t="str">
        <f>IF(OR(E32&lt;1,E32=""),"",'FILL QUOTE-CALCULATIONS'!M35)</f>
        <v xml:space="preserve">REINA 4 RECAMARA </v>
      </c>
      <c r="N32" s="362">
        <f>IF(OR(C32&lt;1,C32=""),"",'FILL QUOTE-CALCULATIONS'!N35)</f>
        <v>137</v>
      </c>
      <c r="O32" s="362">
        <f>IF(OR(C32&lt;1,C32=""),"",'FILL QUOTE-CALCULATIONS'!O35)</f>
        <v>117.5</v>
      </c>
      <c r="P32" s="360" t="str">
        <f>IF(OR(C32&lt;1,C32=""),"",IF('FILL QUOTE-CALCULATIONS'!$S$4="INGLES",'FILL QUOTE-CALCULATIONS'!P35, VLOOKUP('FILL QUOTE-CALCULATIONS'!P35,'DROP LIST'!$E$25:$F$27,2,0)))</f>
        <v>AL TECHO</v>
      </c>
      <c r="Q32" s="360" t="str">
        <f>IF(OR(C32&lt;1,C32=""),"",IF('FILL QUOTE-CALCULATIONS'!$S$4="INGLES",'FILL QUOTE-CALCULATIONS'!Q35,VLOOKUP('FILL QUOTE-CALCULATIONS'!Q35,'DROP LIST'!$H$25:$I$36,2,0)))</f>
        <v>HOTELERO - BASTON - P.P.</v>
      </c>
      <c r="R32" s="362" t="str">
        <f>IF('FILL QUOTE-CALCULATIONS'!R35="","",'FILL QUOTE-CALCULATIONS'!R35)</f>
        <v xml:space="preserve">BLANCO </v>
      </c>
      <c r="S32" s="360" t="str">
        <f>IF(OR(C32&lt;1,C32=""),"",IF('FILL QUOTE-CALCULATIONS'!$S$4="INGLES",'FILL QUOTE-CALCULATIONS'!S35,VLOOKUP('FILL QUOTE-CALCULATIONS'!S35,'DROP LIST'!$H$43:$I$46,2,0)))</f>
        <v>BLANCO</v>
      </c>
      <c r="T32" s="363">
        <f>IF(OR(C32&lt;1,C32=""),"",'FILL QUOTE-CALCULATIONS'!T35)</f>
        <v>724.75</v>
      </c>
      <c r="U32" s="364">
        <f>IF(OR(C32&lt;1,C32=""),"",'FILL QUOTE-CALCULATIONS'!W35)</f>
        <v>120.80000000000001</v>
      </c>
      <c r="V32" s="365">
        <f>IF(OR(C32&lt;1,C32=""),"",IF('FILL QUOTE-CALCULATIONS'!$S$3="DOLLARS",'FILL QUOTE-CALCULATIONS'!AB35,'FILL QUOTE-CALCULATIONS'!AB35*'FILL QUOTE-CALCULATIONS'!$AC$4))</f>
        <v>845.55</v>
      </c>
      <c r="W32" s="366">
        <f>IF(OR(C32&lt;1,C32=""),"",IF('FILL QUOTE-CALCULATIONS'!$S$3="DOLLARS",'FILL QUOTE-CALCULATIONS'!AC35,'FILL QUOTE-CALCULATIONS'!AC35*'FILL QUOTE-CALCULATIONS'!$AC$4))</f>
        <v>845.55</v>
      </c>
      <c r="Y32" s="354"/>
      <c r="AA32" s="369" t="str">
        <f t="shared" ref="AA32:AA59" si="0">IF(C32="","ESCONDER","A LA VISTA")</f>
        <v>A LA VISTA</v>
      </c>
    </row>
    <row r="33" spans="2:27" s="353" customFormat="1" ht="30" customHeight="1" x14ac:dyDescent="0.25">
      <c r="B33" s="359">
        <f>IF(OR('FILL QUOTE-CALCULATIONS'!C36=0,'FILL QUOTE-CALCULATIONS'!C36=""),"",'FILL QUOTE-CALCULATIONS'!B36)</f>
        <v>22</v>
      </c>
      <c r="C33" s="360">
        <f>IF(OR('FILL QUOTE-CALCULATIONS'!C36&lt;1,'FILL QUOTE-CALCULATIONS'!C36=""),"",'FILL QUOTE-CALCULATIONS'!C36)</f>
        <v>1</v>
      </c>
      <c r="D33" s="360" t="str">
        <f>IF(OR(C33&lt;1,C33=""),"",IF('FILL QUOTE-CALCULATIONS'!$S$4="INGLES",'FILL QUOTE-CALCULATIONS'!D36,VLOOKUP('FILL QUOTE-CALCULATIONS'!D36,'DROP LIST'!$B$7:$C$13,2,0)))</f>
        <v>PAR</v>
      </c>
      <c r="E33" s="360" t="str">
        <f>IF(OR(C33&lt;1,C33=""),"",IF('FILL QUOTE-CALCULATIONS'!$S$4="INGLES",'FILL QUOTE-CALCULATIONS'!E36,VLOOKUP('FILL QUOTE-CALCULATIONS'!E36,'DROP LIST'!$E$7:$F$15,2,0)))</f>
        <v>PLIEGUES-GANCHOS</v>
      </c>
      <c r="F33" s="360" t="str">
        <f>IF(OR(C33&lt;1,C33=""),"",IF('FILL QUOTE-CALCULATIONS'!$S$4="INGLES",'FILL QUOTE-CALCULATIONS'!F36,VLOOKUP('FILL QUOTE-CALCULATIONS'!F36,'DROP LIST'!$H$7:$I$19,2,0)))</f>
        <v>FRESCURA (TERGAL)</v>
      </c>
      <c r="G33" s="361">
        <f>IF(OR(C33&lt;1,C33=""),"",'FILL QUOTE-CALCULATIONS'!G36)</f>
        <v>2</v>
      </c>
      <c r="H33" s="360" t="str">
        <f>IF(OR(C33&lt;1,C33=""),"",IF('FILL QUOTE-CALCULATIONS'!$S$4="INGLES",'FILL QUOTE-CALCULATIONS'!H36,VLOOKUP('FILL QUOTE-CALCULATIONS'!H36,'DROP LIST'!$M$7:$N$10,2,0)))</f>
        <v>EN EXISTENCIA</v>
      </c>
      <c r="I33" s="360" t="str">
        <f>IF(OR(C33&lt;1,C33=""),"",IF('FILL QUOTE-CALCULATIONS'!$S$4="INGLES",'FILL QUOTE-CALCULATIONS'!I36,VLOOKUP('FILL QUOTE-CALCULATIONS'!I36,'DROP LIST'!$M$15:$N$18,2,0)))</f>
        <v>SHEER DECORATIVA</v>
      </c>
      <c r="J33" s="360" t="str">
        <f>'FILL QUOTE-CALCULATIONS'!J36</f>
        <v/>
      </c>
      <c r="K33" s="360" t="str">
        <f>IF(OR(C33&lt;1,C33=""),"",'FILL QUOTE-CALCULATIONS'!K36)</f>
        <v xml:space="preserve">SHEER BATISTE STONEWASHED </v>
      </c>
      <c r="L33" s="360" t="str">
        <f>IF(OR(C33&lt;1,C33=""),"",IF('FILL QUOTE-CALCULATIONS'!$S$4="INGLES",'FILL QUOTE-CALCULATIONS'!L36,VLOOKUP('FILL QUOTE-CALCULATIONS'!L36,'DROP LIST'!$B$25:$C$31,2,0)))</f>
        <v>N/A</v>
      </c>
      <c r="M33" s="360" t="str">
        <f>IF(OR(E33&lt;1,E33=""),"",'FILL QUOTE-CALCULATIONS'!M36)</f>
        <v xml:space="preserve">REINA 4 RECAMARA </v>
      </c>
      <c r="N33" s="362">
        <f>IF(OR(C33&lt;1,C33=""),"",'FILL QUOTE-CALCULATIONS'!N36)</f>
        <v>137</v>
      </c>
      <c r="O33" s="362">
        <f>IF(OR(C33&lt;1,C33=""),"",'FILL QUOTE-CALCULATIONS'!O36)</f>
        <v>117.5</v>
      </c>
      <c r="P33" s="360" t="str">
        <f>IF(OR(C33&lt;1,C33=""),"",IF('FILL QUOTE-CALCULATIONS'!$S$4="INGLES",'FILL QUOTE-CALCULATIONS'!P36, VLOOKUP('FILL QUOTE-CALCULATIONS'!P36,'DROP LIST'!$E$25:$F$27,2,0)))</f>
        <v>AL TECHO</v>
      </c>
      <c r="Q33" s="360" t="str">
        <f>IF(OR(C33&lt;1,C33=""),"",IF('FILL QUOTE-CALCULATIONS'!$S$4="INGLES",'FILL QUOTE-CALCULATIONS'!Q36,VLOOKUP('FILL QUOTE-CALCULATIONS'!Q36,'DROP LIST'!$H$25:$I$36,2,0)))</f>
        <v>HOTELERO - BASTON - P.P.</v>
      </c>
      <c r="R33" s="362" t="str">
        <f>IF('FILL QUOTE-CALCULATIONS'!R36="","",'FILL QUOTE-CALCULATIONS'!R36)</f>
        <v xml:space="preserve">BLANCO </v>
      </c>
      <c r="S33" s="360" t="str">
        <f>IF(OR(C33&lt;1,C33=""),"",IF('FILL QUOTE-CALCULATIONS'!$S$4="INGLES",'FILL QUOTE-CALCULATIONS'!S36,VLOOKUP('FILL QUOTE-CALCULATIONS'!S36,'DROP LIST'!$H$43:$I$46,2,0)))</f>
        <v>BLANCO</v>
      </c>
      <c r="T33" s="363">
        <f>IF(OR(C33&lt;1,C33=""),"",'FILL QUOTE-CALCULATIONS'!T36)</f>
        <v>414.75</v>
      </c>
      <c r="U33" s="364">
        <f>IF(OR(C33&lt;1,C33=""),"",'FILL QUOTE-CALCULATIONS'!W36)</f>
        <v>120.80000000000001</v>
      </c>
      <c r="V33" s="365">
        <f>IF(OR(C33&lt;1,C33=""),"",IF('FILL QUOTE-CALCULATIONS'!$S$3="DOLLARS",'FILL QUOTE-CALCULATIONS'!AB36,'FILL QUOTE-CALCULATIONS'!AB36*'FILL QUOTE-CALCULATIONS'!$AC$4))</f>
        <v>535.54999999999995</v>
      </c>
      <c r="W33" s="366">
        <f>IF(OR(C33&lt;1,C33=""),"",IF('FILL QUOTE-CALCULATIONS'!$S$3="DOLLARS",'FILL QUOTE-CALCULATIONS'!AC36,'FILL QUOTE-CALCULATIONS'!AC36*'FILL QUOTE-CALCULATIONS'!$AC$4))</f>
        <v>535.54999999999995</v>
      </c>
      <c r="Y33" s="354"/>
      <c r="AA33" s="369" t="str">
        <f t="shared" si="0"/>
        <v>A LA VISTA</v>
      </c>
    </row>
    <row r="34" spans="2:27" s="353" customFormat="1" ht="30" customHeight="1" x14ac:dyDescent="0.25">
      <c r="B34" s="359">
        <f>IF(OR('FILL QUOTE-CALCULATIONS'!C37=0,'FILL QUOTE-CALCULATIONS'!C37=""),"",'FILL QUOTE-CALCULATIONS'!B37)</f>
        <v>23</v>
      </c>
      <c r="C34" s="360">
        <f>IF(OR('FILL QUOTE-CALCULATIONS'!C37&lt;1,'FILL QUOTE-CALCULATIONS'!C37=""),"",'FILL QUOTE-CALCULATIONS'!C37)</f>
        <v>1</v>
      </c>
      <c r="D34" s="360" t="str">
        <f>IF(OR(C34&lt;1,C34=""),"",IF('FILL QUOTE-CALCULATIONS'!$S$4="INGLES",'FILL QUOTE-CALCULATIONS'!D37,VLOOKUP('FILL QUOTE-CALCULATIONS'!D37,'DROP LIST'!$B$7:$C$13,2,0)))</f>
        <v>PAR</v>
      </c>
      <c r="E34" s="360" t="str">
        <f>IF(OR(C34&lt;1,C34=""),"",IF('FILL QUOTE-CALCULATIONS'!$S$4="INGLES",'FILL QUOTE-CALCULATIONS'!E37,VLOOKUP('FILL QUOTE-CALCULATIONS'!E37,'DROP LIST'!$E$7:$F$15,2,0)))</f>
        <v>PLIEGUES-GANCHOS</v>
      </c>
      <c r="F34" s="360" t="str">
        <f>IF(OR(C34&lt;1,C34=""),"",IF('FILL QUOTE-CALCULATIONS'!$S$4="INGLES",'FILL QUOTE-CALCULATIONS'!F37,VLOOKUP('FILL QUOTE-CALCULATIONS'!F37,'DROP LIST'!$H$7:$I$19,2,0)))</f>
        <v>CORTINA 'BLACKOUT'</v>
      </c>
      <c r="G34" s="361">
        <f>IF(OR(C34&lt;1,C34=""),"",'FILL QUOTE-CALCULATIONS'!G37)</f>
        <v>2</v>
      </c>
      <c r="H34" s="360" t="str">
        <f>IF(OR(C34&lt;1,C34=""),"",IF('FILL QUOTE-CALCULATIONS'!$S$4="INGLES",'FILL QUOTE-CALCULATIONS'!H37,VLOOKUP('FILL QUOTE-CALCULATIONS'!H37,'DROP LIST'!$M$7:$N$10,2,0)))</f>
        <v>EN EXISTENCIA</v>
      </c>
      <c r="I34" s="360" t="str">
        <f>IF(OR(C34&lt;1,C34=""),"",IF('FILL QUOTE-CALCULATIONS'!$S$4="INGLES",'FILL QUOTE-CALCULATIONS'!I37,VLOOKUP('FILL QUOTE-CALCULATIONS'!I37,'DROP LIST'!$M$15:$N$18,2,0)))</f>
        <v>BO TEXTURIZADO</v>
      </c>
      <c r="J34" s="360" t="str">
        <f>'FILL QUOTE-CALCULATIONS'!J37</f>
        <v/>
      </c>
      <c r="K34" s="360" t="str">
        <f>IF(OR(C34&lt;1,C34=""),"",'FILL QUOTE-CALCULATIONS'!K37)</f>
        <v xml:space="preserve">CRETA SHELL </v>
      </c>
      <c r="L34" s="360" t="str">
        <f>IF(OR(C34&lt;1,C34=""),"",IF('FILL QUOTE-CALCULATIONS'!$S$4="INGLES",'FILL QUOTE-CALCULATIONS'!L37,VLOOKUP('FILL QUOTE-CALCULATIONS'!L37,'DROP LIST'!$B$25:$C$31,2,0)))</f>
        <v>N/A</v>
      </c>
      <c r="M34" s="360" t="str">
        <f>IF(OR(E34&lt;1,E34=""),"",'FILL QUOTE-CALCULATIONS'!M37)</f>
        <v xml:space="preserve">REINA 4 COCINA </v>
      </c>
      <c r="N34" s="362">
        <f>IF(OR(C34&lt;1,C34=""),"",'FILL QUOTE-CALCULATIONS'!N37)</f>
        <v>90</v>
      </c>
      <c r="O34" s="362">
        <f>IF(OR(C34&lt;1,C34=""),"",'FILL QUOTE-CALCULATIONS'!O37)</f>
        <v>51</v>
      </c>
      <c r="P34" s="360" t="str">
        <f>IF(OR(C34&lt;1,C34=""),"",IF('FILL QUOTE-CALCULATIONS'!$S$4="INGLES",'FILL QUOTE-CALCULATIONS'!P37, VLOOKUP('FILL QUOTE-CALCULATIONS'!P37,'DROP LIST'!$E$25:$F$27,2,0)))</f>
        <v>A LA PARED</v>
      </c>
      <c r="Q34" s="360" t="str">
        <f>IF(OR(C34&lt;1,C34=""),"",IF('FILL QUOTE-CALCULATIONS'!$S$4="INGLES",'FILL QUOTE-CALCULATIONS'!Q37,VLOOKUP('FILL QUOTE-CALCULATIONS'!Q37,'DROP LIST'!$H$25:$I$36,2,0)))</f>
        <v>HOTELERO - BASTON - P.P.</v>
      </c>
      <c r="R34" s="362" t="str">
        <f>IF('FILL QUOTE-CALCULATIONS'!R37="","",'FILL QUOTE-CALCULATIONS'!R37)</f>
        <v xml:space="preserve">BLANCO </v>
      </c>
      <c r="S34" s="360" t="str">
        <f>IF(OR(C34&lt;1,C34=""),"",IF('FILL QUOTE-CALCULATIONS'!$S$4="INGLES",'FILL QUOTE-CALCULATIONS'!S37,VLOOKUP('FILL QUOTE-CALCULATIONS'!S37,'DROP LIST'!$H$43:$I$46,2,0)))</f>
        <v>BLANCO</v>
      </c>
      <c r="T34" s="363">
        <f>IF(OR(C34&lt;1,C34=""),"",'FILL QUOTE-CALCULATIONS'!T37)</f>
        <v>305.8</v>
      </c>
      <c r="U34" s="364">
        <f>IF(OR(C34&lt;1,C34=""),"",'FILL QUOTE-CALCULATIONS'!W37)</f>
        <v>78.550000000000011</v>
      </c>
      <c r="V34" s="365">
        <f>IF(OR(C34&lt;1,C34=""),"",IF('FILL QUOTE-CALCULATIONS'!$S$3="DOLLARS",'FILL QUOTE-CALCULATIONS'!AB37,'FILL QUOTE-CALCULATIONS'!AB37*'FILL QUOTE-CALCULATIONS'!$AC$4))</f>
        <v>384.35</v>
      </c>
      <c r="W34" s="366">
        <f>IF(OR(C34&lt;1,C34=""),"",IF('FILL QUOTE-CALCULATIONS'!$S$3="DOLLARS",'FILL QUOTE-CALCULATIONS'!AC37,'FILL QUOTE-CALCULATIONS'!AC37*'FILL QUOTE-CALCULATIONS'!$AC$4))</f>
        <v>384.35</v>
      </c>
      <c r="Y34" s="354"/>
      <c r="AA34" s="369" t="str">
        <f t="shared" si="0"/>
        <v>A LA VISTA</v>
      </c>
    </row>
    <row r="35" spans="2:27" s="353" customFormat="1" ht="30" customHeight="1" x14ac:dyDescent="0.25">
      <c r="B35" s="359">
        <f>IF(OR('FILL QUOTE-CALCULATIONS'!C38=0,'FILL QUOTE-CALCULATIONS'!C38=""),"",'FILL QUOTE-CALCULATIONS'!B38)</f>
        <v>24</v>
      </c>
      <c r="C35" s="360">
        <f>IF(OR('FILL QUOTE-CALCULATIONS'!C38&lt;1,'FILL QUOTE-CALCULATIONS'!C38=""),"",'FILL QUOTE-CALCULATIONS'!C38)</f>
        <v>1</v>
      </c>
      <c r="D35" s="360" t="str">
        <f>IF(OR(C35&lt;1,C35=""),"",IF('FILL QUOTE-CALCULATIONS'!$S$4="INGLES",'FILL QUOTE-CALCULATIONS'!D38,VLOOKUP('FILL QUOTE-CALCULATIONS'!D38,'DROP LIST'!$B$7:$C$13,2,0)))</f>
        <v>PAR</v>
      </c>
      <c r="E35" s="360" t="str">
        <f>IF(OR(C35&lt;1,C35=""),"",IF('FILL QUOTE-CALCULATIONS'!$S$4="INGLES",'FILL QUOTE-CALCULATIONS'!E38,VLOOKUP('FILL QUOTE-CALCULATIONS'!E38,'DROP LIST'!$E$7:$F$15,2,0)))</f>
        <v>PLIEGUES-GANCHOS</v>
      </c>
      <c r="F35" s="360" t="str">
        <f>IF(OR(C35&lt;1,C35=""),"",IF('FILL QUOTE-CALCULATIONS'!$S$4="INGLES",'FILL QUOTE-CALCULATIONS'!F38,VLOOKUP('FILL QUOTE-CALCULATIONS'!F38,'DROP LIST'!$H$7:$I$19,2,0)))</f>
        <v>FRESCURA (TERGAL)</v>
      </c>
      <c r="G35" s="361">
        <f>IF(OR(C35&lt;1,C35=""),"",'FILL QUOTE-CALCULATIONS'!G38)</f>
        <v>2</v>
      </c>
      <c r="H35" s="360" t="str">
        <f>IF(OR(C35&lt;1,C35=""),"",IF('FILL QUOTE-CALCULATIONS'!$S$4="INGLES",'FILL QUOTE-CALCULATIONS'!H38,VLOOKUP('FILL QUOTE-CALCULATIONS'!H38,'DROP LIST'!$M$7:$N$10,2,0)))</f>
        <v>EN EXISTENCIA</v>
      </c>
      <c r="I35" s="360" t="str">
        <f>IF(OR(C35&lt;1,C35=""),"",IF('FILL QUOTE-CALCULATIONS'!$S$4="INGLES",'FILL QUOTE-CALCULATIONS'!I38,VLOOKUP('FILL QUOTE-CALCULATIONS'!I38,'DROP LIST'!$M$15:$N$18,2,0)))</f>
        <v>SHEER DECORATIVA</v>
      </c>
      <c r="J35" s="360" t="str">
        <f>'FILL QUOTE-CALCULATIONS'!J38</f>
        <v/>
      </c>
      <c r="K35" s="360" t="str">
        <f>IF(OR(C35&lt;1,C35=""),"",'FILL QUOTE-CALCULATIONS'!K38)</f>
        <v xml:space="preserve">SHEER BATISTE STONEWASHED </v>
      </c>
      <c r="L35" s="360" t="str">
        <f>IF(OR(C35&lt;1,C35=""),"",IF('FILL QUOTE-CALCULATIONS'!$S$4="INGLES",'FILL QUOTE-CALCULATIONS'!L38,VLOOKUP('FILL QUOTE-CALCULATIONS'!L38,'DROP LIST'!$B$25:$C$31,2,0)))</f>
        <v>N/A</v>
      </c>
      <c r="M35" s="360" t="str">
        <f>IF(OR(E35&lt;1,E35=""),"",'FILL QUOTE-CALCULATIONS'!M38)</f>
        <v xml:space="preserve">REINA 4 COCINA </v>
      </c>
      <c r="N35" s="362">
        <f>IF(OR(C35&lt;1,C35=""),"",'FILL QUOTE-CALCULATIONS'!N38)</f>
        <v>90</v>
      </c>
      <c r="O35" s="362">
        <f>IF(OR(C35&lt;1,C35=""),"",'FILL QUOTE-CALCULATIONS'!O38)</f>
        <v>51</v>
      </c>
      <c r="P35" s="360" t="str">
        <f>IF(OR(C35&lt;1,C35=""),"",IF('FILL QUOTE-CALCULATIONS'!$S$4="INGLES",'FILL QUOTE-CALCULATIONS'!P38, VLOOKUP('FILL QUOTE-CALCULATIONS'!P38,'DROP LIST'!$E$25:$F$27,2,0)))</f>
        <v>A LA PARED</v>
      </c>
      <c r="Q35" s="360" t="str">
        <f>IF(OR(C35&lt;1,C35=""),"",IF('FILL QUOTE-CALCULATIONS'!$S$4="INGLES",'FILL QUOTE-CALCULATIONS'!Q38,VLOOKUP('FILL QUOTE-CALCULATIONS'!Q38,'DROP LIST'!$H$25:$I$36,2,0)))</f>
        <v>HOTELERO - BASTON - P.P.</v>
      </c>
      <c r="R35" s="362" t="str">
        <f>IF('FILL QUOTE-CALCULATIONS'!R38="","",'FILL QUOTE-CALCULATIONS'!R38)</f>
        <v xml:space="preserve">BLANCO </v>
      </c>
      <c r="S35" s="360" t="str">
        <f>IF(OR(C35&lt;1,C35=""),"",IF('FILL QUOTE-CALCULATIONS'!$S$4="INGLES",'FILL QUOTE-CALCULATIONS'!S38,VLOOKUP('FILL QUOTE-CALCULATIONS'!S38,'DROP LIST'!$H$43:$I$46,2,0)))</f>
        <v>BLANCO</v>
      </c>
      <c r="T35" s="363">
        <f>IF(OR(C35&lt;1,C35=""),"",'FILL QUOTE-CALCULATIONS'!T38)</f>
        <v>255.8</v>
      </c>
      <c r="U35" s="364">
        <f>IF(OR(C35&lt;1,C35=""),"",'FILL QUOTE-CALCULATIONS'!W38)</f>
        <v>78.550000000000011</v>
      </c>
      <c r="V35" s="365">
        <f>IF(OR(C35&lt;1,C35=""),"",IF('FILL QUOTE-CALCULATIONS'!$S$3="DOLLARS",'FILL QUOTE-CALCULATIONS'!AB38,'FILL QUOTE-CALCULATIONS'!AB38*'FILL QUOTE-CALCULATIONS'!$AC$4))</f>
        <v>334.35</v>
      </c>
      <c r="W35" s="366">
        <f>IF(OR(C35&lt;1,C35=""),"",IF('FILL QUOTE-CALCULATIONS'!$S$3="DOLLARS",'FILL QUOTE-CALCULATIONS'!AC38,'FILL QUOTE-CALCULATIONS'!AC38*'FILL QUOTE-CALCULATIONS'!$AC$4))</f>
        <v>334.35</v>
      </c>
      <c r="Y35" s="354"/>
      <c r="AA35" s="369" t="str">
        <f t="shared" si="0"/>
        <v>A LA VISTA</v>
      </c>
    </row>
    <row r="36" spans="2:27" s="353" customFormat="1" ht="30" customHeight="1" x14ac:dyDescent="0.25">
      <c r="B36" s="359">
        <f>IF(OR('FILL QUOTE-CALCULATIONS'!C39=0,'FILL QUOTE-CALCULATIONS'!C39=""),"",'FILL QUOTE-CALCULATIONS'!B39)</f>
        <v>25</v>
      </c>
      <c r="C36" s="360">
        <f>IF(OR('FILL QUOTE-CALCULATIONS'!C39&lt;1,'FILL QUOTE-CALCULATIONS'!C39=""),"",'FILL QUOTE-CALCULATIONS'!C39)</f>
        <v>1</v>
      </c>
      <c r="D36" s="360" t="str">
        <f>IF(OR(C36&lt;1,C36=""),"",IF('FILL QUOTE-CALCULATIONS'!$S$4="INGLES",'FILL QUOTE-CALCULATIONS'!D39,VLOOKUP('FILL QUOTE-CALCULATIONS'!D39,'DROP LIST'!$B$7:$C$13,2,0)))</f>
        <v>PAR</v>
      </c>
      <c r="E36" s="360" t="str">
        <f>IF(OR(C36&lt;1,C36=""),"",IF('FILL QUOTE-CALCULATIONS'!$S$4="INGLES",'FILL QUOTE-CALCULATIONS'!E39,VLOOKUP('FILL QUOTE-CALCULATIONS'!E39,'DROP LIST'!$E$7:$F$15,2,0)))</f>
        <v>PLIEGUES-GANCHOS</v>
      </c>
      <c r="F36" s="360" t="str">
        <f>IF(OR(C36&lt;1,C36=""),"",IF('FILL QUOTE-CALCULATIONS'!$S$4="INGLES",'FILL QUOTE-CALCULATIONS'!F39,VLOOKUP('FILL QUOTE-CALCULATIONS'!F39,'DROP LIST'!$H$7:$I$19,2,0)))</f>
        <v>CORTINA 'BLACKOUT'</v>
      </c>
      <c r="G36" s="361">
        <f>IF(OR(C36&lt;1,C36=""),"",'FILL QUOTE-CALCULATIONS'!G39)</f>
        <v>2</v>
      </c>
      <c r="H36" s="360" t="str">
        <f>IF(OR(C36&lt;1,C36=""),"",IF('FILL QUOTE-CALCULATIONS'!$S$4="INGLES",'FILL QUOTE-CALCULATIONS'!H39,VLOOKUP('FILL QUOTE-CALCULATIONS'!H39,'DROP LIST'!$M$7:$N$10,2,0)))</f>
        <v>EN EXISTENCIA</v>
      </c>
      <c r="I36" s="360" t="str">
        <f>IF(OR(C36&lt;1,C36=""),"",IF('FILL QUOTE-CALCULATIONS'!$S$4="INGLES",'FILL QUOTE-CALCULATIONS'!I39,VLOOKUP('FILL QUOTE-CALCULATIONS'!I39,'DROP LIST'!$M$15:$N$18,2,0)))</f>
        <v>BO TEXTURIZADO</v>
      </c>
      <c r="J36" s="360" t="str">
        <f>'FILL QUOTE-CALCULATIONS'!J39</f>
        <v/>
      </c>
      <c r="K36" s="360" t="str">
        <f>IF(OR(C36&lt;1,C36=""),"",'FILL QUOTE-CALCULATIONS'!K39)</f>
        <v xml:space="preserve">CRETA SHELL </v>
      </c>
      <c r="L36" s="360" t="str">
        <f>IF(OR(C36&lt;1,C36=""),"",IF('FILL QUOTE-CALCULATIONS'!$S$4="INGLES",'FILL QUOTE-CALCULATIONS'!L39,VLOOKUP('FILL QUOTE-CALCULATIONS'!L39,'DROP LIST'!$B$25:$C$31,2,0)))</f>
        <v>N/A</v>
      </c>
      <c r="M36" s="360" t="str">
        <f>IF(OR(E36&lt;1,E36=""),"",'FILL QUOTE-CALCULATIONS'!M39)</f>
        <v xml:space="preserve">DUQUESA 1-1 RECAMARA </v>
      </c>
      <c r="N36" s="362">
        <f>IF(OR(C36&lt;1,C36=""),"",'FILL QUOTE-CALCULATIONS'!N39)</f>
        <v>121</v>
      </c>
      <c r="O36" s="362">
        <f>IF(OR(C36&lt;1,C36=""),"",'FILL QUOTE-CALCULATIONS'!O39)</f>
        <v>113.875</v>
      </c>
      <c r="P36" s="360" t="str">
        <f>IF(OR(C36&lt;1,C36=""),"",IF('FILL QUOTE-CALCULATIONS'!$S$4="INGLES",'FILL QUOTE-CALCULATIONS'!P39, VLOOKUP('FILL QUOTE-CALCULATIONS'!P39,'DROP LIST'!$E$25:$F$27,2,0)))</f>
        <v>AL TECHO</v>
      </c>
      <c r="Q36" s="360" t="str">
        <f>IF(OR(C36&lt;1,C36=""),"",IF('FILL QUOTE-CALCULATIONS'!$S$4="INGLES",'FILL QUOTE-CALCULATIONS'!Q39,VLOOKUP('FILL QUOTE-CALCULATIONS'!Q39,'DROP LIST'!$H$25:$I$36,2,0)))</f>
        <v>HOTELERO - BASTON - P.P.</v>
      </c>
      <c r="R36" s="362" t="str">
        <f>IF('FILL QUOTE-CALCULATIONS'!R39="","",'FILL QUOTE-CALCULATIONS'!R39)</f>
        <v xml:space="preserve">BLANCO </v>
      </c>
      <c r="S36" s="360" t="str">
        <f>IF(OR(C36&lt;1,C36=""),"",IF('FILL QUOTE-CALCULATIONS'!$S$4="INGLES",'FILL QUOTE-CALCULATIONS'!S39,VLOOKUP('FILL QUOTE-CALCULATIONS'!S39,'DROP LIST'!$H$43:$I$46,2,0)))</f>
        <v>BLANCO</v>
      </c>
      <c r="T36" s="363">
        <f>IF(OR(C36&lt;1,C36=""),"",'FILL QUOTE-CALCULATIONS'!T39)</f>
        <v>645.55000000000007</v>
      </c>
      <c r="U36" s="364">
        <f>IF(OR(C36&lt;1,C36=""),"",'FILL QUOTE-CALCULATIONS'!W39)</f>
        <v>108.5</v>
      </c>
      <c r="V36" s="365">
        <f>IF(OR(C36&lt;1,C36=""),"",IF('FILL QUOTE-CALCULATIONS'!$S$3="DOLLARS",'FILL QUOTE-CALCULATIONS'!AB39,'FILL QUOTE-CALCULATIONS'!AB39*'FILL QUOTE-CALCULATIONS'!$AC$4))</f>
        <v>754.05000000000007</v>
      </c>
      <c r="W36" s="366">
        <f>IF(OR(C36&lt;1,C36=""),"",IF('FILL QUOTE-CALCULATIONS'!$S$3="DOLLARS",'FILL QUOTE-CALCULATIONS'!AC39,'FILL QUOTE-CALCULATIONS'!AC39*'FILL QUOTE-CALCULATIONS'!$AC$4))</f>
        <v>754.05000000000007</v>
      </c>
      <c r="Y36" s="354"/>
      <c r="AA36" s="369" t="str">
        <f t="shared" si="0"/>
        <v>A LA VISTA</v>
      </c>
    </row>
    <row r="37" spans="2:27" s="353" customFormat="1" ht="30" customHeight="1" x14ac:dyDescent="0.25">
      <c r="B37" s="359">
        <f>IF(OR('FILL QUOTE-CALCULATIONS'!C40=0,'FILL QUOTE-CALCULATIONS'!C40=""),"",'FILL QUOTE-CALCULATIONS'!B40)</f>
        <v>26</v>
      </c>
      <c r="C37" s="360">
        <f>IF(OR('FILL QUOTE-CALCULATIONS'!C40&lt;1,'FILL QUOTE-CALCULATIONS'!C40=""),"",'FILL QUOTE-CALCULATIONS'!C40)</f>
        <v>1</v>
      </c>
      <c r="D37" s="360" t="str">
        <f>IF(OR(C37&lt;1,C37=""),"",IF('FILL QUOTE-CALCULATIONS'!$S$4="INGLES",'FILL QUOTE-CALCULATIONS'!D40,VLOOKUP('FILL QUOTE-CALCULATIONS'!D40,'DROP LIST'!$B$7:$C$13,2,0)))</f>
        <v>PAR</v>
      </c>
      <c r="E37" s="360" t="str">
        <f>IF(OR(C37&lt;1,C37=""),"",IF('FILL QUOTE-CALCULATIONS'!$S$4="INGLES",'FILL QUOTE-CALCULATIONS'!E40,VLOOKUP('FILL QUOTE-CALCULATIONS'!E40,'DROP LIST'!$E$7:$F$15,2,0)))</f>
        <v>PLIEGUES-GANCHOS</v>
      </c>
      <c r="F37" s="360" t="str">
        <f>IF(OR(C37&lt;1,C37=""),"",IF('FILL QUOTE-CALCULATIONS'!$S$4="INGLES",'FILL QUOTE-CALCULATIONS'!F40,VLOOKUP('FILL QUOTE-CALCULATIONS'!F40,'DROP LIST'!$H$7:$I$19,2,0)))</f>
        <v>FRESCURA (TERGAL)</v>
      </c>
      <c r="G37" s="361">
        <f>IF(OR(C37&lt;1,C37=""),"",'FILL QUOTE-CALCULATIONS'!G40)</f>
        <v>2</v>
      </c>
      <c r="H37" s="360" t="str">
        <f>IF(OR(C37&lt;1,C37=""),"",IF('FILL QUOTE-CALCULATIONS'!$S$4="INGLES",'FILL QUOTE-CALCULATIONS'!H40,VLOOKUP('FILL QUOTE-CALCULATIONS'!H40,'DROP LIST'!$M$7:$N$10,2,0)))</f>
        <v>EN EXISTENCIA</v>
      </c>
      <c r="I37" s="360" t="str">
        <f>IF(OR(C37&lt;1,C37=""),"",IF('FILL QUOTE-CALCULATIONS'!$S$4="INGLES",'FILL QUOTE-CALCULATIONS'!I40,VLOOKUP('FILL QUOTE-CALCULATIONS'!I40,'DROP LIST'!$M$15:$N$18,2,0)))</f>
        <v>SHEER DECORATIVA</v>
      </c>
      <c r="J37" s="360" t="str">
        <f>'FILL QUOTE-CALCULATIONS'!J40</f>
        <v/>
      </c>
      <c r="K37" s="360" t="str">
        <f>IF(OR(C37&lt;1,C37=""),"",'FILL QUOTE-CALCULATIONS'!K40)</f>
        <v xml:space="preserve">SHEER BATISTE STONEWASHED </v>
      </c>
      <c r="L37" s="360" t="str">
        <f>IF(OR(C37&lt;1,C37=""),"",IF('FILL QUOTE-CALCULATIONS'!$S$4="INGLES",'FILL QUOTE-CALCULATIONS'!L40,VLOOKUP('FILL QUOTE-CALCULATIONS'!L40,'DROP LIST'!$B$25:$C$31,2,0)))</f>
        <v>N/A</v>
      </c>
      <c r="M37" s="360" t="str">
        <f>IF(OR(E37&lt;1,E37=""),"",'FILL QUOTE-CALCULATIONS'!M40)</f>
        <v xml:space="preserve">DUQUESA 1-1 RECAMARA </v>
      </c>
      <c r="N37" s="362">
        <f>IF(OR(C37&lt;1,C37=""),"",'FILL QUOTE-CALCULATIONS'!N40)</f>
        <v>121</v>
      </c>
      <c r="O37" s="362">
        <f>IF(OR(C37&lt;1,C37=""),"",'FILL QUOTE-CALCULATIONS'!O40)</f>
        <v>113.875</v>
      </c>
      <c r="P37" s="360" t="str">
        <f>IF(OR(C37&lt;1,C37=""),"",IF('FILL QUOTE-CALCULATIONS'!$S$4="INGLES",'FILL QUOTE-CALCULATIONS'!P40, VLOOKUP('FILL QUOTE-CALCULATIONS'!P40,'DROP LIST'!$E$25:$F$27,2,0)))</f>
        <v>AL TECHO</v>
      </c>
      <c r="Q37" s="360" t="str">
        <f>IF(OR(C37&lt;1,C37=""),"",IF('FILL QUOTE-CALCULATIONS'!$S$4="INGLES",'FILL QUOTE-CALCULATIONS'!Q40,VLOOKUP('FILL QUOTE-CALCULATIONS'!Q40,'DROP LIST'!$H$25:$I$36,2,0)))</f>
        <v>HOTELERO - BASTON - P.P.</v>
      </c>
      <c r="R37" s="362" t="str">
        <f>IF('FILL QUOTE-CALCULATIONS'!R40="","",'FILL QUOTE-CALCULATIONS'!R40)</f>
        <v xml:space="preserve">BLANCO </v>
      </c>
      <c r="S37" s="360" t="str">
        <f>IF(OR(C37&lt;1,C37=""),"",IF('FILL QUOTE-CALCULATIONS'!$S$4="INGLES",'FILL QUOTE-CALCULATIONS'!S40,VLOOKUP('FILL QUOTE-CALCULATIONS'!S40,'DROP LIST'!$H$43:$I$46,2,0)))</f>
        <v>BLANCO</v>
      </c>
      <c r="T37" s="363">
        <f>IF(OR(C37&lt;1,C37=""),"",'FILL QUOTE-CALCULATIONS'!T40)</f>
        <v>366.1</v>
      </c>
      <c r="U37" s="364">
        <f>IF(OR(C37&lt;1,C37=""),"",'FILL QUOTE-CALCULATIONS'!W40)</f>
        <v>108.5</v>
      </c>
      <c r="V37" s="365">
        <f>IF(OR(C37&lt;1,C37=""),"",IF('FILL QUOTE-CALCULATIONS'!$S$3="DOLLARS",'FILL QUOTE-CALCULATIONS'!AB40,'FILL QUOTE-CALCULATIONS'!AB40*'FILL QUOTE-CALCULATIONS'!$AC$4))</f>
        <v>474.6</v>
      </c>
      <c r="W37" s="366">
        <f>IF(OR(C37&lt;1,C37=""),"",IF('FILL QUOTE-CALCULATIONS'!$S$3="DOLLARS",'FILL QUOTE-CALCULATIONS'!AC40,'FILL QUOTE-CALCULATIONS'!AC40*'FILL QUOTE-CALCULATIONS'!$AC$4))</f>
        <v>474.6</v>
      </c>
      <c r="Y37" s="354"/>
      <c r="AA37" s="369" t="str">
        <f t="shared" si="0"/>
        <v>A LA VISTA</v>
      </c>
    </row>
    <row r="38" spans="2:27" s="353" customFormat="1" ht="30" customHeight="1" x14ac:dyDescent="0.25">
      <c r="B38" s="359">
        <f>IF(OR('FILL QUOTE-CALCULATIONS'!C41=0,'FILL QUOTE-CALCULATIONS'!C41=""),"",'FILL QUOTE-CALCULATIONS'!B41)</f>
        <v>27</v>
      </c>
      <c r="C38" s="360">
        <f>IF(OR('FILL QUOTE-CALCULATIONS'!C41&lt;1,'FILL QUOTE-CALCULATIONS'!C41=""),"",'FILL QUOTE-CALCULATIONS'!C41)</f>
        <v>1</v>
      </c>
      <c r="D38" s="360" t="str">
        <f>IF(OR(C38&lt;1,C38=""),"",IF('FILL QUOTE-CALCULATIONS'!$S$4="INGLES",'FILL QUOTE-CALCULATIONS'!D41,VLOOKUP('FILL QUOTE-CALCULATIONS'!D41,'DROP LIST'!$B$7:$C$13,2,0)))</f>
        <v>PAR</v>
      </c>
      <c r="E38" s="360" t="str">
        <f>IF(OR(C38&lt;1,C38=""),"",IF('FILL QUOTE-CALCULATIONS'!$S$4="INGLES",'FILL QUOTE-CALCULATIONS'!E41,VLOOKUP('FILL QUOTE-CALCULATIONS'!E41,'DROP LIST'!$E$7:$F$15,2,0)))</f>
        <v>PLIEGUES-GANCHOS</v>
      </c>
      <c r="F38" s="360" t="str">
        <f>IF(OR(C38&lt;1,C38=""),"",IF('FILL QUOTE-CALCULATIONS'!$S$4="INGLES",'FILL QUOTE-CALCULATIONS'!F41,VLOOKUP('FILL QUOTE-CALCULATIONS'!F41,'DROP LIST'!$H$7:$I$19,2,0)))</f>
        <v>CORTINA 'BLACKOUT'</v>
      </c>
      <c r="G38" s="361">
        <f>IF(OR(C38&lt;1,C38=""),"",'FILL QUOTE-CALCULATIONS'!G41)</f>
        <v>2</v>
      </c>
      <c r="H38" s="360" t="str">
        <f>IF(OR(C38&lt;1,C38=""),"",IF('FILL QUOTE-CALCULATIONS'!$S$4="INGLES",'FILL QUOTE-CALCULATIONS'!H41,VLOOKUP('FILL QUOTE-CALCULATIONS'!H41,'DROP LIST'!$M$7:$N$10,2,0)))</f>
        <v>EN EXISTENCIA</v>
      </c>
      <c r="I38" s="360" t="str">
        <f>IF(OR(C38&lt;1,C38=""),"",IF('FILL QUOTE-CALCULATIONS'!$S$4="INGLES",'FILL QUOTE-CALCULATIONS'!I41,VLOOKUP('FILL QUOTE-CALCULATIONS'!I41,'DROP LIST'!$M$15:$N$18,2,0)))</f>
        <v>BO TEXTURIZADO</v>
      </c>
      <c r="J38" s="360" t="str">
        <f>'FILL QUOTE-CALCULATIONS'!J41</f>
        <v/>
      </c>
      <c r="K38" s="360" t="str">
        <f>IF(OR(C38&lt;1,C38=""),"",'FILL QUOTE-CALCULATIONS'!K41)</f>
        <v xml:space="preserve">CRETA SHELL </v>
      </c>
      <c r="L38" s="360" t="str">
        <f>IF(OR(C38&lt;1,C38=""),"",IF('FILL QUOTE-CALCULATIONS'!$S$4="INGLES",'FILL QUOTE-CALCULATIONS'!L41,VLOOKUP('FILL QUOTE-CALCULATIONS'!L41,'DROP LIST'!$B$25:$C$31,2,0)))</f>
        <v>N/A</v>
      </c>
      <c r="M38" s="360" t="str">
        <f>IF(OR(E38&lt;1,E38=""),"",'FILL QUOTE-CALCULATIONS'!M41)</f>
        <v xml:space="preserve">DUQUESA 1-1 SALA </v>
      </c>
      <c r="N38" s="362">
        <f>IF(OR(C38&lt;1,C38=""),"",'FILL QUOTE-CALCULATIONS'!N41)</f>
        <v>104.5</v>
      </c>
      <c r="O38" s="362">
        <f>IF(OR(C38&lt;1,C38=""),"",'FILL QUOTE-CALCULATIONS'!O41)</f>
        <v>115.5</v>
      </c>
      <c r="P38" s="360" t="str">
        <f>IF(OR(C38&lt;1,C38=""),"",IF('FILL QUOTE-CALCULATIONS'!$S$4="INGLES",'FILL QUOTE-CALCULATIONS'!P41, VLOOKUP('FILL QUOTE-CALCULATIONS'!P41,'DROP LIST'!$E$25:$F$27,2,0)))</f>
        <v>AL TECHO</v>
      </c>
      <c r="Q38" s="360" t="str">
        <f>IF(OR(C38&lt;1,C38=""),"",IF('FILL QUOTE-CALCULATIONS'!$S$4="INGLES",'FILL QUOTE-CALCULATIONS'!Q41,VLOOKUP('FILL QUOTE-CALCULATIONS'!Q41,'DROP LIST'!$H$25:$I$36,2,0)))</f>
        <v>HOTELERO - BASTON - P.P.</v>
      </c>
      <c r="R38" s="362" t="str">
        <f>IF('FILL QUOTE-CALCULATIONS'!R41="","",'FILL QUOTE-CALCULATIONS'!R41)</f>
        <v xml:space="preserve">BLANCO </v>
      </c>
      <c r="S38" s="360" t="str">
        <f>IF(OR(C38&lt;1,C38=""),"",IF('FILL QUOTE-CALCULATIONS'!$S$4="INGLES",'FILL QUOTE-CALCULATIONS'!S41,VLOOKUP('FILL QUOTE-CALCULATIONS'!S41,'DROP LIST'!$H$43:$I$46,2,0)))</f>
        <v>BLANCO</v>
      </c>
      <c r="T38" s="363">
        <f>IF(OR(C38&lt;1,C38=""),"",'FILL QUOTE-CALCULATIONS'!T41)</f>
        <v>587.25</v>
      </c>
      <c r="U38" s="364">
        <f>IF(OR(C38&lt;1,C38=""),"",'FILL QUOTE-CALCULATIONS'!W41)</f>
        <v>95.800000000000011</v>
      </c>
      <c r="V38" s="365">
        <f>IF(OR(C38&lt;1,C38=""),"",IF('FILL QUOTE-CALCULATIONS'!$S$3="DOLLARS",'FILL QUOTE-CALCULATIONS'!AB41,'FILL QUOTE-CALCULATIONS'!AB41*'FILL QUOTE-CALCULATIONS'!$AC$4))</f>
        <v>683.05</v>
      </c>
      <c r="W38" s="366">
        <f>IF(OR(C38&lt;1,C38=""),"",IF('FILL QUOTE-CALCULATIONS'!$S$3="DOLLARS",'FILL QUOTE-CALCULATIONS'!AC41,'FILL QUOTE-CALCULATIONS'!AC41*'FILL QUOTE-CALCULATIONS'!$AC$4))</f>
        <v>683.05</v>
      </c>
      <c r="Y38" s="354"/>
      <c r="AA38" s="369" t="str">
        <f t="shared" si="0"/>
        <v>A LA VISTA</v>
      </c>
    </row>
    <row r="39" spans="2:27" s="353" customFormat="1" ht="30" customHeight="1" x14ac:dyDescent="0.25">
      <c r="B39" s="359">
        <f>IF(OR('FILL QUOTE-CALCULATIONS'!C42=0,'FILL QUOTE-CALCULATIONS'!C42=""),"",'FILL QUOTE-CALCULATIONS'!B42)</f>
        <v>28</v>
      </c>
      <c r="C39" s="360">
        <f>IF(OR('FILL QUOTE-CALCULATIONS'!C42&lt;1,'FILL QUOTE-CALCULATIONS'!C42=""),"",'FILL QUOTE-CALCULATIONS'!C42)</f>
        <v>1</v>
      </c>
      <c r="D39" s="360" t="str">
        <f>IF(OR(C39&lt;1,C39=""),"",IF('FILL QUOTE-CALCULATIONS'!$S$4="INGLES",'FILL QUOTE-CALCULATIONS'!D42,VLOOKUP('FILL QUOTE-CALCULATIONS'!D42,'DROP LIST'!$B$7:$C$13,2,0)))</f>
        <v>PAR</v>
      </c>
      <c r="E39" s="360" t="str">
        <f>IF(OR(C39&lt;1,C39=""),"",IF('FILL QUOTE-CALCULATIONS'!$S$4="INGLES",'FILL QUOTE-CALCULATIONS'!E42,VLOOKUP('FILL QUOTE-CALCULATIONS'!E42,'DROP LIST'!$E$7:$F$15,2,0)))</f>
        <v>PLIEGUES-GANCHOS</v>
      </c>
      <c r="F39" s="360" t="str">
        <f>IF(OR(C39&lt;1,C39=""),"",IF('FILL QUOTE-CALCULATIONS'!$S$4="INGLES",'FILL QUOTE-CALCULATIONS'!F42,VLOOKUP('FILL QUOTE-CALCULATIONS'!F42,'DROP LIST'!$H$7:$I$19,2,0)))</f>
        <v>CORTINA 'BLACKOUT'</v>
      </c>
      <c r="G39" s="361">
        <f>IF(OR(C39&lt;1,C39=""),"",'FILL QUOTE-CALCULATIONS'!G42)</f>
        <v>2</v>
      </c>
      <c r="H39" s="360" t="str">
        <f>IF(OR(C39&lt;1,C39=""),"",IF('FILL QUOTE-CALCULATIONS'!$S$4="INGLES",'FILL QUOTE-CALCULATIONS'!H42,VLOOKUP('FILL QUOTE-CALCULATIONS'!H42,'DROP LIST'!$M$7:$N$10,2,0)))</f>
        <v>EN EXISTENCIA</v>
      </c>
      <c r="I39" s="360" t="str">
        <f>IF(OR(C39&lt;1,C39=""),"",IF('FILL QUOTE-CALCULATIONS'!$S$4="INGLES",'FILL QUOTE-CALCULATIONS'!I42,VLOOKUP('FILL QUOTE-CALCULATIONS'!I42,'DROP LIST'!$M$15:$N$18,2,0)))</f>
        <v>BO TEXTURIZADO</v>
      </c>
      <c r="J39" s="360" t="str">
        <f>'FILL QUOTE-CALCULATIONS'!J42</f>
        <v/>
      </c>
      <c r="K39" s="360" t="str">
        <f>IF(OR(C39&lt;1,C39=""),"",'FILL QUOTE-CALCULATIONS'!K42)</f>
        <v xml:space="preserve">CRETA SHELL </v>
      </c>
      <c r="L39" s="360" t="str">
        <f>IF(OR(C39&lt;1,C39=""),"",IF('FILL QUOTE-CALCULATIONS'!$S$4="INGLES",'FILL QUOTE-CALCULATIONS'!L42,VLOOKUP('FILL QUOTE-CALCULATIONS'!L42,'DROP LIST'!$B$25:$C$31,2,0)))</f>
        <v>N/A</v>
      </c>
      <c r="M39" s="360" t="str">
        <f>IF(OR(E39&lt;1,E39=""),"",'FILL QUOTE-CALCULATIONS'!M42)</f>
        <v xml:space="preserve">DUQUESA 1- 2  SALA </v>
      </c>
      <c r="N39" s="362">
        <f>IF(OR(C39&lt;1,C39=""),"",'FILL QUOTE-CALCULATIONS'!N42)</f>
        <v>101.25</v>
      </c>
      <c r="O39" s="362">
        <f>IF(OR(C39&lt;1,C39=""),"",'FILL QUOTE-CALCULATIONS'!O42)</f>
        <v>115</v>
      </c>
      <c r="P39" s="360" t="str">
        <f>IF(OR(C39&lt;1,C39=""),"",IF('FILL QUOTE-CALCULATIONS'!$S$4="INGLES",'FILL QUOTE-CALCULATIONS'!P42, VLOOKUP('FILL QUOTE-CALCULATIONS'!P42,'DROP LIST'!$E$25:$F$27,2,0)))</f>
        <v>AL TECHO</v>
      </c>
      <c r="Q39" s="360" t="str">
        <f>IF(OR(C39&lt;1,C39=""),"",IF('FILL QUOTE-CALCULATIONS'!$S$4="INGLES",'FILL QUOTE-CALCULATIONS'!Q42,VLOOKUP('FILL QUOTE-CALCULATIONS'!Q42,'DROP LIST'!$H$25:$I$36,2,0)))</f>
        <v>HOTELERO - BASTON - P.P.</v>
      </c>
      <c r="R39" s="362" t="str">
        <f>IF('FILL QUOTE-CALCULATIONS'!R42="","",'FILL QUOTE-CALCULATIONS'!R42)</f>
        <v xml:space="preserve">BLANCO </v>
      </c>
      <c r="S39" s="360" t="str">
        <f>IF(OR(C39&lt;1,C39=""),"",IF('FILL QUOTE-CALCULATIONS'!$S$4="INGLES",'FILL QUOTE-CALCULATIONS'!S42,VLOOKUP('FILL QUOTE-CALCULATIONS'!S42,'DROP LIST'!$H$43:$I$46,2,0)))</f>
        <v>BLANCO</v>
      </c>
      <c r="T39" s="363">
        <f>IF(OR(C39&lt;1,C39=""),"",'FILL QUOTE-CALCULATIONS'!T42)</f>
        <v>580.30000000000007</v>
      </c>
      <c r="U39" s="364">
        <f>IF(OR(C39&lt;1,C39=""),"",'FILL QUOTE-CALCULATIONS'!W42)</f>
        <v>93.300000000000011</v>
      </c>
      <c r="V39" s="365">
        <f>IF(OR(C39&lt;1,C39=""),"",IF('FILL QUOTE-CALCULATIONS'!$S$3="DOLLARS",'FILL QUOTE-CALCULATIONS'!AB42,'FILL QUOTE-CALCULATIONS'!AB42*'FILL QUOTE-CALCULATIONS'!$AC$4))</f>
        <v>673.60000000000014</v>
      </c>
      <c r="W39" s="366">
        <f>IF(OR(C39&lt;1,C39=""),"",IF('FILL QUOTE-CALCULATIONS'!$S$3="DOLLARS",'FILL QUOTE-CALCULATIONS'!AC42,'FILL QUOTE-CALCULATIONS'!AC42*'FILL QUOTE-CALCULATIONS'!$AC$4))</f>
        <v>673.60000000000014</v>
      </c>
      <c r="Y39" s="354"/>
      <c r="AA39" s="369" t="str">
        <f t="shared" si="0"/>
        <v>A LA VISTA</v>
      </c>
    </row>
    <row r="40" spans="2:27" s="353" customFormat="1" ht="30" customHeight="1" x14ac:dyDescent="0.25">
      <c r="B40" s="359">
        <f>IF(OR('FILL QUOTE-CALCULATIONS'!C43=0,'FILL QUOTE-CALCULATIONS'!C43=""),"",'FILL QUOTE-CALCULATIONS'!B43)</f>
        <v>29</v>
      </c>
      <c r="C40" s="360">
        <f>IF(OR('FILL QUOTE-CALCULATIONS'!C43&lt;1,'FILL QUOTE-CALCULATIONS'!C43=""),"",'FILL QUOTE-CALCULATIONS'!C43)</f>
        <v>1</v>
      </c>
      <c r="D40" s="360" t="str">
        <f>IF(OR(C40&lt;1,C40=""),"",IF('FILL QUOTE-CALCULATIONS'!$S$4="INGLES",'FILL QUOTE-CALCULATIONS'!D43,VLOOKUP('FILL QUOTE-CALCULATIONS'!D43,'DROP LIST'!$B$7:$C$13,2,0)))</f>
        <v>PAR</v>
      </c>
      <c r="E40" s="360" t="str">
        <f>IF(OR(C40&lt;1,C40=""),"",IF('FILL QUOTE-CALCULATIONS'!$S$4="INGLES",'FILL QUOTE-CALCULATIONS'!E43,VLOOKUP('FILL QUOTE-CALCULATIONS'!E43,'DROP LIST'!$E$7:$F$15,2,0)))</f>
        <v>PLIEGUES-GANCHOS</v>
      </c>
      <c r="F40" s="360" t="str">
        <f>IF(OR(C40&lt;1,C40=""),"",IF('FILL QUOTE-CALCULATIONS'!$S$4="INGLES",'FILL QUOTE-CALCULATIONS'!F43,VLOOKUP('FILL QUOTE-CALCULATIONS'!F43,'DROP LIST'!$H$7:$I$19,2,0)))</f>
        <v>CORTINA 'BLACKOUT'</v>
      </c>
      <c r="G40" s="361">
        <f>IF(OR(C40&lt;1,C40=""),"",'FILL QUOTE-CALCULATIONS'!G43)</f>
        <v>2</v>
      </c>
      <c r="H40" s="360" t="str">
        <f>IF(OR(C40&lt;1,C40=""),"",IF('FILL QUOTE-CALCULATIONS'!$S$4="INGLES",'FILL QUOTE-CALCULATIONS'!H43,VLOOKUP('FILL QUOTE-CALCULATIONS'!H43,'DROP LIST'!$M$7:$N$10,2,0)))</f>
        <v>EN EXISTENCIA</v>
      </c>
      <c r="I40" s="360" t="str">
        <f>IF(OR(C40&lt;1,C40=""),"",IF('FILL QUOTE-CALCULATIONS'!$S$4="INGLES",'FILL QUOTE-CALCULATIONS'!I43,VLOOKUP('FILL QUOTE-CALCULATIONS'!I43,'DROP LIST'!$M$15:$N$18,2,0)))</f>
        <v>BO TEXTURIZADO</v>
      </c>
      <c r="J40" s="360" t="str">
        <f>'FILL QUOTE-CALCULATIONS'!J43</f>
        <v/>
      </c>
      <c r="K40" s="360" t="str">
        <f>IF(OR(C40&lt;1,C40=""),"",'FILL QUOTE-CALCULATIONS'!K43)</f>
        <v xml:space="preserve">CRETA SHELL </v>
      </c>
      <c r="L40" s="360" t="str">
        <f>IF(OR(C40&lt;1,C40=""),"",IF('FILL QUOTE-CALCULATIONS'!$S$4="INGLES",'FILL QUOTE-CALCULATIONS'!L43,VLOOKUP('FILL QUOTE-CALCULATIONS'!L43,'DROP LIST'!$B$25:$C$31,2,0)))</f>
        <v>N/A</v>
      </c>
      <c r="M40" s="360" t="str">
        <f>IF(OR(E40&lt;1,E40=""),"",'FILL QUOTE-CALCULATIONS'!M43)</f>
        <v xml:space="preserve">DUQUESA 1-2 RECAMARA </v>
      </c>
      <c r="N40" s="362">
        <f>IF(OR(C40&lt;1,C40=""),"",'FILL QUOTE-CALCULATIONS'!N43)</f>
        <v>128</v>
      </c>
      <c r="O40" s="362">
        <f>IF(OR(C40&lt;1,C40=""),"",'FILL QUOTE-CALCULATIONS'!O43)</f>
        <v>114.75</v>
      </c>
      <c r="P40" s="360" t="str">
        <f>IF(OR(C40&lt;1,C40=""),"",IF('FILL QUOTE-CALCULATIONS'!$S$4="INGLES",'FILL QUOTE-CALCULATIONS'!P43, VLOOKUP('FILL QUOTE-CALCULATIONS'!P43,'DROP LIST'!$E$25:$F$27,2,0)))</f>
        <v>AL TECHO</v>
      </c>
      <c r="Q40" s="360" t="str">
        <f>IF(OR(C40&lt;1,C40=""),"",IF('FILL QUOTE-CALCULATIONS'!$S$4="INGLES",'FILL QUOTE-CALCULATIONS'!Q43,VLOOKUP('FILL QUOTE-CALCULATIONS'!Q43,'DROP LIST'!$H$25:$I$36,2,0)))</f>
        <v>HOTELERO - BASTON - P.P.</v>
      </c>
      <c r="R40" s="362" t="str">
        <f>IF('FILL QUOTE-CALCULATIONS'!R43="","",'FILL QUOTE-CALCULATIONS'!R43)</f>
        <v xml:space="preserve">BLANCO </v>
      </c>
      <c r="S40" s="360" t="str">
        <f>IF(OR(C40&lt;1,C40=""),"",IF('FILL QUOTE-CALCULATIONS'!$S$4="INGLES",'FILL QUOTE-CALCULATIONS'!S43,VLOOKUP('FILL QUOTE-CALCULATIONS'!S43,'DROP LIST'!$H$43:$I$46,2,0)))</f>
        <v>BLANCO</v>
      </c>
      <c r="T40" s="363">
        <f>IF(OR(C40&lt;1,C40=""),"",'FILL QUOTE-CALCULATIONS'!T43)</f>
        <v>710.80000000000007</v>
      </c>
      <c r="U40" s="364">
        <f>IF(OR(C40&lt;1,C40=""),"",'FILL QUOTE-CALCULATIONS'!W43)</f>
        <v>113.9</v>
      </c>
      <c r="V40" s="365">
        <f>IF(OR(C40&lt;1,C40=""),"",IF('FILL QUOTE-CALCULATIONS'!$S$3="DOLLARS",'FILL QUOTE-CALCULATIONS'!AB43,'FILL QUOTE-CALCULATIONS'!AB43*'FILL QUOTE-CALCULATIONS'!$AC$4))</f>
        <v>824.7</v>
      </c>
      <c r="W40" s="366">
        <f>IF(OR(C40&lt;1,C40=""),"",IF('FILL QUOTE-CALCULATIONS'!$S$3="DOLLARS",'FILL QUOTE-CALCULATIONS'!AC43,'FILL QUOTE-CALCULATIONS'!AC43*'FILL QUOTE-CALCULATIONS'!$AC$4))</f>
        <v>824.7</v>
      </c>
      <c r="Y40" s="354"/>
      <c r="AA40" s="369" t="str">
        <f t="shared" si="0"/>
        <v>A LA VISTA</v>
      </c>
    </row>
    <row r="41" spans="2:27" s="353" customFormat="1" ht="30" hidden="1" customHeight="1" x14ac:dyDescent="0.25">
      <c r="B41" s="359" t="str">
        <f>IF(OR('FILL QUOTE-CALCULATIONS'!C44=0,'FILL QUOTE-CALCULATIONS'!C44=""),"",'FILL QUOTE-CALCULATIONS'!B44)</f>
        <v/>
      </c>
      <c r="C41" s="360" t="str">
        <f>IF(OR('FILL QUOTE-CALCULATIONS'!C44&lt;1,'FILL QUOTE-CALCULATIONS'!C44=""),"",'FILL QUOTE-CALCULATIONS'!C44)</f>
        <v/>
      </c>
      <c r="D41" s="360" t="str">
        <f>IF(OR(C41&lt;1,C41=""),"",IF('FILL QUOTE-CALCULATIONS'!$S$4="INGLES",'FILL QUOTE-CALCULATIONS'!D44,VLOOKUP('FILL QUOTE-CALCULATIONS'!D44,'DROP LIST'!$B$7:$C$13,2,0)))</f>
        <v/>
      </c>
      <c r="E41" s="360" t="str">
        <f>IF(OR(C41&lt;1,C41=""),"",IF('FILL QUOTE-CALCULATIONS'!$S$4="INGLES",'FILL QUOTE-CALCULATIONS'!E44,VLOOKUP('FILL QUOTE-CALCULATIONS'!E44,'DROP LIST'!$E$7:$F$15,2,0)))</f>
        <v/>
      </c>
      <c r="F41" s="360" t="str">
        <f>IF(OR(C41&lt;1,C41=""),"",IF('FILL QUOTE-CALCULATIONS'!$S$4="INGLES",'FILL QUOTE-CALCULATIONS'!F44,VLOOKUP('FILL QUOTE-CALCULATIONS'!F44,'DROP LIST'!$H$7:$I$19,2,0)))</f>
        <v/>
      </c>
      <c r="G41" s="361" t="str">
        <f>IF(OR(C41&lt;1,C41=""),"",'FILL QUOTE-CALCULATIONS'!G44)</f>
        <v/>
      </c>
      <c r="H41" s="360" t="str">
        <f>IF(OR(C41&lt;1,C41=""),"",IF('FILL QUOTE-CALCULATIONS'!$S$4="INGLES",'FILL QUOTE-CALCULATIONS'!H44,VLOOKUP('FILL QUOTE-CALCULATIONS'!H44,'DROP LIST'!$M$7:$N$10,2,0)))</f>
        <v/>
      </c>
      <c r="I41" s="360" t="str">
        <f>IF(OR(C41&lt;1,C41=""),"",IF('FILL QUOTE-CALCULATIONS'!$S$4="INGLES",'FILL QUOTE-CALCULATIONS'!I44,VLOOKUP('FILL QUOTE-CALCULATIONS'!I44,'DROP LIST'!$M$15:$N$18,2,0)))</f>
        <v/>
      </c>
      <c r="J41" s="360" t="str">
        <f>'FILL QUOTE-CALCULATIONS'!J44</f>
        <v/>
      </c>
      <c r="K41" s="360" t="str">
        <f>IF(OR(C41&lt;1,C41=""),"",'FILL QUOTE-CALCULATIONS'!K44)</f>
        <v/>
      </c>
      <c r="L41" s="360" t="str">
        <f>IF(OR(C41&lt;1,C41=""),"",IF('FILL QUOTE-CALCULATIONS'!$S$4="INGLES",'FILL QUOTE-CALCULATIONS'!L44,VLOOKUP('FILL QUOTE-CALCULATIONS'!L44,'DROP LIST'!$B$25:$C$31,2,0)))</f>
        <v/>
      </c>
      <c r="M41" s="360" t="str">
        <f>IF(OR(E41&lt;1,E41=""),"",'FILL QUOTE-CALCULATIONS'!M44)</f>
        <v/>
      </c>
      <c r="N41" s="362" t="str">
        <f>IF(OR(C41&lt;1,C41=""),"",'FILL QUOTE-CALCULATIONS'!N44)</f>
        <v/>
      </c>
      <c r="O41" s="362" t="str">
        <f>IF(OR(C41&lt;1,C41=""),"",'FILL QUOTE-CALCULATIONS'!O44)</f>
        <v/>
      </c>
      <c r="P41" s="360" t="str">
        <f>IF(OR(C41&lt;1,C41=""),"",IF('FILL QUOTE-CALCULATIONS'!$S$4="INGLES",'FILL QUOTE-CALCULATIONS'!P44, VLOOKUP('FILL QUOTE-CALCULATIONS'!P44,'DROP LIST'!$E$25:$F$27,2,0)))</f>
        <v/>
      </c>
      <c r="Q41" s="360" t="str">
        <f>IF(OR(C41&lt;1,C41=""),"",IF('FILL QUOTE-CALCULATIONS'!$S$4="INGLES",'FILL QUOTE-CALCULATIONS'!Q44,VLOOKUP('FILL QUOTE-CALCULATIONS'!Q44,'DROP LIST'!$H$25:$I$36,2,0)))</f>
        <v/>
      </c>
      <c r="R41" s="362" t="str">
        <f>IF('FILL QUOTE-CALCULATIONS'!R44="","",'FILL QUOTE-CALCULATIONS'!R44)</f>
        <v/>
      </c>
      <c r="S41" s="360" t="str">
        <f>IF(OR(C41&lt;1,C41=""),"",IF('FILL QUOTE-CALCULATIONS'!$S$4="INGLES",'FILL QUOTE-CALCULATIONS'!S44,VLOOKUP('FILL QUOTE-CALCULATIONS'!S44,'DROP LIST'!$H$43:$I$46,2,0)))</f>
        <v/>
      </c>
      <c r="T41" s="363" t="str">
        <f>IF(OR(C41&lt;1,C41=""),"",'FILL QUOTE-CALCULATIONS'!T44)</f>
        <v/>
      </c>
      <c r="U41" s="364" t="str">
        <f>IF(OR(C41&lt;1,C41=""),"",'FILL QUOTE-CALCULATIONS'!W44)</f>
        <v/>
      </c>
      <c r="V41" s="365" t="str">
        <f>IF(OR(C41&lt;1,C41=""),"",IF('FILL QUOTE-CALCULATIONS'!$S$3="DOLLARS",'FILL QUOTE-CALCULATIONS'!AB44,'FILL QUOTE-CALCULATIONS'!AB44*'FILL QUOTE-CALCULATIONS'!$AC$4))</f>
        <v/>
      </c>
      <c r="W41" s="366" t="str">
        <f>IF(OR(C41&lt;1,C41=""),"",IF('FILL QUOTE-CALCULATIONS'!$S$3="DOLLARS",'FILL QUOTE-CALCULATIONS'!AC44,'FILL QUOTE-CALCULATIONS'!AC44*'FILL QUOTE-CALCULATIONS'!$AC$4))</f>
        <v/>
      </c>
      <c r="Y41" s="354"/>
      <c r="AA41" s="369" t="str">
        <f t="shared" si="0"/>
        <v>ESCONDER</v>
      </c>
    </row>
    <row r="42" spans="2:27" s="353" customFormat="1" ht="30" customHeight="1" x14ac:dyDescent="0.25">
      <c r="B42" s="359">
        <v>31</v>
      </c>
      <c r="C42" s="360">
        <f>IF(OR('FILL QUOTE-CALCULATIONS'!C45&lt;1,'FILL QUOTE-CALCULATIONS'!C45=""),"",'FILL QUOTE-CALCULATIONS'!C45)</f>
        <v>1</v>
      </c>
      <c r="D42" s="360" t="str">
        <f>IF(OR(C42&lt;1,C42=""),"",IF('FILL QUOTE-CALCULATIONS'!$S$4="INGLES",'FILL QUOTE-CALCULATIONS'!D45,VLOOKUP('FILL QUOTE-CALCULATIONS'!D45,'DROP LIST'!$B$7:$C$13,2,0)))</f>
        <v>PAR</v>
      </c>
      <c r="E42" s="360" t="str">
        <f>IF(OR(C42&lt;1,C42=""),"",IF('FILL QUOTE-CALCULATIONS'!$S$4="INGLES",'FILL QUOTE-CALCULATIONS'!E45,VLOOKUP('FILL QUOTE-CALCULATIONS'!E45,'DROP LIST'!$E$7:$F$15,2,0)))</f>
        <v>PLIEGUES-GANCHOS</v>
      </c>
      <c r="F42" s="360" t="str">
        <f>IF(OR(C42&lt;1,C42=""),"",IF('FILL QUOTE-CALCULATIONS'!$S$4="INGLES",'FILL QUOTE-CALCULATIONS'!F45,VLOOKUP('FILL QUOTE-CALCULATIONS'!F45,'DROP LIST'!$H$7:$I$19,2,0)))</f>
        <v>CORTINA 'BLACKOUT'</v>
      </c>
      <c r="G42" s="361">
        <f>IF(OR(C42&lt;1,C42=""),"",'FILL QUOTE-CALCULATIONS'!G45)</f>
        <v>2</v>
      </c>
      <c r="H42" s="360" t="str">
        <f>IF(OR(C42&lt;1,C42=""),"",IF('FILL QUOTE-CALCULATIONS'!$S$4="INGLES",'FILL QUOTE-CALCULATIONS'!H45,VLOOKUP('FILL QUOTE-CALCULATIONS'!H45,'DROP LIST'!$M$7:$N$10,2,0)))</f>
        <v>EN EXISTENCIA</v>
      </c>
      <c r="I42" s="360" t="str">
        <f>IF(OR(C42&lt;1,C42=""),"",IF('FILL QUOTE-CALCULATIONS'!$S$4="INGLES",'FILL QUOTE-CALCULATIONS'!I45,VLOOKUP('FILL QUOTE-CALCULATIONS'!I45,'DROP LIST'!$M$15:$N$18,2,0)))</f>
        <v>BO TEXTURIZADO</v>
      </c>
      <c r="J42" s="360" t="str">
        <f>'FILL QUOTE-CALCULATIONS'!J45</f>
        <v/>
      </c>
      <c r="K42" s="360" t="str">
        <f>IF(OR(C42&lt;1,C42=""),"",'FILL QUOTE-CALCULATIONS'!K45)</f>
        <v xml:space="preserve">CRETA SHELL </v>
      </c>
      <c r="L42" s="360" t="str">
        <f>IF(OR(C42&lt;1,C42=""),"",IF('FILL QUOTE-CALCULATIONS'!$S$4="INGLES",'FILL QUOTE-CALCULATIONS'!L45,VLOOKUP('FILL QUOTE-CALCULATIONS'!L45,'DROP LIST'!$B$25:$C$31,2,0)))</f>
        <v>N/A</v>
      </c>
      <c r="M42" s="360" t="str">
        <f>IF(OR(E42&lt;1,E42=""),"",'FILL QUOTE-CALCULATIONS'!M45)</f>
        <v xml:space="preserve">DUQUESA 2-1 RECAMARA </v>
      </c>
      <c r="N42" s="362">
        <f>IF(OR(C42&lt;1,C42=""),"",'FILL QUOTE-CALCULATIONS'!N45)</f>
        <v>131</v>
      </c>
      <c r="O42" s="362">
        <f>IF(OR(C42&lt;1,C42=""),"",'FILL QUOTE-CALCULATIONS'!O45)</f>
        <v>117.5</v>
      </c>
      <c r="P42" s="360" t="str">
        <f>IF(OR(C42&lt;1,C42=""),"",IF('FILL QUOTE-CALCULATIONS'!$S$4="INGLES",'FILL QUOTE-CALCULATIONS'!P45, VLOOKUP('FILL QUOTE-CALCULATIONS'!P45,'DROP LIST'!$E$25:$F$27,2,0)))</f>
        <v>AL TECHO</v>
      </c>
      <c r="Q42" s="360" t="str">
        <f>IF(OR(C42&lt;1,C42=""),"",IF('FILL QUOTE-CALCULATIONS'!$S$4="INGLES",'FILL QUOTE-CALCULATIONS'!Q45,VLOOKUP('FILL QUOTE-CALCULATIONS'!Q45,'DROP LIST'!$H$25:$I$36,2,0)))</f>
        <v>HOTELERO - BASTON - P.P.</v>
      </c>
      <c r="R42" s="362" t="str">
        <f>IF('FILL QUOTE-CALCULATIONS'!R45="","",'FILL QUOTE-CALCULATIONS'!R45)</f>
        <v xml:space="preserve">BLANCO </v>
      </c>
      <c r="S42" s="360" t="str">
        <f>IF(OR(C42&lt;1,C42=""),"",IF('FILL QUOTE-CALCULATIONS'!$S$4="INGLES",'FILL QUOTE-CALCULATIONS'!S45,VLOOKUP('FILL QUOTE-CALCULATIONS'!S45,'DROP LIST'!$H$43:$I$46,2,0)))</f>
        <v>BLANCO</v>
      </c>
      <c r="T42" s="363">
        <f>IF(OR(C42&lt;1,C42=""),"",'FILL QUOTE-CALCULATIONS'!T45)</f>
        <v>724.75</v>
      </c>
      <c r="U42" s="364">
        <f>IF(OR(C42&lt;1,C42=""),"",'FILL QUOTE-CALCULATIONS'!W45)</f>
        <v>116.2</v>
      </c>
      <c r="V42" s="365">
        <f>IF(OR(C42&lt;1,C42=""),"",IF('FILL QUOTE-CALCULATIONS'!$S$3="DOLLARS",'FILL QUOTE-CALCULATIONS'!AB45,'FILL QUOTE-CALCULATIONS'!AB45*'FILL QUOTE-CALCULATIONS'!$AC$4))</f>
        <v>840.95</v>
      </c>
      <c r="W42" s="366">
        <f>IF(OR(C42&lt;1,C42=""),"",IF('FILL QUOTE-CALCULATIONS'!$S$3="DOLLARS",'FILL QUOTE-CALCULATIONS'!AC45,'FILL QUOTE-CALCULATIONS'!AC45*'FILL QUOTE-CALCULATIONS'!$AC$4))</f>
        <v>840.95</v>
      </c>
      <c r="Y42" s="354"/>
      <c r="AA42" s="369" t="str">
        <f t="shared" si="0"/>
        <v>A LA VISTA</v>
      </c>
    </row>
    <row r="43" spans="2:27" s="353" customFormat="1" ht="30" hidden="1" customHeight="1" x14ac:dyDescent="0.25">
      <c r="B43" s="359" t="str">
        <f>IF(OR('FILL QUOTE-CALCULATIONS'!C46=0,'FILL QUOTE-CALCULATIONS'!C46=""),"",'FILL QUOTE-CALCULATIONS'!B46)</f>
        <v/>
      </c>
      <c r="C43" s="360" t="str">
        <f>IF(OR('FILL QUOTE-CALCULATIONS'!C46&lt;1,'FILL QUOTE-CALCULATIONS'!C46=""),"",'FILL QUOTE-CALCULATIONS'!C46)</f>
        <v/>
      </c>
      <c r="D43" s="360" t="str">
        <f>IF(OR(C43&lt;1,C43=""),"",IF('FILL QUOTE-CALCULATIONS'!$S$4="INGLES",'FILL QUOTE-CALCULATIONS'!D46,VLOOKUP('FILL QUOTE-CALCULATIONS'!D46,'DROP LIST'!$B$7:$C$13,2,0)))</f>
        <v/>
      </c>
      <c r="E43" s="360" t="str">
        <f>IF(OR(C43&lt;1,C43=""),"",IF('FILL QUOTE-CALCULATIONS'!$S$4="INGLES",'FILL QUOTE-CALCULATIONS'!E46,VLOOKUP('FILL QUOTE-CALCULATIONS'!E46,'DROP LIST'!$E$7:$F$15,2,0)))</f>
        <v/>
      </c>
      <c r="F43" s="360" t="str">
        <f>IF(OR(C43&lt;1,C43=""),"",IF('FILL QUOTE-CALCULATIONS'!$S$4="INGLES",'FILL QUOTE-CALCULATIONS'!F46,VLOOKUP('FILL QUOTE-CALCULATIONS'!F46,'DROP LIST'!$H$7:$I$19,2,0)))</f>
        <v/>
      </c>
      <c r="G43" s="361" t="str">
        <f>IF(OR(C43&lt;1,C43=""),"",'FILL QUOTE-CALCULATIONS'!G46)</f>
        <v/>
      </c>
      <c r="H43" s="360" t="str">
        <f>IF(OR(C43&lt;1,C43=""),"",IF('FILL QUOTE-CALCULATIONS'!$S$4="INGLES",'FILL QUOTE-CALCULATIONS'!H46,VLOOKUP('FILL QUOTE-CALCULATIONS'!H46,'DROP LIST'!$M$7:$N$10,2,0)))</f>
        <v/>
      </c>
      <c r="I43" s="360" t="str">
        <f>IF(OR(C43&lt;1,C43=""),"",IF('FILL QUOTE-CALCULATIONS'!$S$4="INGLES",'FILL QUOTE-CALCULATIONS'!I46,VLOOKUP('FILL QUOTE-CALCULATIONS'!I46,'DROP LIST'!$M$15:$N$18,2,0)))</f>
        <v/>
      </c>
      <c r="J43" s="360" t="str">
        <f>'FILL QUOTE-CALCULATIONS'!J46</f>
        <v/>
      </c>
      <c r="K43" s="360" t="str">
        <f>IF(OR(C43&lt;1,C43=""),"",'FILL QUOTE-CALCULATIONS'!K46)</f>
        <v/>
      </c>
      <c r="L43" s="360" t="str">
        <f>IF(OR(C43&lt;1,C43=""),"",IF('FILL QUOTE-CALCULATIONS'!$S$4="INGLES",'FILL QUOTE-CALCULATIONS'!L46,VLOOKUP('FILL QUOTE-CALCULATIONS'!L46,'DROP LIST'!$B$25:$C$31,2,0)))</f>
        <v/>
      </c>
      <c r="M43" s="360" t="str">
        <f>IF(OR(E43&lt;1,E43=""),"",'FILL QUOTE-CALCULATIONS'!M46)</f>
        <v/>
      </c>
      <c r="N43" s="362" t="str">
        <f>IF(OR(C43&lt;1,C43=""),"",'FILL QUOTE-CALCULATIONS'!N46)</f>
        <v/>
      </c>
      <c r="O43" s="362" t="str">
        <f>IF(OR(C43&lt;1,C43=""),"",'FILL QUOTE-CALCULATIONS'!O46)</f>
        <v/>
      </c>
      <c r="P43" s="360" t="str">
        <f>IF(OR(C43&lt;1,C43=""),"",IF('FILL QUOTE-CALCULATIONS'!$S$4="INGLES",'FILL QUOTE-CALCULATIONS'!P46, VLOOKUP('FILL QUOTE-CALCULATIONS'!P46,'DROP LIST'!$E$25:$F$27,2,0)))</f>
        <v/>
      </c>
      <c r="Q43" s="360" t="str">
        <f>IF(OR(C43&lt;1,C43=""),"",IF('FILL QUOTE-CALCULATIONS'!$S$4="INGLES",'FILL QUOTE-CALCULATIONS'!Q46,VLOOKUP('FILL QUOTE-CALCULATIONS'!Q46,'DROP LIST'!$H$25:$I$36,2,0)))</f>
        <v/>
      </c>
      <c r="R43" s="362" t="str">
        <f>IF('FILL QUOTE-CALCULATIONS'!R46="","",'FILL QUOTE-CALCULATIONS'!R46)</f>
        <v/>
      </c>
      <c r="S43" s="360" t="str">
        <f>IF(OR(C43&lt;1,C43=""),"",IF('FILL QUOTE-CALCULATIONS'!$S$4="INGLES",'FILL QUOTE-CALCULATIONS'!S46,VLOOKUP('FILL QUOTE-CALCULATIONS'!S46,'DROP LIST'!$H$43:$I$46,2,0)))</f>
        <v/>
      </c>
      <c r="T43" s="363" t="str">
        <f>IF(OR(C43&lt;1,C43=""),"",'FILL QUOTE-CALCULATIONS'!T46)</f>
        <v/>
      </c>
      <c r="U43" s="364" t="str">
        <f>IF(OR(C43&lt;1,C43=""),"",'FILL QUOTE-CALCULATIONS'!W46)</f>
        <v/>
      </c>
      <c r="V43" s="365" t="str">
        <f>IF(OR(C43&lt;1,C43=""),"",IF('FILL QUOTE-CALCULATIONS'!$S$3="DOLLARS",'FILL QUOTE-CALCULATIONS'!AB46,'FILL QUOTE-CALCULATIONS'!AB46*'FILL QUOTE-CALCULATIONS'!$AC$4))</f>
        <v/>
      </c>
      <c r="W43" s="366" t="str">
        <f>IF(OR(C43&lt;1,C43=""),"",IF('FILL QUOTE-CALCULATIONS'!$S$3="DOLLARS",'FILL QUOTE-CALCULATIONS'!AC46,'FILL QUOTE-CALCULATIONS'!AC46*'FILL QUOTE-CALCULATIONS'!$AC$4))</f>
        <v/>
      </c>
      <c r="Y43" s="354"/>
      <c r="AA43" s="369" t="str">
        <f t="shared" si="0"/>
        <v>ESCONDER</v>
      </c>
    </row>
    <row r="44" spans="2:27" s="353" customFormat="1" ht="30" customHeight="1" x14ac:dyDescent="0.25">
      <c r="B44" s="359">
        <v>31</v>
      </c>
      <c r="C44" s="360">
        <f>IF(OR('FILL QUOTE-CALCULATIONS'!C47&lt;1,'FILL QUOTE-CALCULATIONS'!C47=""),"",'FILL QUOTE-CALCULATIONS'!C47)</f>
        <v>1</v>
      </c>
      <c r="D44" s="360" t="str">
        <f>IF(OR(C44&lt;1,C44=""),"",IF('FILL QUOTE-CALCULATIONS'!$S$4="INGLES",'FILL QUOTE-CALCULATIONS'!D47,VLOOKUP('FILL QUOTE-CALCULATIONS'!D47,'DROP LIST'!$B$7:$C$13,2,0)))</f>
        <v>PAR</v>
      </c>
      <c r="E44" s="360" t="str">
        <f>IF(OR(C44&lt;1,C44=""),"",IF('FILL QUOTE-CALCULATIONS'!$S$4="INGLES",'FILL QUOTE-CALCULATIONS'!E47,VLOOKUP('FILL QUOTE-CALCULATIONS'!E47,'DROP LIST'!$E$7:$F$15,2,0)))</f>
        <v>PLIEGUES-GANCHOS</v>
      </c>
      <c r="F44" s="360" t="str">
        <f>IF(OR(C44&lt;1,C44=""),"",IF('FILL QUOTE-CALCULATIONS'!$S$4="INGLES",'FILL QUOTE-CALCULATIONS'!F47,VLOOKUP('FILL QUOTE-CALCULATIONS'!F47,'DROP LIST'!$H$7:$I$19,2,0)))</f>
        <v>CORTINA 'BLACKOUT'</v>
      </c>
      <c r="G44" s="361">
        <f>IF(OR(C44&lt;1,C44=""),"",'FILL QUOTE-CALCULATIONS'!G47)</f>
        <v>2</v>
      </c>
      <c r="H44" s="360" t="str">
        <f>IF(OR(C44&lt;1,C44=""),"",IF('FILL QUOTE-CALCULATIONS'!$S$4="INGLES",'FILL QUOTE-CALCULATIONS'!H47,VLOOKUP('FILL QUOTE-CALCULATIONS'!H47,'DROP LIST'!$M$7:$N$10,2,0)))</f>
        <v>EN EXISTENCIA</v>
      </c>
      <c r="I44" s="360" t="str">
        <f>IF(OR(C44&lt;1,C44=""),"",IF('FILL QUOTE-CALCULATIONS'!$S$4="INGLES",'FILL QUOTE-CALCULATIONS'!I47,VLOOKUP('FILL QUOTE-CALCULATIONS'!I47,'DROP LIST'!$M$15:$N$18,2,0)))</f>
        <v>BO TEXTURIZADO</v>
      </c>
      <c r="J44" s="360" t="str">
        <f>'FILL QUOTE-CALCULATIONS'!J47</f>
        <v/>
      </c>
      <c r="K44" s="360" t="str">
        <f>IF(OR(C44&lt;1,C44=""),"",'FILL QUOTE-CALCULATIONS'!K47)</f>
        <v xml:space="preserve">CRETA SHELL </v>
      </c>
      <c r="L44" s="360" t="str">
        <f>IF(OR(C44&lt;1,C44=""),"",IF('FILL QUOTE-CALCULATIONS'!$S$4="INGLES",'FILL QUOTE-CALCULATIONS'!L47,VLOOKUP('FILL QUOTE-CALCULATIONS'!L47,'DROP LIST'!$B$25:$C$31,2,0)))</f>
        <v>N/A</v>
      </c>
      <c r="M44" s="360" t="str">
        <f>IF(OR(E44&lt;1,E44=""),"",'FILL QUOTE-CALCULATIONS'!M47)</f>
        <v xml:space="preserve">DUQUESA 2-1 SALA </v>
      </c>
      <c r="N44" s="362">
        <f>IF(OR(C44&lt;1,C44=""),"",'FILL QUOTE-CALCULATIONS'!N47)</f>
        <v>103</v>
      </c>
      <c r="O44" s="362">
        <f>IF(OR(C44&lt;1,C44=""),"",'FILL QUOTE-CALCULATIONS'!O47)</f>
        <v>117.5</v>
      </c>
      <c r="P44" s="360" t="str">
        <f>IF(OR(C44&lt;1,C44=""),"",IF('FILL QUOTE-CALCULATIONS'!$S$4="INGLES",'FILL QUOTE-CALCULATIONS'!P47, VLOOKUP('FILL QUOTE-CALCULATIONS'!P47,'DROP LIST'!$E$25:$F$27,2,0)))</f>
        <v>AL TECHO</v>
      </c>
      <c r="Q44" s="360" t="str">
        <f>IF(OR(C44&lt;1,C44=""),"",IF('FILL QUOTE-CALCULATIONS'!$S$4="INGLES",'FILL QUOTE-CALCULATIONS'!Q47,VLOOKUP('FILL QUOTE-CALCULATIONS'!Q47,'DROP LIST'!$H$25:$I$36,2,0)))</f>
        <v>HOTELERO - BASTON - P.P.</v>
      </c>
      <c r="R44" s="362" t="str">
        <f>IF('FILL QUOTE-CALCULATIONS'!R47="","",'FILL QUOTE-CALCULATIONS'!R47)</f>
        <v xml:space="preserve">BLANCO </v>
      </c>
      <c r="S44" s="360" t="str">
        <f>IF(OR(C44&lt;1,C44=""),"",IF('FILL QUOTE-CALCULATIONS'!$S$4="INGLES",'FILL QUOTE-CALCULATIONS'!S47,VLOOKUP('FILL QUOTE-CALCULATIONS'!S47,'DROP LIST'!$H$43:$I$46,2,0)))</f>
        <v>BLANCO</v>
      </c>
      <c r="T44" s="363">
        <f>IF(OR(C44&lt;1,C44=""),"",'FILL QUOTE-CALCULATIONS'!T47)</f>
        <v>594.25</v>
      </c>
      <c r="U44" s="364">
        <f>IF(OR(C44&lt;1,C44=""),"",'FILL QUOTE-CALCULATIONS'!W47)</f>
        <v>94.65</v>
      </c>
      <c r="V44" s="365">
        <f>IF(OR(C44&lt;1,C44=""),"",IF('FILL QUOTE-CALCULATIONS'!$S$3="DOLLARS",'FILL QUOTE-CALCULATIONS'!AB47,'FILL QUOTE-CALCULATIONS'!AB47*'FILL QUOTE-CALCULATIONS'!$AC$4))</f>
        <v>688.9</v>
      </c>
      <c r="W44" s="366">
        <f>IF(OR(C44&lt;1,C44=""),"",IF('FILL QUOTE-CALCULATIONS'!$S$3="DOLLARS",'FILL QUOTE-CALCULATIONS'!AC47,'FILL QUOTE-CALCULATIONS'!AC47*'FILL QUOTE-CALCULATIONS'!$AC$4))</f>
        <v>688.9</v>
      </c>
      <c r="Y44" s="354"/>
      <c r="AA44" s="369" t="str">
        <f t="shared" si="0"/>
        <v>A LA VISTA</v>
      </c>
    </row>
    <row r="45" spans="2:27" s="353" customFormat="1" ht="30" customHeight="1" x14ac:dyDescent="0.25">
      <c r="B45" s="359">
        <v>32</v>
      </c>
      <c r="C45" s="360">
        <f>IF(OR('FILL QUOTE-CALCULATIONS'!C48&lt;1,'FILL QUOTE-CALCULATIONS'!C48=""),"",'FILL QUOTE-CALCULATIONS'!C48)</f>
        <v>1</v>
      </c>
      <c r="D45" s="360" t="str">
        <f>IF(OR(C45&lt;1,C45=""),"",IF('FILL QUOTE-CALCULATIONS'!$S$4="INGLES",'FILL QUOTE-CALCULATIONS'!D48,VLOOKUP('FILL QUOTE-CALCULATIONS'!D48,'DROP LIST'!$B$7:$C$13,2,0)))</f>
        <v>PAR</v>
      </c>
      <c r="E45" s="360" t="str">
        <f>IF(OR(C45&lt;1,C45=""),"",IF('FILL QUOTE-CALCULATIONS'!$S$4="INGLES",'FILL QUOTE-CALCULATIONS'!E48,VLOOKUP('FILL QUOTE-CALCULATIONS'!E48,'DROP LIST'!$E$7:$F$15,2,0)))</f>
        <v>PLIEGUES-GANCHOS</v>
      </c>
      <c r="F45" s="360" t="str">
        <f>IF(OR(C45&lt;1,C45=""),"",IF('FILL QUOTE-CALCULATIONS'!$S$4="INGLES",'FILL QUOTE-CALCULATIONS'!F48,VLOOKUP('FILL QUOTE-CALCULATIONS'!F48,'DROP LIST'!$H$7:$I$19,2,0)))</f>
        <v>CORTINA 'BLACKOUT'</v>
      </c>
      <c r="G45" s="361">
        <f>IF(OR(C45&lt;1,C45=""),"",'FILL QUOTE-CALCULATIONS'!G48)</f>
        <v>2</v>
      </c>
      <c r="H45" s="360" t="str">
        <f>IF(OR(C45&lt;1,C45=""),"",IF('FILL QUOTE-CALCULATIONS'!$S$4="INGLES",'FILL QUOTE-CALCULATIONS'!H48,VLOOKUP('FILL QUOTE-CALCULATIONS'!H48,'DROP LIST'!$M$7:$N$10,2,0)))</f>
        <v>EN EXISTENCIA</v>
      </c>
      <c r="I45" s="360" t="str">
        <f>IF(OR(C45&lt;1,C45=""),"",IF('FILL QUOTE-CALCULATIONS'!$S$4="INGLES",'FILL QUOTE-CALCULATIONS'!I48,VLOOKUP('FILL QUOTE-CALCULATIONS'!I48,'DROP LIST'!$M$15:$N$18,2,0)))</f>
        <v>BO TEXTURIZADO</v>
      </c>
      <c r="J45" s="360" t="str">
        <f>'FILL QUOTE-CALCULATIONS'!J48</f>
        <v/>
      </c>
      <c r="K45" s="360" t="str">
        <f>IF(OR(C45&lt;1,C45=""),"",'FILL QUOTE-CALCULATIONS'!K48)</f>
        <v xml:space="preserve">CRETA SHELL </v>
      </c>
      <c r="L45" s="360" t="str">
        <f>IF(OR(C45&lt;1,C45=""),"",IF('FILL QUOTE-CALCULATIONS'!$S$4="INGLES",'FILL QUOTE-CALCULATIONS'!L48,VLOOKUP('FILL QUOTE-CALCULATIONS'!L48,'DROP LIST'!$B$25:$C$31,2,0)))</f>
        <v>N/A</v>
      </c>
      <c r="M45" s="360" t="str">
        <f>IF(OR(E45&lt;1,E45=""),"",'FILL QUOTE-CALCULATIONS'!M48)</f>
        <v xml:space="preserve">DUQUESA 2- 2  SALA </v>
      </c>
      <c r="N45" s="362">
        <f>IF(OR(C45&lt;1,C45=""),"",'FILL QUOTE-CALCULATIONS'!N48)</f>
        <v>91</v>
      </c>
      <c r="O45" s="362">
        <f>IF(OR(C45&lt;1,C45=""),"",'FILL QUOTE-CALCULATIONS'!O48)</f>
        <v>117.25</v>
      </c>
      <c r="P45" s="360" t="str">
        <f>IF(OR(C45&lt;1,C45=""),"",IF('FILL QUOTE-CALCULATIONS'!$S$4="INGLES",'FILL QUOTE-CALCULATIONS'!P48, VLOOKUP('FILL QUOTE-CALCULATIONS'!P48,'DROP LIST'!$E$25:$F$27,2,0)))</f>
        <v>AL TECHO</v>
      </c>
      <c r="Q45" s="360" t="str">
        <f>IF(OR(C45&lt;1,C45=""),"",IF('FILL QUOTE-CALCULATIONS'!$S$4="INGLES",'FILL QUOTE-CALCULATIONS'!Q48,VLOOKUP('FILL QUOTE-CALCULATIONS'!Q48,'DROP LIST'!$H$25:$I$36,2,0)))</f>
        <v>HOTELERO - BASTON - P.P.</v>
      </c>
      <c r="R45" s="362" t="str">
        <f>IF('FILL QUOTE-CALCULATIONS'!R48="","",'FILL QUOTE-CALCULATIONS'!R48)</f>
        <v xml:space="preserve">BLANCO </v>
      </c>
      <c r="S45" s="360" t="str">
        <f>IF(OR(C45&lt;1,C45=""),"",IF('FILL QUOTE-CALCULATIONS'!$S$4="INGLES",'FILL QUOTE-CALCULATIONS'!S48,VLOOKUP('FILL QUOTE-CALCULATIONS'!S48,'DROP LIST'!$H$43:$I$46,2,0)))</f>
        <v>BLANCO</v>
      </c>
      <c r="T45" s="363">
        <f>IF(OR(C45&lt;1,C45=""),"",'FILL QUOTE-CALCULATIONS'!T48)</f>
        <v>529</v>
      </c>
      <c r="U45" s="364">
        <f>IF(OR(C45&lt;1,C45=""),"",'FILL QUOTE-CALCULATIONS'!W48)</f>
        <v>85.4</v>
      </c>
      <c r="V45" s="365">
        <f>IF(OR(C45&lt;1,C45=""),"",IF('FILL QUOTE-CALCULATIONS'!$S$3="DOLLARS",'FILL QUOTE-CALCULATIONS'!AB48,'FILL QUOTE-CALCULATIONS'!AB48*'FILL QUOTE-CALCULATIONS'!$AC$4))</f>
        <v>614.4</v>
      </c>
      <c r="W45" s="366">
        <f>IF(OR(C45&lt;1,C45=""),"",IF('FILL QUOTE-CALCULATIONS'!$S$3="DOLLARS",'FILL QUOTE-CALCULATIONS'!AC48,'FILL QUOTE-CALCULATIONS'!AC48*'FILL QUOTE-CALCULATIONS'!$AC$4))</f>
        <v>614.4</v>
      </c>
      <c r="Y45" s="354"/>
      <c r="AA45" s="369" t="str">
        <f t="shared" si="0"/>
        <v>A LA VISTA</v>
      </c>
    </row>
    <row r="46" spans="2:27" s="353" customFormat="1" ht="30" customHeight="1" x14ac:dyDescent="0.25">
      <c r="B46" s="359">
        <v>33</v>
      </c>
      <c r="C46" s="360">
        <f>IF(OR('FILL QUOTE-CALCULATIONS'!C49&lt;1,'FILL QUOTE-CALCULATIONS'!C49=""),"",'FILL QUOTE-CALCULATIONS'!C49)</f>
        <v>1</v>
      </c>
      <c r="D46" s="360" t="str">
        <f>IF(OR(C46&lt;1,C46=""),"",IF('FILL QUOTE-CALCULATIONS'!$S$4="INGLES",'FILL QUOTE-CALCULATIONS'!D49,VLOOKUP('FILL QUOTE-CALCULATIONS'!D49,'DROP LIST'!$B$7:$C$13,2,0)))</f>
        <v>PAR</v>
      </c>
      <c r="E46" s="360" t="str">
        <f>IF(OR(C46&lt;1,C46=""),"",IF('FILL QUOTE-CALCULATIONS'!$S$4="INGLES",'FILL QUOTE-CALCULATIONS'!E49,VLOOKUP('FILL QUOTE-CALCULATIONS'!E49,'DROP LIST'!$E$7:$F$15,2,0)))</f>
        <v>PLIEGUES-GANCHOS</v>
      </c>
      <c r="F46" s="360" t="str">
        <f>IF(OR(C46&lt;1,C46=""),"",IF('FILL QUOTE-CALCULATIONS'!$S$4="INGLES",'FILL QUOTE-CALCULATIONS'!F49,VLOOKUP('FILL QUOTE-CALCULATIONS'!F49,'DROP LIST'!$H$7:$I$19,2,0)))</f>
        <v>CORTINA 'BLACKOUT'</v>
      </c>
      <c r="G46" s="361">
        <f>IF(OR(C46&lt;1,C46=""),"",'FILL QUOTE-CALCULATIONS'!G49)</f>
        <v>2</v>
      </c>
      <c r="H46" s="360" t="str">
        <f>IF(OR(C46&lt;1,C46=""),"",IF('FILL QUOTE-CALCULATIONS'!$S$4="INGLES",'FILL QUOTE-CALCULATIONS'!H49,VLOOKUP('FILL QUOTE-CALCULATIONS'!H49,'DROP LIST'!$M$7:$N$10,2,0)))</f>
        <v>EN EXISTENCIA</v>
      </c>
      <c r="I46" s="360" t="str">
        <f>IF(OR(C46&lt;1,C46=""),"",IF('FILL QUOTE-CALCULATIONS'!$S$4="INGLES",'FILL QUOTE-CALCULATIONS'!I49,VLOOKUP('FILL QUOTE-CALCULATIONS'!I49,'DROP LIST'!$M$15:$N$18,2,0)))</f>
        <v>BO TEXTURIZADO</v>
      </c>
      <c r="J46" s="360" t="str">
        <f>'FILL QUOTE-CALCULATIONS'!J49</f>
        <v/>
      </c>
      <c r="K46" s="360" t="str">
        <f>IF(OR(C46&lt;1,C46=""),"",'FILL QUOTE-CALCULATIONS'!K49)</f>
        <v xml:space="preserve">CRETA SHELL </v>
      </c>
      <c r="L46" s="360" t="str">
        <f>IF(OR(C46&lt;1,C46=""),"",IF('FILL QUOTE-CALCULATIONS'!$S$4="INGLES",'FILL QUOTE-CALCULATIONS'!L49,VLOOKUP('FILL QUOTE-CALCULATIONS'!L49,'DROP LIST'!$B$25:$C$31,2,0)))</f>
        <v>N/A</v>
      </c>
      <c r="M46" s="360" t="str">
        <f>IF(OR(E46&lt;1,E46=""),"",'FILL QUOTE-CALCULATIONS'!M49)</f>
        <v xml:space="preserve">DUQUESA 2-2 RECAMARA </v>
      </c>
      <c r="N46" s="362">
        <f>IF(OR(C46&lt;1,C46=""),"",'FILL QUOTE-CALCULATIONS'!N49)</f>
        <v>131</v>
      </c>
      <c r="O46" s="362">
        <f>IF(OR(C46&lt;1,C46=""),"",'FILL QUOTE-CALCULATIONS'!O49)</f>
        <v>116.875</v>
      </c>
      <c r="P46" s="360" t="str">
        <f>IF(OR(C46&lt;1,C46=""),"",IF('FILL QUOTE-CALCULATIONS'!$S$4="INGLES",'FILL QUOTE-CALCULATIONS'!P49, VLOOKUP('FILL QUOTE-CALCULATIONS'!P49,'DROP LIST'!$E$25:$F$27,2,0)))</f>
        <v>AL TECHO</v>
      </c>
      <c r="Q46" s="360" t="str">
        <f>IF(OR(C46&lt;1,C46=""),"",IF('FILL QUOTE-CALCULATIONS'!$S$4="INGLES",'FILL QUOTE-CALCULATIONS'!Q49,VLOOKUP('FILL QUOTE-CALCULATIONS'!Q49,'DROP LIST'!$H$25:$I$36,2,0)))</f>
        <v>HOTELERO - BASTON - P.P.</v>
      </c>
      <c r="R46" s="362" t="str">
        <f>IF('FILL QUOTE-CALCULATIONS'!R49="","",'FILL QUOTE-CALCULATIONS'!R49)</f>
        <v xml:space="preserve">BLANCO </v>
      </c>
      <c r="S46" s="360" t="str">
        <f>IF(OR(C46&lt;1,C46=""),"",IF('FILL QUOTE-CALCULATIONS'!$S$4="INGLES",'FILL QUOTE-CALCULATIONS'!S49,VLOOKUP('FILL QUOTE-CALCULATIONS'!S49,'DROP LIST'!$H$43:$I$46,2,0)))</f>
        <v>BLANCO</v>
      </c>
      <c r="T46" s="363">
        <f>IF(OR(C46&lt;1,C46=""),"",'FILL QUOTE-CALCULATIONS'!T49)</f>
        <v>717.75</v>
      </c>
      <c r="U46" s="364">
        <f>IF(OR(C46&lt;1,C46=""),"",'FILL QUOTE-CALCULATIONS'!W49)</f>
        <v>116.2</v>
      </c>
      <c r="V46" s="365">
        <f>IF(OR(C46&lt;1,C46=""),"",IF('FILL QUOTE-CALCULATIONS'!$S$3="DOLLARS",'FILL QUOTE-CALCULATIONS'!AB49,'FILL QUOTE-CALCULATIONS'!AB49*'FILL QUOTE-CALCULATIONS'!$AC$4))</f>
        <v>833.95</v>
      </c>
      <c r="W46" s="366">
        <f>IF(OR(C46&lt;1,C46=""),"",IF('FILL QUOTE-CALCULATIONS'!$S$3="DOLLARS",'FILL QUOTE-CALCULATIONS'!AC49,'FILL QUOTE-CALCULATIONS'!AC49*'FILL QUOTE-CALCULATIONS'!$AC$4))</f>
        <v>833.95</v>
      </c>
      <c r="Y46" s="354"/>
      <c r="AA46" s="369" t="str">
        <f t="shared" si="0"/>
        <v>A LA VISTA</v>
      </c>
    </row>
    <row r="47" spans="2:27" s="353" customFormat="1" ht="30" hidden="1" customHeight="1" x14ac:dyDescent="0.25">
      <c r="B47" s="359" t="str">
        <f>IF(OR('FILL QUOTE-CALCULATIONS'!C50=0,'FILL QUOTE-CALCULATIONS'!C50=""),"",'FILL QUOTE-CALCULATIONS'!B50)</f>
        <v/>
      </c>
      <c r="C47" s="360" t="str">
        <f>IF(OR('FILL QUOTE-CALCULATIONS'!C50&lt;1,'FILL QUOTE-CALCULATIONS'!C50=""),"",'FILL QUOTE-CALCULATIONS'!C50)</f>
        <v/>
      </c>
      <c r="D47" s="360" t="str">
        <f>IF(OR(C47&lt;1,C47=""),"",IF('FILL QUOTE-CALCULATIONS'!$S$4="INGLES",'FILL QUOTE-CALCULATIONS'!D50,VLOOKUP('FILL QUOTE-CALCULATIONS'!D50,'DROP LIST'!$B$7:$C$13,2,0)))</f>
        <v/>
      </c>
      <c r="E47" s="360" t="str">
        <f>IF(OR(C47&lt;1,C47=""),"",IF('FILL QUOTE-CALCULATIONS'!$S$4="INGLES",'FILL QUOTE-CALCULATIONS'!E50,VLOOKUP('FILL QUOTE-CALCULATIONS'!E50,'DROP LIST'!$E$7:$F$15,2,0)))</f>
        <v/>
      </c>
      <c r="F47" s="360" t="str">
        <f>IF(OR(C47&lt;1,C47=""),"",IF('FILL QUOTE-CALCULATIONS'!$S$4="INGLES",'FILL QUOTE-CALCULATIONS'!F50,VLOOKUP('FILL QUOTE-CALCULATIONS'!F50,'DROP LIST'!$H$7:$I$19,2,0)))</f>
        <v/>
      </c>
      <c r="G47" s="361" t="str">
        <f>IF(OR(C47&lt;1,C47=""),"",'FILL QUOTE-CALCULATIONS'!G50)</f>
        <v/>
      </c>
      <c r="H47" s="360" t="str">
        <f>IF(OR(C47&lt;1,C47=""),"",IF('FILL QUOTE-CALCULATIONS'!$S$4="INGLES",'FILL QUOTE-CALCULATIONS'!H50,VLOOKUP('FILL QUOTE-CALCULATIONS'!H50,'DROP LIST'!$M$7:$N$10,2,0)))</f>
        <v/>
      </c>
      <c r="I47" s="360" t="str">
        <f>IF(OR(C47&lt;1,C47=""),"",IF('FILL QUOTE-CALCULATIONS'!$S$4="INGLES",'FILL QUOTE-CALCULATIONS'!I50,VLOOKUP('FILL QUOTE-CALCULATIONS'!I50,'DROP LIST'!$M$15:$N$18,2,0)))</f>
        <v/>
      </c>
      <c r="J47" s="360" t="str">
        <f>'FILL QUOTE-CALCULATIONS'!J50</f>
        <v/>
      </c>
      <c r="K47" s="360" t="str">
        <f>IF(OR(C47&lt;1,C47=""),"",'FILL QUOTE-CALCULATIONS'!K50)</f>
        <v/>
      </c>
      <c r="L47" s="360" t="str">
        <f>IF(OR(C47&lt;1,C47=""),"",IF('FILL QUOTE-CALCULATIONS'!$S$4="INGLES",'FILL QUOTE-CALCULATIONS'!L50,VLOOKUP('FILL QUOTE-CALCULATIONS'!L50,'DROP LIST'!$B$25:$C$31,2,0)))</f>
        <v/>
      </c>
      <c r="M47" s="360" t="str">
        <f>IF(OR(E47&lt;1,E47=""),"",'FILL QUOTE-CALCULATIONS'!M50)</f>
        <v/>
      </c>
      <c r="N47" s="362" t="str">
        <f>IF(OR(C47&lt;1,C47=""),"",'FILL QUOTE-CALCULATIONS'!N50)</f>
        <v/>
      </c>
      <c r="O47" s="362" t="str">
        <f>IF(OR(C47&lt;1,C47=""),"",'FILL QUOTE-CALCULATIONS'!O50)</f>
        <v/>
      </c>
      <c r="P47" s="360" t="str">
        <f>IF(OR(C47&lt;1,C47=""),"",IF('FILL QUOTE-CALCULATIONS'!$S$4="INGLES",'FILL QUOTE-CALCULATIONS'!P50, VLOOKUP('FILL QUOTE-CALCULATIONS'!P50,'DROP LIST'!$E$25:$F$27,2,0)))</f>
        <v/>
      </c>
      <c r="Q47" s="360" t="str">
        <f>IF(OR(C47&lt;1,C47=""),"",IF('FILL QUOTE-CALCULATIONS'!$S$4="INGLES",'FILL QUOTE-CALCULATIONS'!Q50,VLOOKUP('FILL QUOTE-CALCULATIONS'!Q50,'DROP LIST'!$H$25:$I$36,2,0)))</f>
        <v/>
      </c>
      <c r="R47" s="362" t="str">
        <f>IF('FILL QUOTE-CALCULATIONS'!R50="","",'FILL QUOTE-CALCULATIONS'!R50)</f>
        <v/>
      </c>
      <c r="S47" s="360" t="str">
        <f>IF(OR(C47&lt;1,C47=""),"",IF('FILL QUOTE-CALCULATIONS'!$S$4="INGLES",'FILL QUOTE-CALCULATIONS'!S50,VLOOKUP('FILL QUOTE-CALCULATIONS'!S50,'DROP LIST'!$H$43:$I$46,2,0)))</f>
        <v/>
      </c>
      <c r="T47" s="363" t="str">
        <f>IF(OR(C47&lt;1,C47=""),"",'FILL QUOTE-CALCULATIONS'!T50)</f>
        <v/>
      </c>
      <c r="U47" s="364" t="str">
        <f>IF(OR(C47&lt;1,C47=""),"",'FILL QUOTE-CALCULATIONS'!W50)</f>
        <v/>
      </c>
      <c r="V47" s="365" t="str">
        <f>IF(OR(C47&lt;1,C47=""),"",IF('FILL QUOTE-CALCULATIONS'!$S$3="DOLLARS",'FILL QUOTE-CALCULATIONS'!AB50,'FILL QUOTE-CALCULATIONS'!AB50*'FILL QUOTE-CALCULATIONS'!$AC$4))</f>
        <v/>
      </c>
      <c r="W47" s="366" t="str">
        <f>IF(OR(C47&lt;1,C47=""),"",IF('FILL QUOTE-CALCULATIONS'!$S$3="DOLLARS",'FILL QUOTE-CALCULATIONS'!AC50,'FILL QUOTE-CALCULATIONS'!AC50*'FILL QUOTE-CALCULATIONS'!$AC$4))</f>
        <v/>
      </c>
      <c r="Y47" s="354"/>
      <c r="AA47" s="369" t="str">
        <f t="shared" si="0"/>
        <v>ESCONDER</v>
      </c>
    </row>
    <row r="48" spans="2:27" s="353" customFormat="1" ht="30" customHeight="1" x14ac:dyDescent="0.25">
      <c r="B48" s="359">
        <v>34</v>
      </c>
      <c r="C48" s="360">
        <f>IF(OR('FILL QUOTE-CALCULATIONS'!C51&lt;1,'FILL QUOTE-CALCULATIONS'!C51=""),"",'FILL QUOTE-CALCULATIONS'!C51)</f>
        <v>1</v>
      </c>
      <c r="D48" s="360" t="str">
        <f>IF(OR(C48&lt;1,C48=""),"",IF('FILL QUOTE-CALCULATIONS'!$S$4="INGLES",'FILL QUOTE-CALCULATIONS'!D51,VLOOKUP('FILL QUOTE-CALCULATIONS'!D51,'DROP LIST'!$B$7:$C$13,2,0)))</f>
        <v>PAR</v>
      </c>
      <c r="E48" s="360" t="str">
        <f>IF(OR(C48&lt;1,C48=""),"",IF('FILL QUOTE-CALCULATIONS'!$S$4="INGLES",'FILL QUOTE-CALCULATIONS'!E51,VLOOKUP('FILL QUOTE-CALCULATIONS'!E51,'DROP LIST'!$E$7:$F$15,2,0)))</f>
        <v>PLIEGUES-GANCHOS</v>
      </c>
      <c r="F48" s="360" t="str">
        <f>IF(OR(C48&lt;1,C48=""),"",IF('FILL QUOTE-CALCULATIONS'!$S$4="INGLES",'FILL QUOTE-CALCULATIONS'!F51,VLOOKUP('FILL QUOTE-CALCULATIONS'!F51,'DROP LIST'!$H$7:$I$19,2,0)))</f>
        <v>CORTINA 'BLACKOUT'</v>
      </c>
      <c r="G48" s="361">
        <f>IF(OR(C48&lt;1,C48=""),"",'FILL QUOTE-CALCULATIONS'!G51)</f>
        <v>2</v>
      </c>
      <c r="H48" s="360" t="str">
        <f>IF(OR(C48&lt;1,C48=""),"",IF('FILL QUOTE-CALCULATIONS'!$S$4="INGLES",'FILL QUOTE-CALCULATIONS'!H51,VLOOKUP('FILL QUOTE-CALCULATIONS'!H51,'DROP LIST'!$M$7:$N$10,2,0)))</f>
        <v>EN EXISTENCIA</v>
      </c>
      <c r="I48" s="360" t="str">
        <f>IF(OR(C48&lt;1,C48=""),"",IF('FILL QUOTE-CALCULATIONS'!$S$4="INGLES",'FILL QUOTE-CALCULATIONS'!I51,VLOOKUP('FILL QUOTE-CALCULATIONS'!I51,'DROP LIST'!$M$15:$N$18,2,0)))</f>
        <v>BO TEXTURIZADO</v>
      </c>
      <c r="J48" s="360" t="str">
        <f>'FILL QUOTE-CALCULATIONS'!J51</f>
        <v/>
      </c>
      <c r="K48" s="360" t="str">
        <f>IF(OR(C48&lt;1,C48=""),"",'FILL QUOTE-CALCULATIONS'!K51)</f>
        <v xml:space="preserve">CRETA SHELL </v>
      </c>
      <c r="L48" s="360" t="str">
        <f>IF(OR(C48&lt;1,C48=""),"",IF('FILL QUOTE-CALCULATIONS'!$S$4="INGLES",'FILL QUOTE-CALCULATIONS'!L51,VLOOKUP('FILL QUOTE-CALCULATIONS'!L51,'DROP LIST'!$B$25:$C$31,2,0)))</f>
        <v>N/A</v>
      </c>
      <c r="M48" s="360" t="str">
        <f>IF(OR(E48&lt;1,E48=""),"",'FILL QUOTE-CALCULATIONS'!M51)</f>
        <v xml:space="preserve">DUQUESA 3-1 RECAMARA </v>
      </c>
      <c r="N48" s="362">
        <f>IF(OR(C48&lt;1,C48=""),"",'FILL QUOTE-CALCULATIONS'!N51)</f>
        <v>136</v>
      </c>
      <c r="O48" s="362">
        <f>IF(OR(C48&lt;1,C48=""),"",'FILL QUOTE-CALCULATIONS'!O51)</f>
        <v>115.5</v>
      </c>
      <c r="P48" s="360" t="str">
        <f>IF(OR(C48&lt;1,C48=""),"",IF('FILL QUOTE-CALCULATIONS'!$S$4="INGLES",'FILL QUOTE-CALCULATIONS'!P51, VLOOKUP('FILL QUOTE-CALCULATIONS'!P51,'DROP LIST'!$E$25:$F$27,2,0)))</f>
        <v>AL TECHO</v>
      </c>
      <c r="Q48" s="360" t="str">
        <f>IF(OR(C48&lt;1,C48=""),"",IF('FILL QUOTE-CALCULATIONS'!$S$4="INGLES",'FILL QUOTE-CALCULATIONS'!Q51,VLOOKUP('FILL QUOTE-CALCULATIONS'!Q51,'DROP LIST'!$H$25:$I$36,2,0)))</f>
        <v>HOTELERO - BASTON - P.P.</v>
      </c>
      <c r="R48" s="362" t="str">
        <f>IF('FILL QUOTE-CALCULATIONS'!R51="","",'FILL QUOTE-CALCULATIONS'!R51)</f>
        <v xml:space="preserve">BLANCO </v>
      </c>
      <c r="S48" s="360" t="str">
        <f>IF(OR(C48&lt;1,C48=""),"",IF('FILL QUOTE-CALCULATIONS'!$S$4="INGLES",'FILL QUOTE-CALCULATIONS'!S51,VLOOKUP('FILL QUOTE-CALCULATIONS'!S51,'DROP LIST'!$H$43:$I$46,2,0)))</f>
        <v>BLANCO</v>
      </c>
      <c r="T48" s="363">
        <f>IF(OR(C48&lt;1,C48=""),"",'FILL QUOTE-CALCULATIONS'!T51)</f>
        <v>717.75</v>
      </c>
      <c r="U48" s="364">
        <f>IF(OR(C48&lt;1,C48=""),"",'FILL QUOTE-CALCULATIONS'!W51)</f>
        <v>120.05000000000001</v>
      </c>
      <c r="V48" s="365">
        <f>IF(OR(C48&lt;1,C48=""),"",IF('FILL QUOTE-CALCULATIONS'!$S$3="DOLLARS",'FILL QUOTE-CALCULATIONS'!AB51,'FILL QUOTE-CALCULATIONS'!AB51*'FILL QUOTE-CALCULATIONS'!$AC$4))</f>
        <v>837.8</v>
      </c>
      <c r="W48" s="366">
        <f>IF(OR(C48&lt;1,C48=""),"",IF('FILL QUOTE-CALCULATIONS'!$S$3="DOLLARS",'FILL QUOTE-CALCULATIONS'!AC51,'FILL QUOTE-CALCULATIONS'!AC51*'FILL QUOTE-CALCULATIONS'!$AC$4))</f>
        <v>837.8</v>
      </c>
      <c r="Y48" s="354"/>
      <c r="AA48" s="369" t="str">
        <f t="shared" si="0"/>
        <v>A LA VISTA</v>
      </c>
    </row>
    <row r="49" spans="2:27" s="353" customFormat="1" ht="30" hidden="1" customHeight="1" x14ac:dyDescent="0.25">
      <c r="B49" s="359" t="str">
        <f>IF(OR('FILL QUOTE-CALCULATIONS'!C52=0,'FILL QUOTE-CALCULATIONS'!C52=""),"",'FILL QUOTE-CALCULATIONS'!B52)</f>
        <v/>
      </c>
      <c r="C49" s="360" t="str">
        <f>IF(OR('FILL QUOTE-CALCULATIONS'!C52&lt;1,'FILL QUOTE-CALCULATIONS'!C52=""),"",'FILL QUOTE-CALCULATIONS'!C52)</f>
        <v/>
      </c>
      <c r="D49" s="360" t="str">
        <f>IF(OR(C49&lt;1,C49=""),"",IF('FILL QUOTE-CALCULATIONS'!$S$4="INGLES",'FILL QUOTE-CALCULATIONS'!D52,VLOOKUP('FILL QUOTE-CALCULATIONS'!D52,'DROP LIST'!$B$7:$C$13,2,0)))</f>
        <v/>
      </c>
      <c r="E49" s="360" t="str">
        <f>IF(OR(C49&lt;1,C49=""),"",IF('FILL QUOTE-CALCULATIONS'!$S$4="INGLES",'FILL QUOTE-CALCULATIONS'!E52,VLOOKUP('FILL QUOTE-CALCULATIONS'!E52,'DROP LIST'!$E$7:$F$15,2,0)))</f>
        <v/>
      </c>
      <c r="F49" s="360" t="str">
        <f>IF(OR(C49&lt;1,C49=""),"",IF('FILL QUOTE-CALCULATIONS'!$S$4="INGLES",'FILL QUOTE-CALCULATIONS'!F52,VLOOKUP('FILL QUOTE-CALCULATIONS'!F52,'DROP LIST'!$H$7:$I$19,2,0)))</f>
        <v/>
      </c>
      <c r="G49" s="361" t="str">
        <f>IF(OR(C49&lt;1,C49=""),"",'FILL QUOTE-CALCULATIONS'!G52)</f>
        <v/>
      </c>
      <c r="H49" s="360" t="str">
        <f>IF(OR(C49&lt;1,C49=""),"",IF('FILL QUOTE-CALCULATIONS'!$S$4="INGLES",'FILL QUOTE-CALCULATIONS'!H52,VLOOKUP('FILL QUOTE-CALCULATIONS'!H52,'DROP LIST'!$M$7:$N$10,2,0)))</f>
        <v/>
      </c>
      <c r="I49" s="360" t="str">
        <f>IF(OR(C49&lt;1,C49=""),"",IF('FILL QUOTE-CALCULATIONS'!$S$4="INGLES",'FILL QUOTE-CALCULATIONS'!I52,VLOOKUP('FILL QUOTE-CALCULATIONS'!I52,'DROP LIST'!$M$15:$N$18,2,0)))</f>
        <v/>
      </c>
      <c r="J49" s="360" t="str">
        <f>'FILL QUOTE-CALCULATIONS'!J52</f>
        <v/>
      </c>
      <c r="K49" s="360" t="str">
        <f>IF(OR(C49&lt;1,C49=""),"",'FILL QUOTE-CALCULATIONS'!K52)</f>
        <v/>
      </c>
      <c r="L49" s="360" t="str">
        <f>IF(OR(C49&lt;1,C49=""),"",IF('FILL QUOTE-CALCULATIONS'!$S$4="INGLES",'FILL QUOTE-CALCULATIONS'!L52,VLOOKUP('FILL QUOTE-CALCULATIONS'!L52,'DROP LIST'!$B$25:$C$31,2,0)))</f>
        <v/>
      </c>
      <c r="M49" s="360" t="str">
        <f>IF(OR(E49&lt;1,E49=""),"",'FILL QUOTE-CALCULATIONS'!M52)</f>
        <v/>
      </c>
      <c r="N49" s="362" t="str">
        <f>IF(OR(C49&lt;1,C49=""),"",'FILL QUOTE-CALCULATIONS'!N52)</f>
        <v/>
      </c>
      <c r="O49" s="362" t="str">
        <f>IF(OR(C49&lt;1,C49=""),"",'FILL QUOTE-CALCULATIONS'!O52)</f>
        <v/>
      </c>
      <c r="P49" s="360" t="str">
        <f>IF(OR(C49&lt;1,C49=""),"",IF('FILL QUOTE-CALCULATIONS'!$S$4="INGLES",'FILL QUOTE-CALCULATIONS'!P52, VLOOKUP('FILL QUOTE-CALCULATIONS'!P52,'DROP LIST'!$E$25:$F$27,2,0)))</f>
        <v/>
      </c>
      <c r="Q49" s="360" t="str">
        <f>IF(OR(C49&lt;1,C49=""),"",IF('FILL QUOTE-CALCULATIONS'!$S$4="INGLES",'FILL QUOTE-CALCULATIONS'!Q52,VLOOKUP('FILL QUOTE-CALCULATIONS'!Q52,'DROP LIST'!$H$25:$I$36,2,0)))</f>
        <v/>
      </c>
      <c r="R49" s="362" t="str">
        <f>IF('FILL QUOTE-CALCULATIONS'!R52="","",'FILL QUOTE-CALCULATIONS'!R52)</f>
        <v/>
      </c>
      <c r="S49" s="360" t="str">
        <f>IF(OR(C49&lt;1,C49=""),"",IF('FILL QUOTE-CALCULATIONS'!$S$4="INGLES",'FILL QUOTE-CALCULATIONS'!S52,VLOOKUP('FILL QUOTE-CALCULATIONS'!S52,'DROP LIST'!$H$43:$I$46,2,0)))</f>
        <v/>
      </c>
      <c r="T49" s="363" t="str">
        <f>IF(OR(C49&lt;1,C49=""),"",'FILL QUOTE-CALCULATIONS'!T52)</f>
        <v/>
      </c>
      <c r="U49" s="364" t="str">
        <f>IF(OR(C49&lt;1,C49=""),"",'FILL QUOTE-CALCULATIONS'!W52)</f>
        <v/>
      </c>
      <c r="V49" s="365" t="str">
        <f>IF(OR(C49&lt;1,C49=""),"",IF('FILL QUOTE-CALCULATIONS'!$S$3="DOLLARS",'FILL QUOTE-CALCULATIONS'!AB52,'FILL QUOTE-CALCULATIONS'!AB52*'FILL QUOTE-CALCULATIONS'!$AC$4))</f>
        <v/>
      </c>
      <c r="W49" s="366" t="str">
        <f>IF(OR(C49&lt;1,C49=""),"",IF('FILL QUOTE-CALCULATIONS'!$S$3="DOLLARS",'FILL QUOTE-CALCULATIONS'!AC52,'FILL QUOTE-CALCULATIONS'!AC52*'FILL QUOTE-CALCULATIONS'!$AC$4))</f>
        <v/>
      </c>
      <c r="Y49" s="354"/>
      <c r="AA49" s="369" t="str">
        <f t="shared" si="0"/>
        <v>ESCONDER</v>
      </c>
    </row>
    <row r="50" spans="2:27" s="353" customFormat="1" ht="30" customHeight="1" x14ac:dyDescent="0.25">
      <c r="B50" s="359">
        <v>35</v>
      </c>
      <c r="C50" s="360">
        <f>IF(OR('FILL QUOTE-CALCULATIONS'!C53&lt;1,'FILL QUOTE-CALCULATIONS'!C53=""),"",'FILL QUOTE-CALCULATIONS'!C53)</f>
        <v>1</v>
      </c>
      <c r="D50" s="360" t="str">
        <f>IF(OR(C50&lt;1,C50=""),"",IF('FILL QUOTE-CALCULATIONS'!$S$4="INGLES",'FILL QUOTE-CALCULATIONS'!D53,VLOOKUP('FILL QUOTE-CALCULATIONS'!D53,'DROP LIST'!$B$7:$C$13,2,0)))</f>
        <v>PAR</v>
      </c>
      <c r="E50" s="360" t="str">
        <f>IF(OR(C50&lt;1,C50=""),"",IF('FILL QUOTE-CALCULATIONS'!$S$4="INGLES",'FILL QUOTE-CALCULATIONS'!E53,VLOOKUP('FILL QUOTE-CALCULATIONS'!E53,'DROP LIST'!$E$7:$F$15,2,0)))</f>
        <v>PLIEGUES-GANCHOS</v>
      </c>
      <c r="F50" s="360" t="str">
        <f>IF(OR(C50&lt;1,C50=""),"",IF('FILL QUOTE-CALCULATIONS'!$S$4="INGLES",'FILL QUOTE-CALCULATIONS'!F53,VLOOKUP('FILL QUOTE-CALCULATIONS'!F53,'DROP LIST'!$H$7:$I$19,2,0)))</f>
        <v>CORTINA 'BLACKOUT'</v>
      </c>
      <c r="G50" s="361">
        <f>IF(OR(C50&lt;1,C50=""),"",'FILL QUOTE-CALCULATIONS'!G53)</f>
        <v>2</v>
      </c>
      <c r="H50" s="360" t="str">
        <f>IF(OR(C50&lt;1,C50=""),"",IF('FILL QUOTE-CALCULATIONS'!$S$4="INGLES",'FILL QUOTE-CALCULATIONS'!H53,VLOOKUP('FILL QUOTE-CALCULATIONS'!H53,'DROP LIST'!$M$7:$N$10,2,0)))</f>
        <v>EN EXISTENCIA</v>
      </c>
      <c r="I50" s="360" t="str">
        <f>IF(OR(C50&lt;1,C50=""),"",IF('FILL QUOTE-CALCULATIONS'!$S$4="INGLES",'FILL QUOTE-CALCULATIONS'!I53,VLOOKUP('FILL QUOTE-CALCULATIONS'!I53,'DROP LIST'!$M$15:$N$18,2,0)))</f>
        <v>BO TEXTURIZADO</v>
      </c>
      <c r="J50" s="360" t="str">
        <f>'FILL QUOTE-CALCULATIONS'!J53</f>
        <v/>
      </c>
      <c r="K50" s="360" t="str">
        <f>IF(OR(C50&lt;1,C50=""),"",'FILL QUOTE-CALCULATIONS'!K53)</f>
        <v xml:space="preserve">CRETA SHELL </v>
      </c>
      <c r="L50" s="360" t="str">
        <f>IF(OR(C50&lt;1,C50=""),"",IF('FILL QUOTE-CALCULATIONS'!$S$4="INGLES",'FILL QUOTE-CALCULATIONS'!L53,VLOOKUP('FILL QUOTE-CALCULATIONS'!L53,'DROP LIST'!$B$25:$C$31,2,0)))</f>
        <v>N/A</v>
      </c>
      <c r="M50" s="360" t="str">
        <f>IF(OR(E50&lt;1,E50=""),"",'FILL QUOTE-CALCULATIONS'!M53)</f>
        <v xml:space="preserve">DUQUESA 3-1 SALA </v>
      </c>
      <c r="N50" s="362">
        <f>IF(OR(C50&lt;1,C50=""),"",'FILL QUOTE-CALCULATIONS'!N53)</f>
        <v>105</v>
      </c>
      <c r="O50" s="362">
        <f>IF(OR(C50&lt;1,C50=""),"",'FILL QUOTE-CALCULATIONS'!O53)</f>
        <v>116.25</v>
      </c>
      <c r="P50" s="360" t="str">
        <f>IF(OR(C50&lt;1,C50=""),"",IF('FILL QUOTE-CALCULATIONS'!$S$4="INGLES",'FILL QUOTE-CALCULATIONS'!P53, VLOOKUP('FILL QUOTE-CALCULATIONS'!P53,'DROP LIST'!$E$25:$F$27,2,0)))</f>
        <v>AL TECHO</v>
      </c>
      <c r="Q50" s="360" t="str">
        <f>IF(OR(C50&lt;1,C50=""),"",IF('FILL QUOTE-CALCULATIONS'!$S$4="INGLES",'FILL QUOTE-CALCULATIONS'!Q53,VLOOKUP('FILL QUOTE-CALCULATIONS'!Q53,'DROP LIST'!$H$25:$I$36,2,0)))</f>
        <v>HOTELERO - BASTON - P.P.</v>
      </c>
      <c r="R50" s="362" t="str">
        <f>IF('FILL QUOTE-CALCULATIONS'!R53="","",'FILL QUOTE-CALCULATIONS'!R53)</f>
        <v xml:space="preserve">BLANCO </v>
      </c>
      <c r="S50" s="360" t="str">
        <f>IF(OR(C50&lt;1,C50=""),"",IF('FILL QUOTE-CALCULATIONS'!$S$4="INGLES",'FILL QUOTE-CALCULATIONS'!S53,VLOOKUP('FILL QUOTE-CALCULATIONS'!S53,'DROP LIST'!$H$43:$I$46,2,0)))</f>
        <v>BLANCO</v>
      </c>
      <c r="T50" s="363">
        <f>IF(OR(C50&lt;1,C50=""),"",'FILL QUOTE-CALCULATIONS'!T53)</f>
        <v>587.25</v>
      </c>
      <c r="U50" s="364">
        <f>IF(OR(C50&lt;1,C50=""),"",'FILL QUOTE-CALCULATIONS'!W53)</f>
        <v>96.15</v>
      </c>
      <c r="V50" s="365">
        <f>IF(OR(C50&lt;1,C50=""),"",IF('FILL QUOTE-CALCULATIONS'!$S$3="DOLLARS",'FILL QUOTE-CALCULATIONS'!AB53,'FILL QUOTE-CALCULATIONS'!AB53*'FILL QUOTE-CALCULATIONS'!$AC$4))</f>
        <v>683.4</v>
      </c>
      <c r="W50" s="366">
        <f>IF(OR(C50&lt;1,C50=""),"",IF('FILL QUOTE-CALCULATIONS'!$S$3="DOLLARS",'FILL QUOTE-CALCULATIONS'!AC53,'FILL QUOTE-CALCULATIONS'!AC53*'FILL QUOTE-CALCULATIONS'!$AC$4))</f>
        <v>683.4</v>
      </c>
      <c r="Y50" s="354"/>
      <c r="AA50" s="369" t="str">
        <f t="shared" si="0"/>
        <v>A LA VISTA</v>
      </c>
    </row>
    <row r="51" spans="2:27" s="353" customFormat="1" ht="30" customHeight="1" x14ac:dyDescent="0.25">
      <c r="B51" s="359">
        <v>36</v>
      </c>
      <c r="C51" s="360">
        <f>IF(OR('FILL QUOTE-CALCULATIONS'!C54&lt;1,'FILL QUOTE-CALCULATIONS'!C54=""),"",'FILL QUOTE-CALCULATIONS'!C54)</f>
        <v>1</v>
      </c>
      <c r="D51" s="360" t="str">
        <f>IF(OR(C51&lt;1,C51=""),"",IF('FILL QUOTE-CALCULATIONS'!$S$4="INGLES",'FILL QUOTE-CALCULATIONS'!D54,VLOOKUP('FILL QUOTE-CALCULATIONS'!D54,'DROP LIST'!$B$7:$C$13,2,0)))</f>
        <v>PAR</v>
      </c>
      <c r="E51" s="360" t="str">
        <f>IF(OR(C51&lt;1,C51=""),"",IF('FILL QUOTE-CALCULATIONS'!$S$4="INGLES",'FILL QUOTE-CALCULATIONS'!E54,VLOOKUP('FILL QUOTE-CALCULATIONS'!E54,'DROP LIST'!$E$7:$F$15,2,0)))</f>
        <v>PLIEGUES-GANCHOS</v>
      </c>
      <c r="F51" s="360" t="str">
        <f>IF(OR(C51&lt;1,C51=""),"",IF('FILL QUOTE-CALCULATIONS'!$S$4="INGLES",'FILL QUOTE-CALCULATIONS'!F54,VLOOKUP('FILL QUOTE-CALCULATIONS'!F54,'DROP LIST'!$H$7:$I$19,2,0)))</f>
        <v>CORTINA 'BLACKOUT'</v>
      </c>
      <c r="G51" s="361">
        <f>IF(OR(C51&lt;1,C51=""),"",'FILL QUOTE-CALCULATIONS'!G54)</f>
        <v>2</v>
      </c>
      <c r="H51" s="360" t="str">
        <f>IF(OR(C51&lt;1,C51=""),"",IF('FILL QUOTE-CALCULATIONS'!$S$4="INGLES",'FILL QUOTE-CALCULATIONS'!H54,VLOOKUP('FILL QUOTE-CALCULATIONS'!H54,'DROP LIST'!$M$7:$N$10,2,0)))</f>
        <v>EN EXISTENCIA</v>
      </c>
      <c r="I51" s="360" t="str">
        <f>IF(OR(C51&lt;1,C51=""),"",IF('FILL QUOTE-CALCULATIONS'!$S$4="INGLES",'FILL QUOTE-CALCULATIONS'!I54,VLOOKUP('FILL QUOTE-CALCULATIONS'!I54,'DROP LIST'!$M$15:$N$18,2,0)))</f>
        <v>BO TEXTURIZADO</v>
      </c>
      <c r="J51" s="360" t="str">
        <f>'FILL QUOTE-CALCULATIONS'!J54</f>
        <v/>
      </c>
      <c r="K51" s="360" t="str">
        <f>IF(OR(C51&lt;1,C51=""),"",'FILL QUOTE-CALCULATIONS'!K54)</f>
        <v xml:space="preserve">CRETA SHELL </v>
      </c>
      <c r="L51" s="360" t="str">
        <f>IF(OR(C51&lt;1,C51=""),"",IF('FILL QUOTE-CALCULATIONS'!$S$4="INGLES",'FILL QUOTE-CALCULATIONS'!L54,VLOOKUP('FILL QUOTE-CALCULATIONS'!L54,'DROP LIST'!$B$25:$C$31,2,0)))</f>
        <v>N/A</v>
      </c>
      <c r="M51" s="360" t="str">
        <f>IF(OR(E51&lt;1,E51=""),"",'FILL QUOTE-CALCULATIONS'!M54)</f>
        <v xml:space="preserve">DUQUESA 3- 2  SALA </v>
      </c>
      <c r="N51" s="362">
        <f>IF(OR(C51&lt;1,C51=""),"",'FILL QUOTE-CALCULATIONS'!N54)</f>
        <v>102</v>
      </c>
      <c r="O51" s="362">
        <f>IF(OR(C51&lt;1,C51=""),"",'FILL QUOTE-CALCULATIONS'!O54)</f>
        <v>116.25</v>
      </c>
      <c r="P51" s="360" t="str">
        <f>IF(OR(C51&lt;1,C51=""),"",IF('FILL QUOTE-CALCULATIONS'!$S$4="INGLES",'FILL QUOTE-CALCULATIONS'!P54, VLOOKUP('FILL QUOTE-CALCULATIONS'!P54,'DROP LIST'!$E$25:$F$27,2,0)))</f>
        <v>AL TECHO</v>
      </c>
      <c r="Q51" s="360" t="str">
        <f>IF(OR(C51&lt;1,C51=""),"",IF('FILL QUOTE-CALCULATIONS'!$S$4="INGLES",'FILL QUOTE-CALCULATIONS'!Q54,VLOOKUP('FILL QUOTE-CALCULATIONS'!Q54,'DROP LIST'!$H$25:$I$36,2,0)))</f>
        <v>HOTELERO - BASTON - P.P.</v>
      </c>
      <c r="R51" s="362" t="str">
        <f>IF('FILL QUOTE-CALCULATIONS'!R54="","",'FILL QUOTE-CALCULATIONS'!R54)</f>
        <v xml:space="preserve">BLANCO </v>
      </c>
      <c r="S51" s="360" t="str">
        <f>IF(OR(C51&lt;1,C51=""),"",IF('FILL QUOTE-CALCULATIONS'!$S$4="INGLES",'FILL QUOTE-CALCULATIONS'!S54,VLOOKUP('FILL QUOTE-CALCULATIONS'!S54,'DROP LIST'!$H$43:$I$46,2,0)))</f>
        <v>BLANCO</v>
      </c>
      <c r="T51" s="363">
        <f>IF(OR(C51&lt;1,C51=""),"",'FILL QUOTE-CALCULATIONS'!T54)</f>
        <v>587.25</v>
      </c>
      <c r="U51" s="364">
        <f>IF(OR(C51&lt;1,C51=""),"",'FILL QUOTE-CALCULATIONS'!W54)</f>
        <v>93.850000000000009</v>
      </c>
      <c r="V51" s="365">
        <f>IF(OR(C51&lt;1,C51=""),"",IF('FILL QUOTE-CALCULATIONS'!$S$3="DOLLARS",'FILL QUOTE-CALCULATIONS'!AB54,'FILL QUOTE-CALCULATIONS'!AB54*'FILL QUOTE-CALCULATIONS'!$AC$4))</f>
        <v>681.1</v>
      </c>
      <c r="W51" s="366">
        <f>IF(OR(C51&lt;1,C51=""),"",IF('FILL QUOTE-CALCULATIONS'!$S$3="DOLLARS",'FILL QUOTE-CALCULATIONS'!AC54,'FILL QUOTE-CALCULATIONS'!AC54*'FILL QUOTE-CALCULATIONS'!$AC$4))</f>
        <v>681.1</v>
      </c>
      <c r="Y51" s="354"/>
      <c r="AA51" s="369" t="str">
        <f t="shared" si="0"/>
        <v>A LA VISTA</v>
      </c>
    </row>
    <row r="52" spans="2:27" s="353" customFormat="1" ht="30" customHeight="1" x14ac:dyDescent="0.25">
      <c r="B52" s="359">
        <v>37</v>
      </c>
      <c r="C52" s="360">
        <f>IF(OR('FILL QUOTE-CALCULATIONS'!C55&lt;1,'FILL QUOTE-CALCULATIONS'!C55=""),"",'FILL QUOTE-CALCULATIONS'!C55)</f>
        <v>1</v>
      </c>
      <c r="D52" s="360" t="str">
        <f>IF(OR(C52&lt;1,C52=""),"",IF('FILL QUOTE-CALCULATIONS'!$S$4="INGLES",'FILL QUOTE-CALCULATIONS'!D55,VLOOKUP('FILL QUOTE-CALCULATIONS'!D55,'DROP LIST'!$B$7:$C$13,2,0)))</f>
        <v>PAR</v>
      </c>
      <c r="E52" s="360" t="str">
        <f>IF(OR(C52&lt;1,C52=""),"",IF('FILL QUOTE-CALCULATIONS'!$S$4="INGLES",'FILL QUOTE-CALCULATIONS'!E55,VLOOKUP('FILL QUOTE-CALCULATIONS'!E55,'DROP LIST'!$E$7:$F$15,2,0)))</f>
        <v>PLIEGUES-GANCHOS</v>
      </c>
      <c r="F52" s="360" t="str">
        <f>IF(OR(C52&lt;1,C52=""),"",IF('FILL QUOTE-CALCULATIONS'!$S$4="INGLES",'FILL QUOTE-CALCULATIONS'!F55,VLOOKUP('FILL QUOTE-CALCULATIONS'!F55,'DROP LIST'!$H$7:$I$19,2,0)))</f>
        <v>CORTINA 'BLACKOUT'</v>
      </c>
      <c r="G52" s="361">
        <f>IF(OR(C52&lt;1,C52=""),"",'FILL QUOTE-CALCULATIONS'!G55)</f>
        <v>2</v>
      </c>
      <c r="H52" s="360" t="str">
        <f>IF(OR(C52&lt;1,C52=""),"",IF('FILL QUOTE-CALCULATIONS'!$S$4="INGLES",'FILL QUOTE-CALCULATIONS'!H55,VLOOKUP('FILL QUOTE-CALCULATIONS'!H55,'DROP LIST'!$M$7:$N$10,2,0)))</f>
        <v>EN EXISTENCIA</v>
      </c>
      <c r="I52" s="360" t="str">
        <f>IF(OR(C52&lt;1,C52=""),"",IF('FILL QUOTE-CALCULATIONS'!$S$4="INGLES",'FILL QUOTE-CALCULATIONS'!I55,VLOOKUP('FILL QUOTE-CALCULATIONS'!I55,'DROP LIST'!$M$15:$N$18,2,0)))</f>
        <v>BO TEXTURIZADO</v>
      </c>
      <c r="J52" s="360" t="str">
        <f>'FILL QUOTE-CALCULATIONS'!J55</f>
        <v/>
      </c>
      <c r="K52" s="360" t="str">
        <f>IF(OR(C52&lt;1,C52=""),"",'FILL QUOTE-CALCULATIONS'!K55)</f>
        <v xml:space="preserve">CRETA SHELL </v>
      </c>
      <c r="L52" s="360" t="str">
        <f>IF(OR(C52&lt;1,C52=""),"",IF('FILL QUOTE-CALCULATIONS'!$S$4="INGLES",'FILL QUOTE-CALCULATIONS'!L55,VLOOKUP('FILL QUOTE-CALCULATIONS'!L55,'DROP LIST'!$B$25:$C$31,2,0)))</f>
        <v>N/A</v>
      </c>
      <c r="M52" s="360" t="str">
        <f>IF(OR(E52&lt;1,E52=""),"",'FILL QUOTE-CALCULATIONS'!M55)</f>
        <v xml:space="preserve">DUQUESA 3-2 RECAMARA </v>
      </c>
      <c r="N52" s="362">
        <f>IF(OR(C52&lt;1,C52=""),"",'FILL QUOTE-CALCULATIONS'!N55)</f>
        <v>125</v>
      </c>
      <c r="O52" s="362">
        <f>IF(OR(C52&lt;1,C52=""),"",'FILL QUOTE-CALCULATIONS'!O55)</f>
        <v>115.25</v>
      </c>
      <c r="P52" s="360" t="str">
        <f>IF(OR(C52&lt;1,C52=""),"",IF('FILL QUOTE-CALCULATIONS'!$S$4="INGLES",'FILL QUOTE-CALCULATIONS'!P55, VLOOKUP('FILL QUOTE-CALCULATIONS'!P55,'DROP LIST'!$E$25:$F$27,2,0)))</f>
        <v>AL TECHO</v>
      </c>
      <c r="Q52" s="360" t="str">
        <f>IF(OR(C52&lt;1,C52=""),"",IF('FILL QUOTE-CALCULATIONS'!$S$4="INGLES",'FILL QUOTE-CALCULATIONS'!Q55,VLOOKUP('FILL QUOTE-CALCULATIONS'!Q55,'DROP LIST'!$H$25:$I$36,2,0)))</f>
        <v>HOTELERO - BASTON - P.P.</v>
      </c>
      <c r="R52" s="362" t="str">
        <f>IF('FILL QUOTE-CALCULATIONS'!R55="","",'FILL QUOTE-CALCULATIONS'!R55)</f>
        <v xml:space="preserve">BLANCO </v>
      </c>
      <c r="S52" s="360" t="str">
        <f>IF(OR(C52&lt;1,C52=""),"",IF('FILL QUOTE-CALCULATIONS'!$S$4="INGLES",'FILL QUOTE-CALCULATIONS'!S55,VLOOKUP('FILL QUOTE-CALCULATIONS'!S55,'DROP LIST'!$H$43:$I$46,2,0)))</f>
        <v>BLANCO</v>
      </c>
      <c r="T52" s="363">
        <f>IF(OR(C52&lt;1,C52=""),"",'FILL QUOTE-CALCULATIONS'!T55)</f>
        <v>652.5</v>
      </c>
      <c r="U52" s="364">
        <f>IF(OR(C52&lt;1,C52=""),"",'FILL QUOTE-CALCULATIONS'!W55)</f>
        <v>111.55000000000001</v>
      </c>
      <c r="V52" s="365">
        <f>IF(OR(C52&lt;1,C52=""),"",IF('FILL QUOTE-CALCULATIONS'!$S$3="DOLLARS",'FILL QUOTE-CALCULATIONS'!AB55,'FILL QUOTE-CALCULATIONS'!AB55*'FILL QUOTE-CALCULATIONS'!$AC$4))</f>
        <v>764.05</v>
      </c>
      <c r="W52" s="366">
        <f>IF(OR(C52&lt;1,C52=""),"",IF('FILL QUOTE-CALCULATIONS'!$S$3="DOLLARS",'FILL QUOTE-CALCULATIONS'!AC55,'FILL QUOTE-CALCULATIONS'!AC55*'FILL QUOTE-CALCULATIONS'!$AC$4))</f>
        <v>764.05</v>
      </c>
      <c r="Y52" s="354"/>
      <c r="AA52" s="369" t="str">
        <f t="shared" si="0"/>
        <v>A LA VISTA</v>
      </c>
    </row>
    <row r="53" spans="2:27" s="353" customFormat="1" ht="30" hidden="1" customHeight="1" x14ac:dyDescent="0.25">
      <c r="B53" s="359" t="str">
        <f>IF(OR('FILL QUOTE-CALCULATIONS'!C56=0,'FILL QUOTE-CALCULATIONS'!C56=""),"",'FILL QUOTE-CALCULATIONS'!B56)</f>
        <v/>
      </c>
      <c r="C53" s="360" t="str">
        <f>IF(OR('FILL QUOTE-CALCULATIONS'!C56&lt;1,'FILL QUOTE-CALCULATIONS'!C56=""),"",'FILL QUOTE-CALCULATIONS'!C56)</f>
        <v/>
      </c>
      <c r="D53" s="360" t="str">
        <f>IF(OR(C53&lt;1,C53=""),"",IF('FILL QUOTE-CALCULATIONS'!$S$4="INGLES",'FILL QUOTE-CALCULATIONS'!D56,VLOOKUP('FILL QUOTE-CALCULATIONS'!D56,'DROP LIST'!$B$7:$C$13,2,0)))</f>
        <v/>
      </c>
      <c r="E53" s="360" t="str">
        <f>IF(OR(C53&lt;1,C53=""),"",IF('FILL QUOTE-CALCULATIONS'!$S$4="INGLES",'FILL QUOTE-CALCULATIONS'!E56,VLOOKUP('FILL QUOTE-CALCULATIONS'!E56,'DROP LIST'!$E$7:$F$15,2,0)))</f>
        <v/>
      </c>
      <c r="F53" s="360" t="str">
        <f>IF(OR(C53&lt;1,C53=""),"",IF('FILL QUOTE-CALCULATIONS'!$S$4="INGLES",'FILL QUOTE-CALCULATIONS'!F56,VLOOKUP('FILL QUOTE-CALCULATIONS'!F56,'DROP LIST'!$H$7:$I$19,2,0)))</f>
        <v/>
      </c>
      <c r="G53" s="361" t="str">
        <f>IF(OR(C53&lt;1,C53=""),"",'FILL QUOTE-CALCULATIONS'!G56)</f>
        <v/>
      </c>
      <c r="H53" s="360" t="str">
        <f>IF(OR(C53&lt;1,C53=""),"",IF('FILL QUOTE-CALCULATIONS'!$S$4="INGLES",'FILL QUOTE-CALCULATIONS'!H56,VLOOKUP('FILL QUOTE-CALCULATIONS'!H56,'DROP LIST'!$M$7:$N$10,2,0)))</f>
        <v/>
      </c>
      <c r="I53" s="360" t="str">
        <f>IF(OR(C53&lt;1,C53=""),"",IF('FILL QUOTE-CALCULATIONS'!$S$4="INGLES",'FILL QUOTE-CALCULATIONS'!I56,VLOOKUP('FILL QUOTE-CALCULATIONS'!I56,'DROP LIST'!$M$15:$N$18,2,0)))</f>
        <v/>
      </c>
      <c r="J53" s="360" t="str">
        <f>'FILL QUOTE-CALCULATIONS'!J56</f>
        <v/>
      </c>
      <c r="K53" s="360" t="str">
        <f>IF(OR(C53&lt;1,C53=""),"",'FILL QUOTE-CALCULATIONS'!K56)</f>
        <v/>
      </c>
      <c r="L53" s="360" t="str">
        <f>IF(OR(C53&lt;1,C53=""),"",IF('FILL QUOTE-CALCULATIONS'!$S$4="INGLES",'FILL QUOTE-CALCULATIONS'!L56,VLOOKUP('FILL QUOTE-CALCULATIONS'!L56,'DROP LIST'!$B$25:$C$31,2,0)))</f>
        <v/>
      </c>
      <c r="M53" s="360" t="str">
        <f>IF(OR(E53&lt;1,E53=""),"",'FILL QUOTE-CALCULATIONS'!M56)</f>
        <v/>
      </c>
      <c r="N53" s="362" t="str">
        <f>IF(OR(C53&lt;1,C53=""),"",'FILL QUOTE-CALCULATIONS'!N56)</f>
        <v/>
      </c>
      <c r="O53" s="362" t="str">
        <f>IF(OR(C53&lt;1,C53=""),"",'FILL QUOTE-CALCULATIONS'!O56)</f>
        <v/>
      </c>
      <c r="P53" s="360" t="str">
        <f>IF(OR(C53&lt;1,C53=""),"",IF('FILL QUOTE-CALCULATIONS'!$S$4="INGLES",'FILL QUOTE-CALCULATIONS'!P56, VLOOKUP('FILL QUOTE-CALCULATIONS'!P56,'DROP LIST'!$E$25:$F$27,2,0)))</f>
        <v/>
      </c>
      <c r="Q53" s="360" t="str">
        <f>IF(OR(C53&lt;1,C53=""),"",IF('FILL QUOTE-CALCULATIONS'!$S$4="INGLES",'FILL QUOTE-CALCULATIONS'!Q56,VLOOKUP('FILL QUOTE-CALCULATIONS'!Q56,'DROP LIST'!$H$25:$I$36,2,0)))</f>
        <v/>
      </c>
      <c r="R53" s="362" t="str">
        <f>IF('FILL QUOTE-CALCULATIONS'!R56="","",'FILL QUOTE-CALCULATIONS'!R56)</f>
        <v/>
      </c>
      <c r="S53" s="360" t="str">
        <f>IF(OR(C53&lt;1,C53=""),"",IF('FILL QUOTE-CALCULATIONS'!$S$4="INGLES",'FILL QUOTE-CALCULATIONS'!S56,VLOOKUP('FILL QUOTE-CALCULATIONS'!S56,'DROP LIST'!$H$43:$I$46,2,0)))</f>
        <v/>
      </c>
      <c r="T53" s="363" t="str">
        <f>IF(OR(C53&lt;1,C53=""),"",'FILL QUOTE-CALCULATIONS'!T56)</f>
        <v/>
      </c>
      <c r="U53" s="364" t="str">
        <f>IF(OR(C53&lt;1,C53=""),"",'FILL QUOTE-CALCULATIONS'!W56)</f>
        <v/>
      </c>
      <c r="V53" s="365" t="str">
        <f>IF(OR(C53&lt;1,C53=""),"",IF('FILL QUOTE-CALCULATIONS'!$S$3="DOLLARS",'FILL QUOTE-CALCULATIONS'!AB56,'FILL QUOTE-CALCULATIONS'!AB56*'FILL QUOTE-CALCULATIONS'!$AC$4))</f>
        <v/>
      </c>
      <c r="W53" s="366" t="str">
        <f>IF(OR(C53&lt;1,C53=""),"",IF('FILL QUOTE-CALCULATIONS'!$S$3="DOLLARS",'FILL QUOTE-CALCULATIONS'!AC56,'FILL QUOTE-CALCULATIONS'!AC56*'FILL QUOTE-CALCULATIONS'!$AC$4))</f>
        <v/>
      </c>
      <c r="Y53" s="354"/>
      <c r="AA53" s="369" t="str">
        <f t="shared" si="0"/>
        <v>ESCONDER</v>
      </c>
    </row>
    <row r="54" spans="2:27" s="353" customFormat="1" ht="30" customHeight="1" x14ac:dyDescent="0.25">
      <c r="B54" s="359">
        <v>38</v>
      </c>
      <c r="C54" s="360">
        <f>IF(OR('FILL QUOTE-CALCULATIONS'!C57&lt;1,'FILL QUOTE-CALCULATIONS'!C57=""),"",'FILL QUOTE-CALCULATIONS'!C57)</f>
        <v>1</v>
      </c>
      <c r="D54" s="360" t="str">
        <f>IF(OR(C54&lt;1,C54=""),"",IF('FILL QUOTE-CALCULATIONS'!$S$4="INGLES",'FILL QUOTE-CALCULATIONS'!D57,VLOOKUP('FILL QUOTE-CALCULATIONS'!D57,'DROP LIST'!$B$7:$C$13,2,0)))</f>
        <v>PAR</v>
      </c>
      <c r="E54" s="360" t="str">
        <f>IF(OR(C54&lt;1,C54=""),"",IF('FILL QUOTE-CALCULATIONS'!$S$4="INGLES",'FILL QUOTE-CALCULATIONS'!E57,VLOOKUP('FILL QUOTE-CALCULATIONS'!E57,'DROP LIST'!$E$7:$F$15,2,0)))</f>
        <v>PLIEGUES-GANCHOS</v>
      </c>
      <c r="F54" s="360" t="str">
        <f>IF(OR(C54&lt;1,C54=""),"",IF('FILL QUOTE-CALCULATIONS'!$S$4="INGLES",'FILL QUOTE-CALCULATIONS'!F57,VLOOKUP('FILL QUOTE-CALCULATIONS'!F57,'DROP LIST'!$H$7:$I$19,2,0)))</f>
        <v>CORTINA 'BLACKOUT'</v>
      </c>
      <c r="G54" s="361">
        <f>IF(OR(C54&lt;1,C54=""),"",'FILL QUOTE-CALCULATIONS'!G57)</f>
        <v>2</v>
      </c>
      <c r="H54" s="360" t="str">
        <f>IF(OR(C54&lt;1,C54=""),"",IF('FILL QUOTE-CALCULATIONS'!$S$4="INGLES",'FILL QUOTE-CALCULATIONS'!H57,VLOOKUP('FILL QUOTE-CALCULATIONS'!H57,'DROP LIST'!$M$7:$N$10,2,0)))</f>
        <v>EN EXISTENCIA</v>
      </c>
      <c r="I54" s="360" t="str">
        <f>IF(OR(C54&lt;1,C54=""),"",IF('FILL QUOTE-CALCULATIONS'!$S$4="INGLES",'FILL QUOTE-CALCULATIONS'!I57,VLOOKUP('FILL QUOTE-CALCULATIONS'!I57,'DROP LIST'!$M$15:$N$18,2,0)))</f>
        <v>BO TEXTURIZADO</v>
      </c>
      <c r="J54" s="360" t="str">
        <f>'FILL QUOTE-CALCULATIONS'!J57</f>
        <v/>
      </c>
      <c r="K54" s="360" t="str">
        <f>IF(OR(C54&lt;1,C54=""),"",'FILL QUOTE-CALCULATIONS'!K57)</f>
        <v xml:space="preserve">CRETA SHELL </v>
      </c>
      <c r="L54" s="360" t="str">
        <f>IF(OR(C54&lt;1,C54=""),"",IF('FILL QUOTE-CALCULATIONS'!$S$4="INGLES",'FILL QUOTE-CALCULATIONS'!L57,VLOOKUP('FILL QUOTE-CALCULATIONS'!L57,'DROP LIST'!$B$25:$C$31,2,0)))</f>
        <v>N/A</v>
      </c>
      <c r="M54" s="360" t="str">
        <f>IF(OR(E54&lt;1,E54=""),"",'FILL QUOTE-CALCULATIONS'!M57)</f>
        <v xml:space="preserve">DUQUESA 4-1 RECAMARA </v>
      </c>
      <c r="N54" s="362">
        <f>IF(OR(C54&lt;1,C54=""),"",'FILL QUOTE-CALCULATIONS'!N57)</f>
        <v>138</v>
      </c>
      <c r="O54" s="362">
        <f>IF(OR(C54&lt;1,C54=""),"",'FILL QUOTE-CALCULATIONS'!O57)</f>
        <v>117.625</v>
      </c>
      <c r="P54" s="360" t="str">
        <f>IF(OR(C54&lt;1,C54=""),"",IF('FILL QUOTE-CALCULATIONS'!$S$4="INGLES",'FILL QUOTE-CALCULATIONS'!P57, VLOOKUP('FILL QUOTE-CALCULATIONS'!P57,'DROP LIST'!$E$25:$F$27,2,0)))</f>
        <v>AL TECHO</v>
      </c>
      <c r="Q54" s="360" t="str">
        <f>IF(OR(C54&lt;1,C54=""),"",IF('FILL QUOTE-CALCULATIONS'!$S$4="INGLES",'FILL QUOTE-CALCULATIONS'!Q57,VLOOKUP('FILL QUOTE-CALCULATIONS'!Q57,'DROP LIST'!$H$25:$I$36,2,0)))</f>
        <v>HOTELERO - BASTON - P.P.</v>
      </c>
      <c r="R54" s="362" t="str">
        <f>IF('FILL QUOTE-CALCULATIONS'!R57="","",'FILL QUOTE-CALCULATIONS'!R57)</f>
        <v xml:space="preserve">BLANCO </v>
      </c>
      <c r="S54" s="360" t="str">
        <f>IF(OR(C54&lt;1,C54=""),"",IF('FILL QUOTE-CALCULATIONS'!$S$4="INGLES",'FILL QUOTE-CALCULATIONS'!S57,VLOOKUP('FILL QUOTE-CALCULATIONS'!S57,'DROP LIST'!$H$43:$I$46,2,0)))</f>
        <v>BLANCO</v>
      </c>
      <c r="T54" s="363">
        <f>IF(OR(C54&lt;1,C54=""),"",'FILL QUOTE-CALCULATIONS'!T57)</f>
        <v>724.75</v>
      </c>
      <c r="U54" s="364">
        <f>IF(OR(C54&lt;1,C54=""),"",'FILL QUOTE-CALCULATIONS'!W57)</f>
        <v>121.55000000000001</v>
      </c>
      <c r="V54" s="365">
        <f>IF(OR(C54&lt;1,C54=""),"",IF('FILL QUOTE-CALCULATIONS'!$S$3="DOLLARS",'FILL QUOTE-CALCULATIONS'!AB57,'FILL QUOTE-CALCULATIONS'!AB57*'FILL QUOTE-CALCULATIONS'!$AC$4))</f>
        <v>846.3</v>
      </c>
      <c r="W54" s="366">
        <f>IF(OR(C54&lt;1,C54=""),"",IF('FILL QUOTE-CALCULATIONS'!$S$3="DOLLARS",'FILL QUOTE-CALCULATIONS'!AC57,'FILL QUOTE-CALCULATIONS'!AC57*'FILL QUOTE-CALCULATIONS'!$AC$4))</f>
        <v>846.3</v>
      </c>
      <c r="Y54" s="354"/>
      <c r="AA54" s="369" t="str">
        <f t="shared" si="0"/>
        <v>A LA VISTA</v>
      </c>
    </row>
    <row r="55" spans="2:27" s="353" customFormat="1" ht="30" hidden="1" customHeight="1" x14ac:dyDescent="0.25">
      <c r="B55" s="359" t="str">
        <f>IF(OR('FILL QUOTE-CALCULATIONS'!C58=0,'FILL QUOTE-CALCULATIONS'!C58=""),"",'FILL QUOTE-CALCULATIONS'!B58)</f>
        <v/>
      </c>
      <c r="C55" s="360" t="str">
        <f>IF(OR('FILL QUOTE-CALCULATIONS'!C58&lt;1,'FILL QUOTE-CALCULATIONS'!C58=""),"",'FILL QUOTE-CALCULATIONS'!C58)</f>
        <v/>
      </c>
      <c r="D55" s="360" t="str">
        <f>IF(OR(C55&lt;1,C55=""),"",IF('FILL QUOTE-CALCULATIONS'!$S$4="INGLES",'FILL QUOTE-CALCULATIONS'!D58,VLOOKUP('FILL QUOTE-CALCULATIONS'!D58,'DROP LIST'!$B$7:$C$13,2,0)))</f>
        <v/>
      </c>
      <c r="E55" s="360" t="str">
        <f>IF(OR(C55&lt;1,C55=""),"",IF('FILL QUOTE-CALCULATIONS'!$S$4="INGLES",'FILL QUOTE-CALCULATIONS'!E58,VLOOKUP('FILL QUOTE-CALCULATIONS'!E58,'DROP LIST'!$E$7:$F$15,2,0)))</f>
        <v/>
      </c>
      <c r="F55" s="360" t="str">
        <f>IF(OR(C55&lt;1,C55=""),"",IF('FILL QUOTE-CALCULATIONS'!$S$4="INGLES",'FILL QUOTE-CALCULATIONS'!F58,VLOOKUP('FILL QUOTE-CALCULATIONS'!F58,'DROP LIST'!$H$7:$I$19,2,0)))</f>
        <v/>
      </c>
      <c r="G55" s="361" t="str">
        <f>IF(OR(C55&lt;1,C55=""),"",'FILL QUOTE-CALCULATIONS'!G58)</f>
        <v/>
      </c>
      <c r="H55" s="360" t="str">
        <f>IF(OR(C55&lt;1,C55=""),"",IF('FILL QUOTE-CALCULATIONS'!$S$4="INGLES",'FILL QUOTE-CALCULATIONS'!H58,VLOOKUP('FILL QUOTE-CALCULATIONS'!H58,'DROP LIST'!$M$7:$N$10,2,0)))</f>
        <v/>
      </c>
      <c r="I55" s="360" t="str">
        <f>IF(OR(C55&lt;1,C55=""),"",IF('FILL QUOTE-CALCULATIONS'!$S$4="INGLES",'FILL QUOTE-CALCULATIONS'!I58,VLOOKUP('FILL QUOTE-CALCULATIONS'!I58,'DROP LIST'!$M$15:$N$18,2,0)))</f>
        <v/>
      </c>
      <c r="J55" s="360" t="str">
        <f>'FILL QUOTE-CALCULATIONS'!J58</f>
        <v/>
      </c>
      <c r="K55" s="360" t="str">
        <f>IF(OR(C55&lt;1,C55=""),"",'FILL QUOTE-CALCULATIONS'!K58)</f>
        <v/>
      </c>
      <c r="L55" s="360" t="str">
        <f>IF(OR(C55&lt;1,C55=""),"",IF('FILL QUOTE-CALCULATIONS'!$S$4="INGLES",'FILL QUOTE-CALCULATIONS'!L58,VLOOKUP('FILL QUOTE-CALCULATIONS'!L58,'DROP LIST'!$B$25:$C$31,2,0)))</f>
        <v/>
      </c>
      <c r="M55" s="360" t="str">
        <f>IF(OR(E55&lt;1,E55=""),"",'FILL QUOTE-CALCULATIONS'!M58)</f>
        <v/>
      </c>
      <c r="N55" s="362" t="str">
        <f>IF(OR(C55&lt;1,C55=""),"",'FILL QUOTE-CALCULATIONS'!N58)</f>
        <v/>
      </c>
      <c r="O55" s="362" t="str">
        <f>IF(OR(C55&lt;1,C55=""),"",'FILL QUOTE-CALCULATIONS'!O58)</f>
        <v/>
      </c>
      <c r="P55" s="360" t="str">
        <f>IF(OR(C55&lt;1,C55=""),"",IF('FILL QUOTE-CALCULATIONS'!$S$4="INGLES",'FILL QUOTE-CALCULATIONS'!P58, VLOOKUP('FILL QUOTE-CALCULATIONS'!P58,'DROP LIST'!$E$25:$F$27,2,0)))</f>
        <v/>
      </c>
      <c r="Q55" s="360" t="str">
        <f>IF(OR(C55&lt;1,C55=""),"",IF('FILL QUOTE-CALCULATIONS'!$S$4="INGLES",'FILL QUOTE-CALCULATIONS'!Q58,VLOOKUP('FILL QUOTE-CALCULATIONS'!Q58,'DROP LIST'!$H$25:$I$36,2,0)))</f>
        <v/>
      </c>
      <c r="R55" s="362" t="str">
        <f>IF('FILL QUOTE-CALCULATIONS'!R58="","",'FILL QUOTE-CALCULATIONS'!R58)</f>
        <v/>
      </c>
      <c r="S55" s="360" t="str">
        <f>IF(OR(C55&lt;1,C55=""),"",IF('FILL QUOTE-CALCULATIONS'!$S$4="INGLES",'FILL QUOTE-CALCULATIONS'!S58,VLOOKUP('FILL QUOTE-CALCULATIONS'!S58,'DROP LIST'!$H$43:$I$46,2,0)))</f>
        <v/>
      </c>
      <c r="T55" s="363" t="str">
        <f>IF(OR(C55&lt;1,C55=""),"",'FILL QUOTE-CALCULATIONS'!T58)</f>
        <v/>
      </c>
      <c r="U55" s="364" t="str">
        <f>IF(OR(C55&lt;1,C55=""),"",'FILL QUOTE-CALCULATIONS'!W58)</f>
        <v/>
      </c>
      <c r="V55" s="365" t="str">
        <f>IF(OR(C55&lt;1,C55=""),"",IF('FILL QUOTE-CALCULATIONS'!$S$3="DOLLARS",'FILL QUOTE-CALCULATIONS'!AB58,'FILL QUOTE-CALCULATIONS'!AB58*'FILL QUOTE-CALCULATIONS'!$AC$4))</f>
        <v/>
      </c>
      <c r="W55" s="366" t="str">
        <f>IF(OR(C55&lt;1,C55=""),"",IF('FILL QUOTE-CALCULATIONS'!$S$3="DOLLARS",'FILL QUOTE-CALCULATIONS'!AC58,'FILL QUOTE-CALCULATIONS'!AC58*'FILL QUOTE-CALCULATIONS'!$AC$4))</f>
        <v/>
      </c>
      <c r="Y55" s="354"/>
      <c r="AA55" s="369" t="str">
        <f t="shared" si="0"/>
        <v>ESCONDER</v>
      </c>
    </row>
    <row r="56" spans="2:27" s="353" customFormat="1" ht="30" customHeight="1" x14ac:dyDescent="0.25">
      <c r="B56" s="359">
        <v>39</v>
      </c>
      <c r="C56" s="360">
        <f>IF(OR('FILL QUOTE-CALCULATIONS'!C59&lt;1,'FILL QUOTE-CALCULATIONS'!C59=""),"",'FILL QUOTE-CALCULATIONS'!C59)</f>
        <v>1</v>
      </c>
      <c r="D56" s="360" t="str">
        <f>IF(OR(C56&lt;1,C56=""),"",IF('FILL QUOTE-CALCULATIONS'!$S$4="INGLES",'FILL QUOTE-CALCULATIONS'!D59,VLOOKUP('FILL QUOTE-CALCULATIONS'!D59,'DROP LIST'!$B$7:$C$13,2,0)))</f>
        <v>PAR</v>
      </c>
      <c r="E56" s="360" t="str">
        <f>IF(OR(C56&lt;1,C56=""),"",IF('FILL QUOTE-CALCULATIONS'!$S$4="INGLES",'FILL QUOTE-CALCULATIONS'!E59,VLOOKUP('FILL QUOTE-CALCULATIONS'!E59,'DROP LIST'!$E$7:$F$15,2,0)))</f>
        <v>PLIEGUES-GANCHOS</v>
      </c>
      <c r="F56" s="360" t="str">
        <f>IF(OR(C56&lt;1,C56=""),"",IF('FILL QUOTE-CALCULATIONS'!$S$4="INGLES",'FILL QUOTE-CALCULATIONS'!F59,VLOOKUP('FILL QUOTE-CALCULATIONS'!F59,'DROP LIST'!$H$7:$I$19,2,0)))</f>
        <v>CORTINA 'BLACKOUT'</v>
      </c>
      <c r="G56" s="361">
        <f>IF(OR(C56&lt;1,C56=""),"",'FILL QUOTE-CALCULATIONS'!G59)</f>
        <v>2</v>
      </c>
      <c r="H56" s="360" t="str">
        <f>IF(OR(C56&lt;1,C56=""),"",IF('FILL QUOTE-CALCULATIONS'!$S$4="INGLES",'FILL QUOTE-CALCULATIONS'!H59,VLOOKUP('FILL QUOTE-CALCULATIONS'!H59,'DROP LIST'!$M$7:$N$10,2,0)))</f>
        <v>EN EXISTENCIA</v>
      </c>
      <c r="I56" s="360" t="str">
        <f>IF(OR(C56&lt;1,C56=""),"",IF('FILL QUOTE-CALCULATIONS'!$S$4="INGLES",'FILL QUOTE-CALCULATIONS'!I59,VLOOKUP('FILL QUOTE-CALCULATIONS'!I59,'DROP LIST'!$M$15:$N$18,2,0)))</f>
        <v>BO TEXTURIZADO</v>
      </c>
      <c r="J56" s="360" t="str">
        <f>'FILL QUOTE-CALCULATIONS'!J59</f>
        <v/>
      </c>
      <c r="K56" s="360" t="str">
        <f>IF(OR(C56&lt;1,C56=""),"",'FILL QUOTE-CALCULATIONS'!K59)</f>
        <v xml:space="preserve">CRETA SHELL </v>
      </c>
      <c r="L56" s="360" t="str">
        <f>IF(OR(C56&lt;1,C56=""),"",IF('FILL QUOTE-CALCULATIONS'!$S$4="INGLES",'FILL QUOTE-CALCULATIONS'!L59,VLOOKUP('FILL QUOTE-CALCULATIONS'!L59,'DROP LIST'!$B$25:$C$31,2,0)))</f>
        <v>N/A</v>
      </c>
      <c r="M56" s="360" t="str">
        <f>IF(OR(E56&lt;1,E56=""),"",'FILL QUOTE-CALCULATIONS'!M59)</f>
        <v xml:space="preserve">DUQUESA 4-1 SALA </v>
      </c>
      <c r="N56" s="362">
        <f>IF(OR(C56&lt;1,C56=""),"",'FILL QUOTE-CALCULATIONS'!N59)</f>
        <v>100</v>
      </c>
      <c r="O56" s="362">
        <f>IF(OR(C56&lt;1,C56=""),"",'FILL QUOTE-CALCULATIONS'!O59)</f>
        <v>117.25</v>
      </c>
      <c r="P56" s="360" t="str">
        <f>IF(OR(C56&lt;1,C56=""),"",IF('FILL QUOTE-CALCULATIONS'!$S$4="INGLES",'FILL QUOTE-CALCULATIONS'!P59, VLOOKUP('FILL QUOTE-CALCULATIONS'!P59,'DROP LIST'!$E$25:$F$27,2,0)))</f>
        <v>AL TECHO</v>
      </c>
      <c r="Q56" s="360" t="str">
        <f>IF(OR(C56&lt;1,C56=""),"",IF('FILL QUOTE-CALCULATIONS'!$S$4="INGLES",'FILL QUOTE-CALCULATIONS'!Q59,VLOOKUP('FILL QUOTE-CALCULATIONS'!Q59,'DROP LIST'!$H$25:$I$36,2,0)))</f>
        <v>HOTELERO - BASTON - P.P.</v>
      </c>
      <c r="R56" s="362" t="str">
        <f>IF('FILL QUOTE-CALCULATIONS'!R59="","",'FILL QUOTE-CALCULATIONS'!R59)</f>
        <v xml:space="preserve">BLANCO </v>
      </c>
      <c r="S56" s="360" t="str">
        <f>IF(OR(C56&lt;1,C56=""),"",IF('FILL QUOTE-CALCULATIONS'!$S$4="INGLES",'FILL QUOTE-CALCULATIONS'!S59,VLOOKUP('FILL QUOTE-CALCULATIONS'!S59,'DROP LIST'!$H$43:$I$46,2,0)))</f>
        <v>BLANCO</v>
      </c>
      <c r="T56" s="363">
        <f>IF(OR(C56&lt;1,C56=""),"",'FILL QUOTE-CALCULATIONS'!T59)</f>
        <v>594.25</v>
      </c>
      <c r="U56" s="364">
        <f>IF(OR(C56&lt;1,C56=""),"",'FILL QUOTE-CALCULATIONS'!W59)</f>
        <v>92.300000000000011</v>
      </c>
      <c r="V56" s="365">
        <f>IF(OR(C56&lt;1,C56=""),"",IF('FILL QUOTE-CALCULATIONS'!$S$3="DOLLARS",'FILL QUOTE-CALCULATIONS'!AB59,'FILL QUOTE-CALCULATIONS'!AB59*'FILL QUOTE-CALCULATIONS'!$AC$4))</f>
        <v>686.55</v>
      </c>
      <c r="W56" s="366">
        <f>IF(OR(C56&lt;1,C56=""),"",IF('FILL QUOTE-CALCULATIONS'!$S$3="DOLLARS",'FILL QUOTE-CALCULATIONS'!AC59,'FILL QUOTE-CALCULATIONS'!AC59*'FILL QUOTE-CALCULATIONS'!$AC$4))</f>
        <v>686.55</v>
      </c>
      <c r="Y56" s="354"/>
      <c r="AA56" s="369" t="str">
        <f t="shared" si="0"/>
        <v>A LA VISTA</v>
      </c>
    </row>
    <row r="57" spans="2:27" s="353" customFormat="1" ht="30" customHeight="1" x14ac:dyDescent="0.25">
      <c r="B57" s="359">
        <v>40</v>
      </c>
      <c r="C57" s="360">
        <f>IF(OR('FILL QUOTE-CALCULATIONS'!C60&lt;1,'FILL QUOTE-CALCULATIONS'!C60=""),"",'FILL QUOTE-CALCULATIONS'!C60)</f>
        <v>1</v>
      </c>
      <c r="D57" s="360" t="str">
        <f>IF(OR(C57&lt;1,C57=""),"",IF('FILL QUOTE-CALCULATIONS'!$S$4="INGLES",'FILL QUOTE-CALCULATIONS'!D60,VLOOKUP('FILL QUOTE-CALCULATIONS'!D60,'DROP LIST'!$B$7:$C$13,2,0)))</f>
        <v>PAR</v>
      </c>
      <c r="E57" s="360" t="str">
        <f>IF(OR(C57&lt;1,C57=""),"",IF('FILL QUOTE-CALCULATIONS'!$S$4="INGLES",'FILL QUOTE-CALCULATIONS'!E60,VLOOKUP('FILL QUOTE-CALCULATIONS'!E60,'DROP LIST'!$E$7:$F$15,2,0)))</f>
        <v>PLIEGUES-GANCHOS</v>
      </c>
      <c r="F57" s="360" t="str">
        <f>IF(OR(C57&lt;1,C57=""),"",IF('FILL QUOTE-CALCULATIONS'!$S$4="INGLES",'FILL QUOTE-CALCULATIONS'!F60,VLOOKUP('FILL QUOTE-CALCULATIONS'!F60,'DROP LIST'!$H$7:$I$19,2,0)))</f>
        <v>CORTINA 'BLACKOUT'</v>
      </c>
      <c r="G57" s="361">
        <f>IF(OR(C57&lt;1,C57=""),"",'FILL QUOTE-CALCULATIONS'!G60)</f>
        <v>2</v>
      </c>
      <c r="H57" s="360" t="str">
        <f>IF(OR(C57&lt;1,C57=""),"",IF('FILL QUOTE-CALCULATIONS'!$S$4="INGLES",'FILL QUOTE-CALCULATIONS'!H60,VLOOKUP('FILL QUOTE-CALCULATIONS'!H60,'DROP LIST'!$M$7:$N$10,2,0)))</f>
        <v>EN EXISTENCIA</v>
      </c>
      <c r="I57" s="360" t="str">
        <f>IF(OR(C57&lt;1,C57=""),"",IF('FILL QUOTE-CALCULATIONS'!$S$4="INGLES",'FILL QUOTE-CALCULATIONS'!I60,VLOOKUP('FILL QUOTE-CALCULATIONS'!I60,'DROP LIST'!$M$15:$N$18,2,0)))</f>
        <v>BO TEXTURIZADO</v>
      </c>
      <c r="J57" s="360" t="str">
        <f>'FILL QUOTE-CALCULATIONS'!J60</f>
        <v/>
      </c>
      <c r="K57" s="360" t="str">
        <f>IF(OR(C57&lt;1,C57=""),"",'FILL QUOTE-CALCULATIONS'!K60)</f>
        <v xml:space="preserve">CRETA SHELL </v>
      </c>
      <c r="L57" s="360" t="str">
        <f>IF(OR(C57&lt;1,C57=""),"",IF('FILL QUOTE-CALCULATIONS'!$S$4="INGLES",'FILL QUOTE-CALCULATIONS'!L60,VLOOKUP('FILL QUOTE-CALCULATIONS'!L60,'DROP LIST'!$B$25:$C$31,2,0)))</f>
        <v>N/A</v>
      </c>
      <c r="M57" s="360" t="str">
        <f>IF(OR(E57&lt;1,E57=""),"",'FILL QUOTE-CALCULATIONS'!M60)</f>
        <v xml:space="preserve">DUQUESA 4- 2  SALA </v>
      </c>
      <c r="N57" s="362">
        <f>IF(OR(C57&lt;1,C57=""),"",'FILL QUOTE-CALCULATIONS'!N60)</f>
        <v>100.5</v>
      </c>
      <c r="O57" s="362">
        <f>IF(OR(C57&lt;1,C57=""),"",'FILL QUOTE-CALCULATIONS'!O60)</f>
        <v>117.5</v>
      </c>
      <c r="P57" s="360" t="str">
        <f>IF(OR(C57&lt;1,C57=""),"",IF('FILL QUOTE-CALCULATIONS'!$S$4="INGLES",'FILL QUOTE-CALCULATIONS'!P60, VLOOKUP('FILL QUOTE-CALCULATIONS'!P60,'DROP LIST'!$E$25:$F$27,2,0)))</f>
        <v>AL TECHO</v>
      </c>
      <c r="Q57" s="360" t="str">
        <f>IF(OR(C57&lt;1,C57=""),"",IF('FILL QUOTE-CALCULATIONS'!$S$4="INGLES",'FILL QUOTE-CALCULATIONS'!Q60,VLOOKUP('FILL QUOTE-CALCULATIONS'!Q60,'DROP LIST'!$H$25:$I$36,2,0)))</f>
        <v>HOTELERO - BASTON - P.P.</v>
      </c>
      <c r="R57" s="362" t="str">
        <f>IF('FILL QUOTE-CALCULATIONS'!R60="","",'FILL QUOTE-CALCULATIONS'!R60)</f>
        <v xml:space="preserve">BLANCO </v>
      </c>
      <c r="S57" s="360" t="str">
        <f>IF(OR(C57&lt;1,C57=""),"",IF('FILL QUOTE-CALCULATIONS'!$S$4="INGLES",'FILL QUOTE-CALCULATIONS'!S60,VLOOKUP('FILL QUOTE-CALCULATIONS'!S60,'DROP LIST'!$H$43:$I$46,2,0)))</f>
        <v>BLANCO</v>
      </c>
      <c r="T57" s="363">
        <f>IF(OR(C57&lt;1,C57=""),"",'FILL QUOTE-CALCULATIONS'!T60)</f>
        <v>594.25</v>
      </c>
      <c r="U57" s="364">
        <f>IF(OR(C57&lt;1,C57=""),"",'FILL QUOTE-CALCULATIONS'!W60)</f>
        <v>92.7</v>
      </c>
      <c r="V57" s="365">
        <f>IF(OR(C57&lt;1,C57=""),"",IF('FILL QUOTE-CALCULATIONS'!$S$3="DOLLARS",'FILL QUOTE-CALCULATIONS'!AB60,'FILL QUOTE-CALCULATIONS'!AB60*'FILL QUOTE-CALCULATIONS'!$AC$4))</f>
        <v>686.95</v>
      </c>
      <c r="W57" s="366">
        <f>IF(OR(C57&lt;1,C57=""),"",IF('FILL QUOTE-CALCULATIONS'!$S$3="DOLLARS",'FILL QUOTE-CALCULATIONS'!AC60,'FILL QUOTE-CALCULATIONS'!AC60*'FILL QUOTE-CALCULATIONS'!$AC$4))</f>
        <v>686.95</v>
      </c>
      <c r="Y57" s="354"/>
      <c r="AA57" s="369" t="str">
        <f t="shared" si="0"/>
        <v>A LA VISTA</v>
      </c>
    </row>
    <row r="58" spans="2:27" s="353" customFormat="1" ht="30" customHeight="1" x14ac:dyDescent="0.25">
      <c r="B58" s="359">
        <v>41</v>
      </c>
      <c r="C58" s="360">
        <f>IF(OR('FILL QUOTE-CALCULATIONS'!C61&lt;1,'FILL QUOTE-CALCULATIONS'!C61=""),"",'FILL QUOTE-CALCULATIONS'!C61)</f>
        <v>1</v>
      </c>
      <c r="D58" s="360" t="str">
        <f>IF(OR(C58&lt;1,C58=""),"",IF('FILL QUOTE-CALCULATIONS'!$S$4="INGLES",'FILL QUOTE-CALCULATIONS'!D61,VLOOKUP('FILL QUOTE-CALCULATIONS'!D61,'DROP LIST'!$B$7:$C$13,2,0)))</f>
        <v>PAR</v>
      </c>
      <c r="E58" s="360" t="str">
        <f>IF(OR(C58&lt;1,C58=""),"",IF('FILL QUOTE-CALCULATIONS'!$S$4="INGLES",'FILL QUOTE-CALCULATIONS'!E61,VLOOKUP('FILL QUOTE-CALCULATIONS'!E61,'DROP LIST'!$E$7:$F$15,2,0)))</f>
        <v>PLIEGUES-GANCHOS</v>
      </c>
      <c r="F58" s="360" t="str">
        <f>IF(OR(C58&lt;1,C58=""),"",IF('FILL QUOTE-CALCULATIONS'!$S$4="INGLES",'FILL QUOTE-CALCULATIONS'!F61,VLOOKUP('FILL QUOTE-CALCULATIONS'!F61,'DROP LIST'!$H$7:$I$19,2,0)))</f>
        <v>CORTINA 'BLACKOUT'</v>
      </c>
      <c r="G58" s="361">
        <f>IF(OR(C58&lt;1,C58=""),"",'FILL QUOTE-CALCULATIONS'!G61)</f>
        <v>2</v>
      </c>
      <c r="H58" s="360" t="str">
        <f>IF(OR(C58&lt;1,C58=""),"",IF('FILL QUOTE-CALCULATIONS'!$S$4="INGLES",'FILL QUOTE-CALCULATIONS'!H61,VLOOKUP('FILL QUOTE-CALCULATIONS'!H61,'DROP LIST'!$M$7:$N$10,2,0)))</f>
        <v>EN EXISTENCIA</v>
      </c>
      <c r="I58" s="360" t="str">
        <f>IF(OR(C58&lt;1,C58=""),"",IF('FILL QUOTE-CALCULATIONS'!$S$4="INGLES",'FILL QUOTE-CALCULATIONS'!I61,VLOOKUP('FILL QUOTE-CALCULATIONS'!I61,'DROP LIST'!$M$15:$N$18,2,0)))</f>
        <v>BO TEXTURIZADO</v>
      </c>
      <c r="J58" s="360" t="str">
        <f>'FILL QUOTE-CALCULATIONS'!J61</f>
        <v/>
      </c>
      <c r="K58" s="360" t="str">
        <f>IF(OR(C58&lt;1,C58=""),"",'FILL QUOTE-CALCULATIONS'!K61)</f>
        <v xml:space="preserve">CRETA SHELL </v>
      </c>
      <c r="L58" s="360" t="str">
        <f>IF(OR(C58&lt;1,C58=""),"",IF('FILL QUOTE-CALCULATIONS'!$S$4="INGLES",'FILL QUOTE-CALCULATIONS'!L61,VLOOKUP('FILL QUOTE-CALCULATIONS'!L61,'DROP LIST'!$B$25:$C$31,2,0)))</f>
        <v>N/A</v>
      </c>
      <c r="M58" s="360" t="str">
        <f>IF(OR(E58&lt;1,E58=""),"",'FILL QUOTE-CALCULATIONS'!M61)</f>
        <v xml:space="preserve">DUQUESA 4-2 RECAMARA </v>
      </c>
      <c r="N58" s="362">
        <f>IF(OR(C58&lt;1,C58=""),"",'FILL QUOTE-CALCULATIONS'!N61)</f>
        <v>126</v>
      </c>
      <c r="O58" s="362">
        <f>IF(OR(C58&lt;1,C58=""),"",'FILL QUOTE-CALCULATIONS'!O61)</f>
        <v>117.625</v>
      </c>
      <c r="P58" s="360" t="str">
        <f>IF(OR(C58&lt;1,C58=""),"",IF('FILL QUOTE-CALCULATIONS'!$S$4="INGLES",'FILL QUOTE-CALCULATIONS'!P61, VLOOKUP('FILL QUOTE-CALCULATIONS'!P61,'DROP LIST'!$E$25:$F$27,2,0)))</f>
        <v>AL TECHO</v>
      </c>
      <c r="Q58" s="360" t="str">
        <f>IF(OR(C58&lt;1,C58=""),"",IF('FILL QUOTE-CALCULATIONS'!$S$4="INGLES",'FILL QUOTE-CALCULATIONS'!Q61,VLOOKUP('FILL QUOTE-CALCULATIONS'!Q61,'DROP LIST'!$H$25:$I$36,2,0)))</f>
        <v>HOTELERO - BASTON - P.P.</v>
      </c>
      <c r="R58" s="362" t="str">
        <f>IF('FILL QUOTE-CALCULATIONS'!R61="","",'FILL QUOTE-CALCULATIONS'!R61)</f>
        <v xml:space="preserve">BLANCO </v>
      </c>
      <c r="S58" s="360" t="str">
        <f>IF(OR(C58&lt;1,C58=""),"",IF('FILL QUOTE-CALCULATIONS'!$S$4="INGLES",'FILL QUOTE-CALCULATIONS'!S61,VLOOKUP('FILL QUOTE-CALCULATIONS'!S61,'DROP LIST'!$H$43:$I$46,2,0)))</f>
        <v>BLANCO</v>
      </c>
      <c r="T58" s="363">
        <f>IF(OR(C58&lt;1,C58=""),"",'FILL QUOTE-CALCULATIONS'!T61)</f>
        <v>724.75</v>
      </c>
      <c r="U58" s="364">
        <f>IF(OR(C58&lt;1,C58=""),"",'FILL QUOTE-CALCULATIONS'!W61)</f>
        <v>112.35000000000001</v>
      </c>
      <c r="V58" s="365">
        <f>IF(OR(C58&lt;1,C58=""),"",IF('FILL QUOTE-CALCULATIONS'!$S$3="DOLLARS",'FILL QUOTE-CALCULATIONS'!AB61,'FILL QUOTE-CALCULATIONS'!AB61*'FILL QUOTE-CALCULATIONS'!$AC$4))</f>
        <v>837.1</v>
      </c>
      <c r="W58" s="366">
        <f>IF(OR(C58&lt;1,C58=""),"",IF('FILL QUOTE-CALCULATIONS'!$S$3="DOLLARS",'FILL QUOTE-CALCULATIONS'!AC61,'FILL QUOTE-CALCULATIONS'!AC61*'FILL QUOTE-CALCULATIONS'!$AC$4))</f>
        <v>837.1</v>
      </c>
      <c r="Y58" s="354"/>
      <c r="AA58" s="369" t="str">
        <f t="shared" si="0"/>
        <v>A LA VISTA</v>
      </c>
    </row>
    <row r="59" spans="2:27" s="353" customFormat="1" ht="30" hidden="1" customHeight="1" x14ac:dyDescent="0.25">
      <c r="B59" s="359" t="str">
        <f>IF(OR('FILL QUOTE-CALCULATIONS'!C62=0,'FILL QUOTE-CALCULATIONS'!C62=""),"",'FILL QUOTE-CALCULATIONS'!B62)</f>
        <v/>
      </c>
      <c r="C59" s="360" t="str">
        <f>IF(OR('FILL QUOTE-CALCULATIONS'!C62&lt;1,'FILL QUOTE-CALCULATIONS'!C62=""),"",'FILL QUOTE-CALCULATIONS'!C62)</f>
        <v/>
      </c>
      <c r="D59" s="360" t="str">
        <f>IF(OR(C59&lt;1,C59=""),"",IF('FILL QUOTE-CALCULATIONS'!$S$4="INGLES",'FILL QUOTE-CALCULATIONS'!D62,VLOOKUP('FILL QUOTE-CALCULATIONS'!D62,'DROP LIST'!$B$7:$C$13,2,0)))</f>
        <v/>
      </c>
      <c r="E59" s="360" t="str">
        <f>IF(OR(C59&lt;1,C59=""),"",IF('FILL QUOTE-CALCULATIONS'!$S$4="INGLES",'FILL QUOTE-CALCULATIONS'!E62,VLOOKUP('FILL QUOTE-CALCULATIONS'!E62,'DROP LIST'!$E$7:$F$15,2,0)))</f>
        <v/>
      </c>
      <c r="F59" s="360" t="str">
        <f>IF(OR(C59&lt;1,C59=""),"",IF('FILL QUOTE-CALCULATIONS'!$S$4="INGLES",'FILL QUOTE-CALCULATIONS'!F62,VLOOKUP('FILL QUOTE-CALCULATIONS'!F62,'DROP LIST'!$H$7:$I$19,2,0)))</f>
        <v/>
      </c>
      <c r="G59" s="361" t="str">
        <f>IF(OR(C59&lt;1,C59=""),"",'FILL QUOTE-CALCULATIONS'!G62)</f>
        <v/>
      </c>
      <c r="H59" s="360" t="str">
        <f>IF(OR(C59&lt;1,C59=""),"",IF('FILL QUOTE-CALCULATIONS'!$S$4="INGLES",'FILL QUOTE-CALCULATIONS'!H62,VLOOKUP('FILL QUOTE-CALCULATIONS'!H62,'DROP LIST'!$M$7:$N$10,2,0)))</f>
        <v/>
      </c>
      <c r="I59" s="360" t="str">
        <f>IF(OR(C59&lt;1,C59=""),"",IF('FILL QUOTE-CALCULATIONS'!$S$4="INGLES",'FILL QUOTE-CALCULATIONS'!I62,VLOOKUP('FILL QUOTE-CALCULATIONS'!I62,'DROP LIST'!$M$15:$N$18,2,0)))</f>
        <v/>
      </c>
      <c r="J59" s="360" t="str">
        <f>'FILL QUOTE-CALCULATIONS'!J62</f>
        <v/>
      </c>
      <c r="K59" s="360" t="str">
        <f>IF(OR(C59&lt;1,C59=""),"",'FILL QUOTE-CALCULATIONS'!K62)</f>
        <v/>
      </c>
      <c r="L59" s="360" t="str">
        <f>IF(OR(C59&lt;1,C59=""),"",IF('FILL QUOTE-CALCULATIONS'!$S$4="INGLES",'FILL QUOTE-CALCULATIONS'!L62,VLOOKUP('FILL QUOTE-CALCULATIONS'!L62,'DROP LIST'!$B$25:$C$31,2,0)))</f>
        <v/>
      </c>
      <c r="M59" s="360" t="str">
        <f>IF(OR(E59&lt;1,E59=""),"",'FILL QUOTE-CALCULATIONS'!M62)</f>
        <v/>
      </c>
      <c r="N59" s="362" t="str">
        <f>IF(OR(C59&lt;1,C59=""),"",'FILL QUOTE-CALCULATIONS'!N62)</f>
        <v/>
      </c>
      <c r="O59" s="362" t="str">
        <f>IF(OR(C59&lt;1,C59=""),"",'FILL QUOTE-CALCULATIONS'!O62)</f>
        <v/>
      </c>
      <c r="P59" s="360" t="str">
        <f>IF(OR(C59&lt;1,C59=""),"",IF('FILL QUOTE-CALCULATIONS'!$S$4="INGLES",'FILL QUOTE-CALCULATIONS'!P62, VLOOKUP('FILL QUOTE-CALCULATIONS'!P62,'DROP LIST'!$E$25:$F$27,2,0)))</f>
        <v/>
      </c>
      <c r="Q59" s="360" t="str">
        <f>IF(OR(C59&lt;1,C59=""),"",IF('FILL QUOTE-CALCULATIONS'!$S$4="INGLES",'FILL QUOTE-CALCULATIONS'!Q62,VLOOKUP('FILL QUOTE-CALCULATIONS'!Q62,'DROP LIST'!$H$25:$I$36,2,0)))</f>
        <v/>
      </c>
      <c r="R59" s="362" t="str">
        <f>IF('FILL QUOTE-CALCULATIONS'!R62="","",'FILL QUOTE-CALCULATIONS'!R62)</f>
        <v/>
      </c>
      <c r="S59" s="360" t="str">
        <f>IF(OR(C59&lt;1,C59=""),"",IF('FILL QUOTE-CALCULATIONS'!$S$4="INGLES",'FILL QUOTE-CALCULATIONS'!S62,VLOOKUP('FILL QUOTE-CALCULATIONS'!S62,'DROP LIST'!$H$43:$I$46,2,0)))</f>
        <v/>
      </c>
      <c r="T59" s="363" t="str">
        <f>IF(OR(C59&lt;1,C59=""),"",'FILL QUOTE-CALCULATIONS'!T62)</f>
        <v/>
      </c>
      <c r="U59" s="364" t="str">
        <f>IF(OR(C59&lt;1,C59=""),"",'FILL QUOTE-CALCULATIONS'!W62)</f>
        <v/>
      </c>
      <c r="V59" s="365" t="str">
        <f>IF(OR(C59&lt;1,C59=""),"",IF('FILL QUOTE-CALCULATIONS'!$S$3="DOLLARS",'FILL QUOTE-CALCULATIONS'!AB62,'FILL QUOTE-CALCULATIONS'!AB62*'FILL QUOTE-CALCULATIONS'!$AC$4))</f>
        <v/>
      </c>
      <c r="W59" s="366" t="str">
        <f>IF(OR(C59&lt;1,C59=""),"",IF('FILL QUOTE-CALCULATIONS'!$S$3="DOLLARS",'FILL QUOTE-CALCULATIONS'!AC62,'FILL QUOTE-CALCULATIONS'!AC62*'FILL QUOTE-CALCULATIONS'!$AC$4))</f>
        <v/>
      </c>
      <c r="Y59" s="354"/>
      <c r="AA59" s="369" t="str">
        <f t="shared" si="0"/>
        <v>ESCONDER</v>
      </c>
    </row>
    <row r="60" spans="2:27" s="353" customFormat="1" ht="5.0999999999999996" customHeight="1" x14ac:dyDescent="0.25">
      <c r="B60" s="360"/>
      <c r="C60" s="368"/>
      <c r="D60" s="360"/>
      <c r="E60" s="360"/>
      <c r="F60" s="369"/>
      <c r="G60" s="369"/>
      <c r="H60" s="369"/>
      <c r="I60" s="369"/>
      <c r="J60" s="369"/>
      <c r="K60" s="369"/>
      <c r="L60" s="369"/>
      <c r="M60" s="369"/>
      <c r="N60" s="370"/>
      <c r="O60" s="370"/>
      <c r="P60" s="368"/>
      <c r="Q60" s="360"/>
      <c r="R60" s="360"/>
      <c r="S60" s="371"/>
      <c r="T60" s="372" t="str">
        <f>IF(C60="","",IF(D60="PANEL",INDEX('TABLA PRECIOS BOD TOP GROMMET'!$B$18:$I$23,MATCH(QUOTE!#REF!,'TABLA PRECIOS BOD TOP GROMMET'!$B$18:$B$23,0),MATCH(QUOTE!#REF!,'TABLA PRECIOS BOD TOP GROMMET'!$B$18:$I$18,0)),INDEX('TABLA PRECIOS BOD TOP GROMMET'!$B$28:$I$33,MATCH(QUOTE!#REF!,'TABLA PRECIOS BOD TOP GROMMET'!$B$28:$B$33,0),MATCH(QUOTE!#REF!,'TABLA PRECIOS BOD TOP GROMMET'!$B$28:$I$28,0))))</f>
        <v/>
      </c>
      <c r="U60" s="364" t="str">
        <f>IF(C60="","",IF(Q60="SENCILLO",VLOOKUP(#REF!,'TABLA PRECIOS BOD TOP GROMMET'!$C$40:$D$52,2,0),IF(Q60="DOBLE",VLOOKUP(#REF!,'TABLA PRECIOS BOD TOP GROMMET'!$F$40:$G$52,2,0))))</f>
        <v/>
      </c>
      <c r="V60" s="365" t="str">
        <f>IF(C60="","",T60+U60)</f>
        <v/>
      </c>
      <c r="W60" s="373" t="str">
        <f>IF(C60="","",V60*C60)</f>
        <v/>
      </c>
      <c r="Y60" s="354"/>
      <c r="AA60" s="369"/>
    </row>
    <row r="61" spans="2:27" s="353" customFormat="1" ht="26.1" customHeight="1" x14ac:dyDescent="0.25">
      <c r="B61" s="374" t="str">
        <f>'FILL QUOTE-CALCULATIONS'!B63</f>
        <v>ART.</v>
      </c>
      <c r="C61" s="374" t="str">
        <f>'FILL QUOTE-CALCULATIONS'!C63</f>
        <v>CANT.</v>
      </c>
      <c r="D61" s="375" t="str">
        <f>'FILL QUOTE-CALCULATIONS'!D63</f>
        <v>DESCRIPCION DE SERVICIOS ADICIONALES</v>
      </c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6"/>
      <c r="U61" s="376"/>
      <c r="V61" s="376"/>
      <c r="W61" s="376"/>
      <c r="Y61" s="354"/>
    </row>
    <row r="62" spans="2:27" s="353" customFormat="1" ht="26.1" customHeight="1" x14ac:dyDescent="0.25">
      <c r="B62" s="359">
        <f>'FILL QUOTE-CALCULATIONS'!B64</f>
        <v>1</v>
      </c>
      <c r="C62" s="377">
        <f>IF(OR('FILL QUOTE-CALCULATIONS'!C64&lt;1,'FILL QUOTE-CALCULATIONS'!C64=""),"",'FILL QUOTE-CALCULATIONS'!C64)</f>
        <v>1</v>
      </c>
      <c r="D62" s="378" t="str">
        <f>IF(OR('FILL QUOTE-CALCULATIONS'!D64&lt;1,'FILL QUOTE-CALCULATIONS'!D64=""),"",'FILL QUOTE-CALCULATIONS'!D64)</f>
        <v xml:space="preserve">IVA 8% </v>
      </c>
      <c r="E62" s="379"/>
      <c r="F62" s="379"/>
      <c r="G62" s="379"/>
      <c r="H62" s="379"/>
      <c r="I62" s="379"/>
      <c r="J62" s="379"/>
      <c r="K62" s="379"/>
      <c r="L62" s="379"/>
      <c r="M62" s="379"/>
      <c r="N62" s="379"/>
      <c r="O62" s="379"/>
      <c r="P62" s="379"/>
      <c r="Q62" s="379"/>
      <c r="R62" s="379"/>
      <c r="S62" s="379"/>
      <c r="T62" s="379"/>
      <c r="U62" s="379"/>
      <c r="V62" s="380">
        <f>IF(OR('FILL QUOTE-CALCULATIONS'!AB64&lt;1,'FILL QUOTE-CALCULATIONS'!AB64=""),"",IF('FILL QUOTE-CALCULATIONS'!$S$3="DOLLARS",'FILL QUOTE-CALCULATIONS'!AB64,'FILL QUOTE-CALCULATIONS'!AB64*'FILL QUOTE-CALCULATIONS'!$AC$4))</f>
        <v>1214.96</v>
      </c>
      <c r="W62" s="381">
        <f>IF(V62="","",V62*C62)</f>
        <v>1214.96</v>
      </c>
      <c r="Y62" s="354"/>
    </row>
    <row r="63" spans="2:27" s="353" customFormat="1" ht="26.1" customHeight="1" x14ac:dyDescent="0.25">
      <c r="B63" s="359">
        <f>'FILL QUOTE-CALCULATIONS'!B65</f>
        <v>2</v>
      </c>
      <c r="C63" s="377" t="str">
        <f>IF(OR('FILL QUOTE-CALCULATIONS'!C65&lt;1,'FILL QUOTE-CALCULATIONS'!C65=""),"",'FILL QUOTE-CALCULATIONS'!C65)</f>
        <v/>
      </c>
      <c r="D63" s="378" t="str">
        <f>IF(OR('FILL QUOTE-CALCULATIONS'!D65&lt;1,'FILL QUOTE-CALCULATIONS'!D65=""),"",'FILL QUOTE-CALCULATIONS'!D65)</f>
        <v/>
      </c>
      <c r="E63" s="379"/>
      <c r="F63" s="379"/>
      <c r="G63" s="379"/>
      <c r="H63" s="379"/>
      <c r="I63" s="379"/>
      <c r="J63" s="379"/>
      <c r="K63" s="379"/>
      <c r="L63" s="379"/>
      <c r="M63" s="379"/>
      <c r="N63" s="379"/>
      <c r="O63" s="379"/>
      <c r="P63" s="379"/>
      <c r="Q63" s="379"/>
      <c r="R63" s="379"/>
      <c r="S63" s="379"/>
      <c r="T63" s="379"/>
      <c r="U63" s="379"/>
      <c r="V63" s="380" t="str">
        <f>IF(OR('FILL QUOTE-CALCULATIONS'!AB65&lt;1,'FILL QUOTE-CALCULATIONS'!AB65=""),"",IF('FILL QUOTE-CALCULATIONS'!$S$3="DOLLARS",'FILL QUOTE-CALCULATIONS'!AB65,'FILL QUOTE-CALCULATIONS'!AB65*'FILL QUOTE-CALCULATIONS'!$AC$4))</f>
        <v/>
      </c>
      <c r="W63" s="381" t="str">
        <f>IF(V63="","",V63*C63)</f>
        <v/>
      </c>
      <c r="Y63" s="354"/>
    </row>
    <row r="64" spans="2:27" s="353" customFormat="1" ht="26.1" customHeight="1" x14ac:dyDescent="0.25">
      <c r="B64" s="359">
        <f>'FILL QUOTE-CALCULATIONS'!B66</f>
        <v>3</v>
      </c>
      <c r="C64" s="377" t="str">
        <f>IF(OR('FILL QUOTE-CALCULATIONS'!C66&lt;1,'FILL QUOTE-CALCULATIONS'!C66=""),"",'FILL QUOTE-CALCULATIONS'!C66)</f>
        <v/>
      </c>
      <c r="D64" s="378" t="str">
        <f>IF(OR('FILL QUOTE-CALCULATIONS'!D66&lt;1,'FILL QUOTE-CALCULATIONS'!D66=""),"",'FILL QUOTE-CALCULATIONS'!D66)</f>
        <v/>
      </c>
      <c r="E64" s="379"/>
      <c r="F64" s="379"/>
      <c r="G64" s="379"/>
      <c r="H64" s="379"/>
      <c r="I64" s="379"/>
      <c r="J64" s="379"/>
      <c r="K64" s="379"/>
      <c r="L64" s="379"/>
      <c r="M64" s="379"/>
      <c r="N64" s="379"/>
      <c r="O64" s="379"/>
      <c r="P64" s="379"/>
      <c r="Q64" s="379"/>
      <c r="R64" s="379"/>
      <c r="S64" s="379"/>
      <c r="T64" s="379"/>
      <c r="U64" s="379"/>
      <c r="V64" s="380" t="str">
        <f>IF(OR('FILL QUOTE-CALCULATIONS'!AB66&lt;1,'FILL QUOTE-CALCULATIONS'!AB66=""),"",IF('FILL QUOTE-CALCULATIONS'!$S$3="DOLLARS",'FILL QUOTE-CALCULATIONS'!AB66,'FILL QUOTE-CALCULATIONS'!AB66*'FILL QUOTE-CALCULATIONS'!$AC$4))</f>
        <v/>
      </c>
      <c r="W64" s="381" t="str">
        <f>IF(V64="","",V64*C64)</f>
        <v/>
      </c>
      <c r="Y64" s="354"/>
    </row>
    <row r="65" spans="1:25" s="353" customFormat="1" ht="26.1" customHeight="1" thickBot="1" x14ac:dyDescent="0.3">
      <c r="B65" s="382">
        <f>'FILL QUOTE-CALCULATIONS'!B67</f>
        <v>4</v>
      </c>
      <c r="C65" s="383" t="str">
        <f>IF(OR('FILL QUOTE-CALCULATIONS'!C67&lt;1,'FILL QUOTE-CALCULATIONS'!C67=""),"",'FILL QUOTE-CALCULATIONS'!C67)</f>
        <v/>
      </c>
      <c r="D65" s="384" t="str">
        <f>IF(OR('FILL QUOTE-CALCULATIONS'!D67&lt;1,'FILL QUOTE-CALCULATIONS'!D67=""),"",'FILL QUOTE-CALCULATIONS'!D67)</f>
        <v/>
      </c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6" t="str">
        <f>IF(OR('FILL QUOTE-CALCULATIONS'!AB67&lt;1,'FILL QUOTE-CALCULATIONS'!AB67=""),"",IF('FILL QUOTE-CALCULATIONS'!$S$3="DOLLARS",'FILL QUOTE-CALCULATIONS'!AB67,'FILL QUOTE-CALCULATIONS'!AB67*'FILL QUOTE-CALCULATIONS'!$AC$4))</f>
        <v/>
      </c>
      <c r="W65" s="387" t="str">
        <f>IF(V65="","",V65*C65)</f>
        <v/>
      </c>
      <c r="Y65" s="354"/>
    </row>
    <row r="66" spans="1:25" s="353" customFormat="1" ht="26.1" customHeight="1" thickTop="1" x14ac:dyDescent="0.25">
      <c r="B66" s="359"/>
      <c r="C66" s="377"/>
      <c r="D66" s="378"/>
      <c r="E66" s="379"/>
      <c r="F66" s="379"/>
      <c r="G66" s="379"/>
      <c r="H66" s="379"/>
      <c r="I66" s="379"/>
      <c r="J66" s="379"/>
      <c r="K66" s="379"/>
      <c r="L66" s="379"/>
      <c r="M66" s="379"/>
      <c r="N66" s="379"/>
      <c r="O66" s="379"/>
      <c r="P66" s="379"/>
      <c r="Q66" s="379"/>
      <c r="R66" s="379"/>
      <c r="S66" s="379"/>
      <c r="T66" s="379"/>
      <c r="U66" s="379"/>
      <c r="V66" s="388"/>
      <c r="W66" s="381"/>
      <c r="Y66" s="354"/>
    </row>
    <row r="67" spans="1:25" s="353" customFormat="1" ht="26.1" customHeight="1" x14ac:dyDescent="0.25">
      <c r="B67" s="359"/>
      <c r="C67" s="377"/>
      <c r="D67" s="378"/>
      <c r="E67" s="379"/>
      <c r="F67" s="379"/>
      <c r="G67" s="379"/>
      <c r="H67" s="379"/>
      <c r="I67" s="379"/>
      <c r="J67" s="379"/>
      <c r="K67" s="379"/>
      <c r="L67" s="379"/>
      <c r="M67" s="379"/>
      <c r="N67" s="379"/>
      <c r="O67" s="379"/>
      <c r="P67" s="379"/>
      <c r="Q67" s="379"/>
      <c r="R67" s="379"/>
      <c r="S67" s="379"/>
      <c r="T67" s="379"/>
      <c r="U67" s="379"/>
      <c r="V67" s="388"/>
      <c r="W67" s="381"/>
      <c r="Y67" s="354"/>
    </row>
    <row r="68" spans="1:25" s="353" customFormat="1" ht="26.1" customHeight="1" x14ac:dyDescent="0.25">
      <c r="B68" s="389" t="str">
        <f>'FILL QUOTE-CALCULATIONS'!B69</f>
        <v>INSTALLATION INCLUDED ON ALL PRODUCTS!</v>
      </c>
      <c r="C68" s="390"/>
      <c r="D68" s="391"/>
      <c r="E68" s="369"/>
      <c r="F68" s="369"/>
      <c r="G68" s="369"/>
      <c r="H68" s="369"/>
      <c r="I68" s="369"/>
      <c r="J68" s="369"/>
      <c r="K68" s="369"/>
      <c r="L68" s="369"/>
      <c r="M68" s="369"/>
      <c r="N68" s="370"/>
      <c r="O68" s="370"/>
      <c r="P68" s="265"/>
      <c r="Q68" s="265"/>
      <c r="R68" s="265"/>
      <c r="S68" s="265"/>
      <c r="T68" s="265"/>
      <c r="U68" s="265"/>
      <c r="V68" s="392" t="str">
        <f>'FILL QUOTE-CALCULATIONS'!AB69</f>
        <v>SUB TOTAL=</v>
      </c>
      <c r="W68" s="393">
        <f>'FILL QUOTE-CALCULATIONS'!AC69</f>
        <v>25311.600000000002</v>
      </c>
      <c r="Y68" s="354"/>
    </row>
    <row r="69" spans="1:25" s="353" customFormat="1" ht="26.1" customHeight="1" x14ac:dyDescent="0.25">
      <c r="B69" s="389" t="str">
        <f>'FILL QUOTE-CALCULATIONS'!B70</f>
        <v>50% de anticipo es requerido para comenzar la produccion</v>
      </c>
      <c r="C69" s="390"/>
      <c r="D69" s="391"/>
      <c r="E69" s="369"/>
      <c r="F69" s="369"/>
      <c r="G69" s="369"/>
      <c r="H69" s="369"/>
      <c r="I69" s="369"/>
      <c r="J69" s="369"/>
      <c r="K69" s="369"/>
      <c r="L69" s="369"/>
      <c r="M69" s="369"/>
      <c r="N69" s="370"/>
      <c r="O69" s="370"/>
      <c r="R69" s="265"/>
      <c r="S69" s="394"/>
      <c r="T69" s="394" t="str">
        <f>IF(P69&lt;&gt;"","X","")</f>
        <v/>
      </c>
      <c r="U69" s="394" t="str">
        <f>IF(Q69&lt;&gt;"","X","")</f>
        <v/>
      </c>
      <c r="V69" s="395" t="str">
        <f>IF(OR('FILL QUOTE-CALCULATIONS'!AC70="",'FILL QUOTE-CALCULATIONS'!AC70=0),"",'FILL QUOTE-CALCULATIONS'!AB70)</f>
        <v>DESCUENTO EN PORCENTAJE (%) =</v>
      </c>
      <c r="W69" s="696">
        <f>IF(OR('FILL QUOTE-CALCULATIONS'!AC70="",'FILL QUOTE-CALCULATIONS'!AC70=0),"",'FILL QUOTE-CALCULATIONS'!AC70)</f>
        <v>0.4</v>
      </c>
      <c r="Y69" s="354"/>
    </row>
    <row r="70" spans="1:25" s="353" customFormat="1" ht="26.1" customHeight="1" x14ac:dyDescent="0.25">
      <c r="B70" s="389" t="str">
        <f>'FILL QUOTE-CALCULATIONS'!B71</f>
        <v>Entrega de producto terminado puede variar dependiendo del inventario disponible</v>
      </c>
      <c r="C70" s="390"/>
      <c r="D70" s="391"/>
      <c r="E70" s="369"/>
      <c r="F70" s="369"/>
      <c r="G70" s="369"/>
      <c r="H70" s="369"/>
      <c r="I70" s="369"/>
      <c r="J70" s="369"/>
      <c r="K70" s="369"/>
      <c r="L70" s="369"/>
      <c r="M70" s="369"/>
      <c r="N70" s="370"/>
      <c r="O70" s="370"/>
      <c r="R70" s="265"/>
      <c r="S70" s="265"/>
      <c r="T70" s="265"/>
      <c r="U70" s="265"/>
      <c r="V70" s="395" t="str">
        <f>IF(OR('FILL QUOTE-CALCULATIONS'!AC71="",'FILL QUOTE-CALCULATIONS'!AC71=0),"",'FILL QUOTE-CALCULATIONS'!AB71)</f>
        <v>DESCUENTO EN DINERO ($) =</v>
      </c>
      <c r="W70" s="396">
        <f>IF(OR('FILL QUOTE-CALCULATIONS'!AC71="",'FILL QUOTE-CALCULATIONS'!AC71=0),"",'FILL QUOTE-CALCULATIONS'!AC71)</f>
        <v>10124.640000000001</v>
      </c>
      <c r="Y70" s="354"/>
    </row>
    <row r="71" spans="1:25" s="353" customFormat="1" ht="26.1" customHeight="1" x14ac:dyDescent="0.25">
      <c r="B71" s="389" t="str">
        <f>'FILL QUOTE-CALCULATIONS'!B72</f>
        <v>En sistemas automatizados, la propiedad debe proveer las tomas electricas</v>
      </c>
      <c r="C71" s="390"/>
      <c r="D71" s="391"/>
      <c r="E71" s="369"/>
      <c r="F71" s="369"/>
      <c r="G71" s="369"/>
      <c r="H71" s="369"/>
      <c r="I71" s="369"/>
      <c r="J71" s="369"/>
      <c r="K71" s="369"/>
      <c r="L71" s="369"/>
      <c r="M71" s="369"/>
      <c r="N71" s="370"/>
      <c r="O71" s="370"/>
      <c r="R71" s="265"/>
      <c r="S71" s="265"/>
      <c r="T71" s="265"/>
      <c r="U71" s="265"/>
      <c r="V71" s="395" t="s">
        <v>787</v>
      </c>
      <c r="W71" s="396">
        <f>IF(OR('FILL QUOTE-CALCULATIONS'!AC72="",'FILL QUOTE-CALCULATIONS'!AC72=0),"",'FILL QUOTE-CALCULATIONS'!AC72)</f>
        <v>1214.96</v>
      </c>
      <c r="Y71" s="354"/>
    </row>
    <row r="72" spans="1:25" s="353" customFormat="1" ht="26.1" customHeight="1" thickBot="1" x14ac:dyDescent="0.3">
      <c r="B72" s="389" t="str">
        <f>'FILL QUOTE-CALCULATIONS'!B73</f>
        <v>Para instalar, la propiedad debe de estar lista para instalacion o puede que existan cargos adicionales</v>
      </c>
      <c r="C72" s="390"/>
      <c r="D72" s="391"/>
      <c r="E72" s="369"/>
      <c r="F72" s="369"/>
      <c r="G72" s="369"/>
      <c r="H72" s="369"/>
      <c r="I72" s="369"/>
      <c r="J72" s="369"/>
      <c r="K72" s="369"/>
      <c r="L72" s="369"/>
      <c r="M72" s="369"/>
      <c r="N72" s="370"/>
      <c r="O72" s="370"/>
      <c r="R72" s="265"/>
      <c r="S72" s="340"/>
      <c r="T72" s="340"/>
      <c r="U72" s="340"/>
      <c r="V72" s="397" t="str">
        <f>'FILL QUOTE-CALCULATIONS'!AB73</f>
        <v>GRAN TOTAL =</v>
      </c>
      <c r="W72" s="398">
        <f>'FILL QUOTE-CALCULATIONS'!AC73</f>
        <v>16401.920000000002</v>
      </c>
      <c r="Y72" s="354"/>
    </row>
    <row r="73" spans="1:25" s="353" customFormat="1" ht="26.1" customHeight="1" thickTop="1" x14ac:dyDescent="0.35">
      <c r="B73" s="389" t="str">
        <f>'FILL QUOTE-CALCULATIONS'!B74</f>
        <v>En integracion a sistemas inteligentes, un tecnico debe de evaluar las condiciones para asegurar un correcto funcionamiento</v>
      </c>
      <c r="C73" s="390"/>
      <c r="D73" s="391"/>
      <c r="E73" s="369"/>
      <c r="F73" s="369"/>
      <c r="G73" s="369"/>
      <c r="H73" s="369"/>
      <c r="I73" s="369"/>
      <c r="J73" s="369"/>
      <c r="K73" s="369"/>
      <c r="L73" s="369"/>
      <c r="M73" s="369"/>
      <c r="N73" s="370"/>
      <c r="O73" s="370"/>
      <c r="R73" s="265"/>
      <c r="U73" s="265"/>
      <c r="V73" s="265"/>
      <c r="W73" s="399" t="str">
        <f>'FILL QUOTE-CALCULATIONS'!AC74</f>
        <v>USD (Dollars)</v>
      </c>
      <c r="Y73" s="354"/>
    </row>
    <row r="74" spans="1:25" s="353" customFormat="1" ht="26.1" customHeight="1" x14ac:dyDescent="0.25">
      <c r="B74" s="389" t="str">
        <f>'FILL QUOTE-CALCULATIONS'!B75</f>
        <v>Los precios son en:</v>
      </c>
      <c r="C74" s="390"/>
      <c r="D74" s="400" t="str">
        <f>'FILL QUOTE-CALCULATIONS'!D75</f>
        <v>U.S. Dollars</v>
      </c>
      <c r="E74" s="369"/>
      <c r="F74" s="369"/>
      <c r="G74" s="369"/>
      <c r="H74" s="369"/>
      <c r="I74" s="369"/>
      <c r="J74" s="369"/>
      <c r="K74" s="369"/>
      <c r="L74" s="369"/>
      <c r="M74" s="369"/>
      <c r="N74" s="370"/>
      <c r="O74" s="370"/>
      <c r="R74" s="265"/>
      <c r="U74" s="265"/>
      <c r="V74" s="401"/>
      <c r="W74" s="265"/>
      <c r="Y74" s="354"/>
    </row>
    <row r="75" spans="1:25" s="353" customFormat="1" ht="42" customHeight="1" x14ac:dyDescent="1.1000000000000001">
      <c r="B75" s="402" t="s">
        <v>227</v>
      </c>
      <c r="D75" s="369"/>
      <c r="E75" s="403"/>
      <c r="F75" s="369"/>
      <c r="G75" s="369"/>
      <c r="H75" s="369"/>
      <c r="I75" s="369"/>
      <c r="J75" s="369"/>
      <c r="K75" s="369"/>
      <c r="L75" s="369"/>
      <c r="M75" s="369"/>
      <c r="N75" s="370"/>
      <c r="O75" s="370"/>
      <c r="R75" s="265"/>
      <c r="U75" s="265"/>
      <c r="V75" s="265"/>
      <c r="W75" s="265"/>
      <c r="Y75" s="354"/>
    </row>
    <row r="76" spans="1:25" s="353" customFormat="1" ht="42" customHeight="1" x14ac:dyDescent="0.3">
      <c r="C76" s="368"/>
      <c r="D76" s="369"/>
      <c r="E76" s="369"/>
      <c r="F76" s="369"/>
      <c r="G76" s="369"/>
      <c r="H76" s="369"/>
      <c r="I76" s="369"/>
      <c r="J76" s="369"/>
      <c r="K76" s="369"/>
      <c r="L76" s="369"/>
      <c r="M76" s="369"/>
      <c r="N76" s="370"/>
      <c r="O76" s="370"/>
      <c r="R76" s="265"/>
      <c r="S76" s="404" t="str">
        <f>'FILL QUOTE-CALCULATIONS'!AA76</f>
        <v>Cotizado por:</v>
      </c>
      <c r="V76" s="910" t="str">
        <f>'FILL QUOTE-CALCULATIONS'!AB76</f>
        <v xml:space="preserve">RICARDO GARCIA </v>
      </c>
      <c r="W76" s="910"/>
      <c r="Y76" s="354"/>
    </row>
    <row r="77" spans="1:25" x14ac:dyDescent="0.25">
      <c r="C77" s="343"/>
      <c r="Y77" s="327"/>
    </row>
    <row r="78" spans="1:25" x14ac:dyDescent="0.25">
      <c r="C78" s="343"/>
      <c r="Y78" s="327"/>
    </row>
    <row r="79" spans="1:25" x14ac:dyDescent="0.25">
      <c r="C79" s="343"/>
      <c r="Y79" s="327"/>
    </row>
    <row r="80" spans="1:25" x14ac:dyDescent="0.25">
      <c r="A80" s="327"/>
      <c r="B80" s="327"/>
      <c r="C80" s="405"/>
      <c r="D80" s="327"/>
      <c r="E80" s="327"/>
      <c r="F80" s="327"/>
      <c r="G80" s="327"/>
      <c r="H80" s="327"/>
      <c r="I80" s="327"/>
      <c r="J80" s="327"/>
      <c r="K80" s="327"/>
      <c r="L80" s="327"/>
      <c r="M80" s="327"/>
      <c r="N80" s="327"/>
      <c r="O80" s="327"/>
      <c r="P80" s="327"/>
      <c r="Q80" s="327"/>
      <c r="R80" s="327"/>
      <c r="S80" s="327"/>
      <c r="T80" s="327"/>
      <c r="U80" s="327"/>
      <c r="V80" s="327"/>
      <c r="W80" s="327"/>
      <c r="X80" s="327"/>
      <c r="Y80" s="327"/>
    </row>
    <row r="81" spans="1:25" x14ac:dyDescent="0.25">
      <c r="A81" s="327"/>
      <c r="B81" s="327"/>
      <c r="C81" s="405"/>
      <c r="D81" s="327"/>
      <c r="E81" s="327"/>
      <c r="F81" s="327"/>
      <c r="G81" s="327"/>
      <c r="H81" s="327"/>
      <c r="I81" s="327"/>
      <c r="J81" s="327"/>
      <c r="K81" s="327"/>
      <c r="L81" s="327"/>
      <c r="M81" s="327"/>
      <c r="N81" s="327"/>
      <c r="O81" s="327"/>
      <c r="P81" s="327"/>
      <c r="Q81" s="327"/>
      <c r="R81" s="327"/>
      <c r="S81" s="327"/>
      <c r="T81" s="327"/>
      <c r="U81" s="327"/>
      <c r="V81" s="327"/>
      <c r="W81" s="327"/>
      <c r="X81" s="327"/>
      <c r="Y81" s="327"/>
    </row>
    <row r="82" spans="1:25" x14ac:dyDescent="0.25">
      <c r="A82" s="327"/>
      <c r="B82" s="327"/>
      <c r="C82" s="327"/>
      <c r="D82" s="327"/>
      <c r="E82" s="327"/>
      <c r="F82" s="327"/>
      <c r="G82" s="327"/>
      <c r="H82" s="327"/>
      <c r="I82" s="327"/>
      <c r="J82" s="327"/>
      <c r="K82" s="327"/>
      <c r="L82" s="327"/>
      <c r="M82" s="327"/>
      <c r="N82" s="327"/>
      <c r="O82" s="327"/>
      <c r="P82" s="327"/>
      <c r="Q82" s="327"/>
      <c r="R82" s="327"/>
      <c r="S82" s="327"/>
      <c r="T82" s="327"/>
      <c r="U82" s="327"/>
      <c r="V82" s="327"/>
      <c r="W82" s="327"/>
      <c r="X82" s="327"/>
      <c r="Y82" s="327"/>
    </row>
    <row r="85" spans="1:25" ht="28.5" x14ac:dyDescent="0.45">
      <c r="B85" s="406" t="s">
        <v>330</v>
      </c>
      <c r="C85" s="407"/>
      <c r="D85" s="408"/>
      <c r="E85" s="407"/>
      <c r="F85" s="407"/>
      <c r="G85" s="407"/>
      <c r="H85" s="407"/>
      <c r="I85" s="407"/>
      <c r="J85" s="407"/>
      <c r="K85" s="407"/>
      <c r="L85" s="407"/>
      <c r="M85" s="407"/>
      <c r="N85" s="407"/>
      <c r="O85" s="407"/>
    </row>
    <row r="86" spans="1:25" ht="28.5" x14ac:dyDescent="0.45">
      <c r="B86" s="407"/>
      <c r="C86" s="407"/>
      <c r="D86" s="409" t="s">
        <v>331</v>
      </c>
      <c r="E86" s="407"/>
      <c r="F86" s="407"/>
      <c r="G86" s="407"/>
      <c r="H86" s="407"/>
      <c r="I86" s="407"/>
      <c r="J86" s="407"/>
      <c r="K86" s="407"/>
      <c r="L86" s="407"/>
      <c r="M86" s="407"/>
      <c r="N86" s="407"/>
      <c r="O86" s="407"/>
    </row>
    <row r="87" spans="1:25" ht="28.5" x14ac:dyDescent="0.45">
      <c r="B87" s="407"/>
      <c r="C87" s="407"/>
      <c r="D87" s="409" t="s">
        <v>332</v>
      </c>
      <c r="E87" s="407"/>
      <c r="F87" s="407"/>
      <c r="G87" s="407"/>
      <c r="H87" s="407"/>
      <c r="I87" s="407"/>
      <c r="J87" s="407"/>
      <c r="K87" s="407"/>
      <c r="L87" s="407"/>
      <c r="M87" s="407"/>
      <c r="N87" s="407"/>
      <c r="O87" s="407"/>
    </row>
    <row r="88" spans="1:25" ht="28.5" x14ac:dyDescent="0.45">
      <c r="B88" s="407"/>
      <c r="C88" s="407"/>
      <c r="D88" s="409" t="s">
        <v>333</v>
      </c>
      <c r="E88" s="407"/>
      <c r="F88" s="407"/>
      <c r="G88" s="407"/>
      <c r="H88" s="407"/>
      <c r="I88" s="407"/>
      <c r="J88" s="407"/>
      <c r="K88" s="407"/>
      <c r="L88" s="407"/>
      <c r="M88" s="407"/>
      <c r="N88" s="407"/>
      <c r="O88" s="407"/>
    </row>
    <row r="89" spans="1:25" x14ac:dyDescent="0.25">
      <c r="D89" s="343"/>
    </row>
    <row r="90" spans="1:25" x14ac:dyDescent="0.25">
      <c r="D90" s="343"/>
    </row>
  </sheetData>
  <autoFilter ref="AA11:AA59" xr:uid="{00000000-0001-0000-0000-000000000000}">
    <filterColumn colId="0">
      <filters>
        <filter val="A LA VISTA"/>
      </filters>
    </filterColumn>
  </autoFilter>
  <mergeCells count="3">
    <mergeCell ref="P10:S10"/>
    <mergeCell ref="V10:W10"/>
    <mergeCell ref="V76:W76"/>
  </mergeCells>
  <hyperlinks>
    <hyperlink ref="N7" r:id="rId1" display="yenakat1234@gmail.com" xr:uid="{00000000-0004-0000-0000-000000000000}"/>
  </hyperlinks>
  <pageMargins left="0.25" right="0.17" top="0.3" bottom="0.32" header="0.19" footer="0.17"/>
  <pageSetup scale="41" fitToHeight="3" orientation="landscape" r:id="rId2"/>
  <headerFooter>
    <oddFooter>&amp;R&amp;"-,Bold"&amp;14&amp;P /  &amp;N</oddFoot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00000000-0002-0000-0000-000000000000}">
          <x14:formula1>
            <xm:f>'DROP LIST'!$V$7:$V$8</xm:f>
          </x14:formula1>
          <xm:sqref>R73:R76 T73:T76 T60:T67 Q60:R60 R62:R67</xm:sqref>
        </x14:dataValidation>
        <x14:dataValidation type="list" allowBlank="1" showInputMessage="1" showErrorMessage="1" xr:uid="{00000000-0002-0000-0000-000001000000}">
          <x14:formula1>
            <xm:f>'DROP LIST'!$B$7:$B$8</xm:f>
          </x14:formula1>
          <xm:sqref>B60 D60:E60</xm:sqref>
        </x14:dataValidation>
        <x14:dataValidation type="list" allowBlank="1" showInputMessage="1" showErrorMessage="1" xr:uid="{00000000-0002-0000-0000-000002000000}">
          <x14:formula1>
            <xm:f>'DROP LIST'!$H$43:$H$46</xm:f>
          </x14:formula1>
          <xm:sqref>S60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tabColor rgb="FFCC99FF"/>
  </sheetPr>
  <dimension ref="B1:BX105"/>
  <sheetViews>
    <sheetView topLeftCell="A11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34.7109375" style="175" bestFit="1" customWidth="1"/>
    <col min="18" max="18" width="11.5703125" style="175" hidden="1" customWidth="1"/>
    <col min="19" max="19" width="12.4257812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 H-RAIL HW '!$S$4="INGLES","ITEM","ART.")</f>
        <v>ART.</v>
      </c>
      <c r="C14" s="182" t="str">
        <f>IF('CALC - RIPP- H-RAIL HW '!$S$4="INGLES","QTY.","CANT.")</f>
        <v>CANT.</v>
      </c>
      <c r="D14" s="182" t="str">
        <f>IF('CALC - RIPP- H-RAIL HW '!$S$4="INGLES","DRAW DIRECTION","DIRECCION DE CORTINA")</f>
        <v>DIRECCION DE CORTINA</v>
      </c>
      <c r="E14" s="182" t="str">
        <f>IF('CALC - RIPP- H-RAIL HW '!$S$4="INGLES","DRAPERY STYLE","ESTILO DE CORTINA")</f>
        <v>ESTILO DE CORTINA</v>
      </c>
      <c r="F14" s="182" t="str">
        <f>IF('CALC - RIPP- H-RAIL HW '!$S$4="INGLES","DRAPERY TYPE","TIPO DE CORTINA")</f>
        <v>TIPO DE CORTINA</v>
      </c>
      <c r="G14" s="182" t="str">
        <f>IF('CALC - RIPP- H-RAIL HW '!$S$4="INGLES","FULLNESS","AMPLITUD")</f>
        <v>AMPLITUD</v>
      </c>
      <c r="H14" s="198" t="str">
        <f>IF('CALC - RIPP- H-RAIL HW '!$S$4="INGLES","'STOCK','LINE' or 'C.O.M.'  FABRICS","TELAS 'EN EXISTENCIA', 'POR ORDENAR' ó 'DEL CLIENTE'")</f>
        <v>TELAS 'EN EXISTENCIA', 'POR ORDENAR' ó 'DEL CLIENTE'</v>
      </c>
      <c r="I14" s="182" t="str">
        <f>IF('CALC - RIPP- H-RAIL HW '!$S$4="INGLES","FABRIC TYPE","TIPO DE TELA")</f>
        <v>TIPO DE TELA</v>
      </c>
      <c r="J14" s="182" t="str">
        <f>IF('CALC - RIPP- H-RAIL HW '!$S$4="INGLES","FABRIC YARDAGE PER QTY. REQUIRED","YARDAGE SEGUN CANTIDAD REQUERIDA")</f>
        <v>YARDAGE SEGUN CANTIDAD REQUERIDA</v>
      </c>
      <c r="K14" s="182" t="str">
        <f>IF('CALC - RIPP- H-RAIL HW '!$S$4="INGLES","FABRIC PATTERN AND COLOR NAME","NOMBRE y COLOR DE TELA")</f>
        <v>NOMBRE y COLOR DE TELA</v>
      </c>
      <c r="L14" s="182" t="str">
        <f>IF('CALC - RIPP- H-RAIL HW '!$S$4="INGLES","LINING TYPE","TIPO DE LINING")</f>
        <v>TIPO DE LINING</v>
      </c>
      <c r="M14" s="182" t="str">
        <f>IF('CALC - RIPP- H-RAIL HW '!$S$4="INGLES","ROOM / AREA NAME","NOMBRE DEL CUARTO ó AREA")</f>
        <v>NOMBRE DEL CUARTO ó AREA</v>
      </c>
      <c r="N14" s="182" t="str">
        <f>IF('CALC - RIPP- H-RAIL HW '!$S$4="INGLES","ROD SIZE","ANCHO DE RIEL")</f>
        <v>ANCHO DE RIEL</v>
      </c>
      <c r="O14" s="184" t="str">
        <f>IF('CALC - RIPP- H-RAIL HW '!$S$4="INGLES","DRAPERY FINISHED SIZE","ALTURA DE CORTINA")</f>
        <v>ALTURA DE CORTINA</v>
      </c>
      <c r="P14" s="183" t="str">
        <f>IF('CALC - RIPP- H-RAIL HW '!$S$4="INGLES","MOUNTING","MONTAJE")</f>
        <v>MONTAJE</v>
      </c>
      <c r="Q14" s="182" t="str">
        <f>IF('CALC - RIPP- H-RAIL HW '!$S$4="INGLES","HARDWARE TYPE","TIPO HERRAJE")</f>
        <v>TIPO HERRAJE</v>
      </c>
      <c r="R14" s="185" t="str">
        <f>IF('CALC - RIPP- H-RAIL HW '!$S$4="INGLES","HARDWARE COLOR","COLOR HERRAJE")</f>
        <v>COLOR HERRAJE</v>
      </c>
      <c r="S14" s="185" t="str">
        <f>IF('CALC - RIPP- H-RAIL HW '!$S$4="INGLES","BATON TYPE (in  the case that applies)","TIPO DE BASTON (en caso de que aplique)")</f>
        <v>TIPO DE BASTON (en caso de que aplique)</v>
      </c>
      <c r="T14" s="183" t="str">
        <f>IF('CALC - RIPP- H-RAIL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 H-RAIL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 H-RAIL HW '!$S$4="INGLES","UNIT PRICE.","PRECIO UNITARIO")</f>
        <v>PRECIO UNITARIO</v>
      </c>
      <c r="AI14" s="184" t="str">
        <f>IF('CALC - RIPP- H-RAIL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 RIPP- H-RAIL HW '!BD15))</f>
        <v>342.06521739130437</v>
      </c>
      <c r="BN15" s="316">
        <f>IF(C15="","",IF(S15="N/A",0,IF(BE15="N/A",0,INDEX('COST - SELL'!$O$70:$S$73,MATCH('CALC - RIPP- H-RAIL HW '!S15,'COST - SELL'!$O$70:$O$73,0),MATCH('CALC - RIPP- H-RAIL HW 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 RIPP- H-RAIL HW '!BD16))</f>
        <v>342.06521739130437</v>
      </c>
      <c r="BN16" s="316">
        <f>IF(C16="","",IF(S16="N/A",0,IF(BE16="N/A",0,INDEX('COST - SELL'!$O$70:$S$73,MATCH('CALC - RIPP- H-RAIL HW '!S16,'COST - SELL'!$O$70:$O$73,0),MATCH('CALC - RIPP- H-RAIL HW 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>IF(OR(C17&lt;1,C17=""),"",BO17)</f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 RIPP- H-RAIL HW '!BD17))</f>
        <v>342.06521739130437</v>
      </c>
      <c r="BN17" s="316">
        <f>IF(C17="","",IF(S17="N/A",0,IF(BE17="N/A",0,INDEX('COST - SELL'!$O$70:$S$73,MATCH('CALC - RIPP- H-RAIL HW '!S17,'COST - SELL'!$O$70:$O$73,0),MATCH('CALC - RIPP- H-RAIL HW '!BE17,'COST - SELL'!$O$70:$S$70,0)))))</f>
        <v>66.25</v>
      </c>
      <c r="BO17" s="316">
        <f>IF(C17="","",CEILING(BM17+BN17,0.05))</f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>IF(OR(C18&lt;1,C18=""),"",BO18)</f>
        <v>408.35</v>
      </c>
      <c r="AB18" s="560">
        <f t="shared" ref="AB18:AB62" si="34"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 RIPP- H-RAIL HW '!BD18))</f>
        <v>342.06521739130437</v>
      </c>
      <c r="BN18" s="316">
        <f>IF(C18="","",IF(S18="N/A",0,IF(BE18="N/A",0,INDEX('COST - SELL'!$O$70:$S$73,MATCH('CALC - RIPP- H-RAIL HW '!S18,'COST - SELL'!$O$70:$O$73,0),MATCH('CALC - RIPP- H-RAIL HW 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2"/>
        <v>408.35</v>
      </c>
      <c r="AB19" s="560">
        <f t="shared" si="34"/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 RIPP- H-RAIL HW '!BD19))</f>
        <v>342.06521739130437</v>
      </c>
      <c r="BN19" s="316">
        <f>IF(C19="","",IF(S19="N/A",0,IF(BE19="N/A",0,INDEX('COST - SELL'!$O$70:$S$73,MATCH('CALC - RIPP- H-RAIL HW '!S19,'COST - SELL'!$O$70:$O$73,0),MATCH('CALC - RIPP- H-RAIL HW 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 RIPP- H-RAIL HW '!BD20))</f>
        <v>342.06521739130437</v>
      </c>
      <c r="BN20" s="316">
        <f>IF(C20="","",IF(S20="N/A",0,IF(BE20="N/A",0,INDEX('COST - SELL'!$O$70:$S$73,MATCH('CALC - RIPP- H-RAIL HW '!S20,'COST - SELL'!$O$70:$O$73,0),MATCH('CALC - RIPP- H-RAIL HW 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 RIPP- H-RAIL HW '!BD21))</f>
        <v>465.58876811594195</v>
      </c>
      <c r="BN21" s="316">
        <f>IF(C21="","",IF(S21="N/A",0,IF(BE21="N/A",0,INDEX('COST - SELL'!$O$70:$S$73,MATCH('CALC - RIPP- H-RAIL HW '!S21,'COST - SELL'!$O$70:$O$73,0),MATCH('CALC - RIPP- H-RAIL HW 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 RIPP- H-RAIL HW '!BD22))</f>
        <v>465.58876811594195</v>
      </c>
      <c r="BN22" s="316">
        <f>IF(C22="","",IF(S22="N/A",0,IF(BE22="N/A",0,INDEX('COST - SELL'!$O$70:$S$73,MATCH('CALC - RIPP- H-RAIL HW '!S22,'COST - SELL'!$O$70:$O$73,0),MATCH('CALC - RIPP- H-RAIL HW 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 RIPP- H-RAIL HW '!BD23))</f>
        <v>465.58876811594195</v>
      </c>
      <c r="BN23" s="316">
        <f>IF(C23="","",IF(S23="N/A",0,IF(BE23="N/A",0,INDEX('COST - SELL'!$O$70:$S$73,MATCH('CALC - RIPP- H-RAIL HW '!S23,'COST - SELL'!$O$70:$O$73,0),MATCH('CALC - RIPP- H-RAIL HW 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 RIPP- H-RAIL HW '!BD24))</f>
        <v>465.58876811594195</v>
      </c>
      <c r="BN24" s="316">
        <f>IF(C24="","",IF(S24="N/A",0,IF(BE24="N/A",0,INDEX('COST - SELL'!$O$70:$S$73,MATCH('CALC - RIPP- H-RAIL HW '!S24,'COST - SELL'!$O$70:$O$73,0),MATCH('CALC - RIPP- H-RAIL HW 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 RIPP- H-RAIL HW '!BD25))</f>
        <v>465.58876811594195</v>
      </c>
      <c r="BN25" s="316">
        <f>IF(C25="","",IF(S25="N/A",0,IF(BE25="N/A",0,INDEX('COST - SELL'!$O$70:$S$73,MATCH('CALC - RIPP- H-RAIL HW '!S25,'COST - SELL'!$O$70:$O$73,0),MATCH('CALC - RIPP- H-RAIL HW 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 RIPP- H-RAIL HW '!BD26))</f>
        <v>465.58876811594195</v>
      </c>
      <c r="BN26" s="316">
        <f>IF(C26="","",IF(S26="N/A",0,IF(BE26="N/A",0,INDEX('COST - SELL'!$O$70:$S$73,MATCH('CALC - RIPP- H-RAIL HW '!S26,'COST - SELL'!$O$70:$O$73,0),MATCH('CALC - RIPP- H-RAIL HW 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 RIPP- H-RAIL HW '!BD27))</f>
        <v>589.11231884057975</v>
      </c>
      <c r="BN27" s="316">
        <f>IF(C27="","",IF(S27="N/A",0,IF(BE27="N/A",0,INDEX('COST - SELL'!$O$70:$S$73,MATCH('CALC - RIPP- H-RAIL HW '!S27,'COST - SELL'!$O$70:$O$73,0),MATCH('CALC - RIPP- H-RAIL HW 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 RIPP- H-RAIL HW '!BD28))</f>
        <v>589.11231884057975</v>
      </c>
      <c r="BN28" s="316">
        <f>IF(C28="","",IF(S28="N/A",0,IF(BE28="N/A",0,INDEX('COST - SELL'!$O$70:$S$73,MATCH('CALC - RIPP- H-RAIL HW '!S28,'COST - SELL'!$O$70:$O$73,0),MATCH('CALC - RIPP- H-RAIL HW 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 RIPP- H-RAIL HW '!BD29))</f>
        <v>589.11231884057975</v>
      </c>
      <c r="BN29" s="316">
        <f>IF(C29="","",IF(S29="N/A",0,IF(BE29="N/A",0,INDEX('COST - SELL'!$O$70:$S$73,MATCH('CALC - RIPP- H-RAIL HW '!S29,'COST - SELL'!$O$70:$O$73,0),MATCH('CALC - RIPP- H-RAIL HW 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 RIPP- H-RAIL HW '!BD30))</f>
        <v>589.11231884057975</v>
      </c>
      <c r="BN30" s="316">
        <f>IF(C30="","",IF(S30="N/A",0,IF(BE30="N/A",0,INDEX('COST - SELL'!$O$70:$S$73,MATCH('CALC - RIPP- H-RAIL HW '!S30,'COST - SELL'!$O$70:$O$73,0),MATCH('CALC - RIPP- H-RAIL HW 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 RIPP- H-RAIL HW '!BD31))</f>
        <v>589.11231884057975</v>
      </c>
      <c r="BN31" s="316">
        <f>IF(C31="","",IF(S31="N/A",0,IF(BE31="N/A",0,INDEX('COST - SELL'!$O$70:$S$73,MATCH('CALC - RIPP- H-RAIL HW '!S31,'COST - SELL'!$O$70:$O$73,0),MATCH('CALC - RIPP- H-RAIL HW 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 RIPP- H-RAIL HW '!BD32))</f>
        <v>589.11231884057975</v>
      </c>
      <c r="BN32" s="316">
        <f>IF(C32="","",IF(S32="N/A",0,IF(BE32="N/A",0,INDEX('COST - SELL'!$O$70:$S$73,MATCH('CALC - RIPP- H-RAIL HW '!S32,'COST - SELL'!$O$70:$O$73,0),MATCH('CALC - RIPP- H-RAIL HW 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 RIPP- H-RAIL HW '!BD33))</f>
        <v>712.63586956521738</v>
      </c>
      <c r="BN33" s="316">
        <f>IF(C33="","",IF(S33="N/A",0,IF(BE33="N/A",0,INDEX('COST - SELL'!$O$70:$S$73,MATCH('CALC - RIPP- H-RAIL HW '!S33,'COST - SELL'!$O$70:$O$73,0),MATCH('CALC - RIPP- H-RAIL HW 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 RIPP- H-RAIL HW '!BD34))</f>
        <v>712.63586956521738</v>
      </c>
      <c r="BN34" s="316">
        <f>IF(C34="","",IF(S34="N/A",0,IF(BE34="N/A",0,INDEX('COST - SELL'!$O$70:$S$73,MATCH('CALC - RIPP- H-RAIL HW '!S34,'COST - SELL'!$O$70:$O$73,0),MATCH('CALC - RIPP- H-RAIL HW 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 RIPP- H-RAIL HW '!BD35))</f>
        <v>712.63586956521738</v>
      </c>
      <c r="BN35" s="316">
        <f>IF(C35="","",IF(S35="N/A",0,IF(BE35="N/A",0,INDEX('COST - SELL'!$O$70:$S$73,MATCH('CALC - RIPP- H-RAIL HW '!S35,'COST - SELL'!$O$70:$O$73,0),MATCH('CALC - RIPP- H-RAIL HW 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 RIPP- H-RAIL HW '!BD36))</f>
        <v>712.63586956521738</v>
      </c>
      <c r="BN36" s="316">
        <f>IF(C36="","",IF(S36="N/A",0,IF(BE36="N/A",0,INDEX('COST - SELL'!$O$70:$S$73,MATCH('CALC - RIPP- H-RAIL HW '!S36,'COST - SELL'!$O$70:$O$73,0),MATCH('CALC - RIPP- H-RAIL HW 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 RIPP- H-RAIL HW '!BD37))</f>
        <v>712.63586956521738</v>
      </c>
      <c r="BN37" s="316">
        <f>IF(C37="","",IF(S37="N/A",0,IF(BE37="N/A",0,INDEX('COST - SELL'!$O$70:$S$73,MATCH('CALC - RIPP- H-RAIL HW '!S37,'COST - SELL'!$O$70:$O$73,0),MATCH('CALC - RIPP- H-RAIL HW 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 RIPP- H-RAIL HW '!BD38))</f>
        <v>712.63586956521738</v>
      </c>
      <c r="BN38" s="316">
        <f>IF(C38="","",IF(S38="N/A",0,IF(BE38="N/A",0,INDEX('COST - SELL'!$O$70:$S$73,MATCH('CALC - RIPP- H-RAIL HW '!S38,'COST - SELL'!$O$70:$O$73,0),MATCH('CALC - RIPP- H-RAIL HW 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 RIPP- H-RAIL HW '!BD39))</f>
        <v>342.06521739130437</v>
      </c>
      <c r="BN39" s="316">
        <f>IF(C39="","",IF(S39="N/A",0,IF(BE39="N/A",0,INDEX('COST - SELL'!$O$70:$S$73,MATCH('CALC - RIPP- H-RAIL HW '!S39,'COST - SELL'!$O$70:$O$73,0),MATCH('CALC - RIPP- H-RAIL HW 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 RIPP- H-RAIL HW '!BD40))</f>
        <v>342.06521739130437</v>
      </c>
      <c r="BN40" s="316">
        <f>IF(C40="","",IF(S40="N/A",0,IF(BE40="N/A",0,INDEX('COST - SELL'!$O$70:$S$73,MATCH('CALC - RIPP- H-RAIL HW '!S40,'COST - SELL'!$O$70:$O$73,0),MATCH('CALC - RIPP- H-RAIL HW 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 RIPP- H-RAIL HW '!BD41))</f>
        <v>342.06521739130437</v>
      </c>
      <c r="BN41" s="316">
        <f>IF(C41="","",IF(S41="N/A",0,IF(BE41="N/A",0,INDEX('COST - SELL'!$O$70:$S$73,MATCH('CALC - RIPP- H-RAIL HW '!S41,'COST - SELL'!$O$70:$O$73,0),MATCH('CALC - RIPP- H-RAIL HW 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 RIPP- H-RAIL HW '!BD42))</f>
        <v>342.06521739130437</v>
      </c>
      <c r="BN42" s="316">
        <f>IF(C42="","",IF(S42="N/A",0,IF(BE42="N/A",0,INDEX('COST - SELL'!$O$70:$S$73,MATCH('CALC - RIPP- H-RAIL HW '!S42,'COST - SELL'!$O$70:$O$73,0),MATCH('CALC - RIPP- H-RAIL HW 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 RIPP- H-RAIL HW '!BD43))</f>
        <v>342.06521739130437</v>
      </c>
      <c r="BN43" s="316">
        <f>IF(C43="","",IF(S43="N/A",0,IF(BE43="N/A",0,INDEX('COST - SELL'!$O$70:$S$73,MATCH('CALC - RIPP- H-RAIL HW '!S43,'COST - SELL'!$O$70:$O$73,0),MATCH('CALC - RIPP- H-RAIL HW 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 RIPP- H-RAIL HW '!BD44))</f>
        <v>342.06521739130437</v>
      </c>
      <c r="BN44" s="316">
        <f>IF(C44="","",IF(S44="N/A",0,IF(BE44="N/A",0,INDEX('COST - SELL'!$O$70:$S$73,MATCH('CALC - RIPP- H-RAIL HW '!S44,'COST - SELL'!$O$70:$O$73,0),MATCH('CALC - RIPP- H-RAIL HW 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 RIPP- H-RAIL HW '!BD45))</f>
        <v>465.58876811594195</v>
      </c>
      <c r="BN45" s="316">
        <f>IF(C45="","",IF(S45="N/A",0,IF(BE45="N/A",0,INDEX('COST - SELL'!$O$70:$S$73,MATCH('CALC - RIPP- H-RAIL HW '!S45,'COST - SELL'!$O$70:$O$73,0),MATCH('CALC - RIPP- H-RAIL HW 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 RIPP- H-RAIL HW '!BD46))</f>
        <v>465.58876811594195</v>
      </c>
      <c r="BN46" s="316">
        <f>IF(C46="","",IF(S46="N/A",0,IF(BE46="N/A",0,INDEX('COST - SELL'!$O$70:$S$73,MATCH('CALC - RIPP- H-RAIL HW '!S46,'COST - SELL'!$O$70:$O$73,0),MATCH('CALC - RIPP- H-RAIL HW 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 RIPP- H-RAIL HW '!BD47))</f>
        <v>465.58876811594195</v>
      </c>
      <c r="BN47" s="316">
        <f>IF(C47="","",IF(S47="N/A",0,IF(BE47="N/A",0,INDEX('COST - SELL'!$O$70:$S$73,MATCH('CALC - RIPP- H-RAIL HW '!S47,'COST - SELL'!$O$70:$O$73,0),MATCH('CALC - RIPP- H-RAIL HW 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 RIPP- H-RAIL HW '!BD48))</f>
        <v>465.58876811594195</v>
      </c>
      <c r="BN48" s="316">
        <f>IF(C48="","",IF(S48="N/A",0,IF(BE48="N/A",0,INDEX('COST - SELL'!$O$70:$S$73,MATCH('CALC - RIPP- H-RAIL HW '!S48,'COST - SELL'!$O$70:$O$73,0),MATCH('CALC - RIPP- H-RAIL HW 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 RIPP- H-RAIL HW '!BD49))</f>
        <v>465.58876811594195</v>
      </c>
      <c r="BN49" s="316">
        <f>IF(C49="","",IF(S49="N/A",0,IF(BE49="N/A",0,INDEX('COST - SELL'!$O$70:$S$73,MATCH('CALC - RIPP- H-RAIL HW '!S49,'COST - SELL'!$O$70:$O$73,0),MATCH('CALC - RIPP- H-RAIL HW 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 RIPP- H-RAIL HW '!BD50))</f>
        <v>465.58876811594195</v>
      </c>
      <c r="BN50" s="316">
        <f>IF(C50="","",IF(S50="N/A",0,IF(BE50="N/A",0,INDEX('COST - SELL'!$O$70:$S$73,MATCH('CALC - RIPP- H-RAIL HW '!S50,'COST - SELL'!$O$70:$O$73,0),MATCH('CALC - RIPP- H-RAIL HW 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 RIPP- H-RAIL HW '!BD51))</f>
        <v>589.11231884057975</v>
      </c>
      <c r="BN51" s="316">
        <f>IF(C51="","",IF(S51="N/A",0,IF(BE51="N/A",0,INDEX('COST - SELL'!$O$70:$S$73,MATCH('CALC - RIPP- H-RAIL HW '!S51,'COST - SELL'!$O$70:$O$73,0),MATCH('CALC - RIPP- H-RAIL HW 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 RIPP- H-RAIL HW '!BD52))</f>
        <v>589.11231884057975</v>
      </c>
      <c r="BN52" s="316">
        <f>IF(C52="","",IF(S52="N/A",0,IF(BE52="N/A",0,INDEX('COST - SELL'!$O$70:$S$73,MATCH('CALC - RIPP- H-RAIL HW '!S52,'COST - SELL'!$O$70:$O$73,0),MATCH('CALC - RIPP- H-RAIL HW 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 RIPP- H-RAIL HW '!BD53))</f>
        <v>589.11231884057975</v>
      </c>
      <c r="BN53" s="316">
        <f>IF(C53="","",IF(S53="N/A",0,IF(BE53="N/A",0,INDEX('COST - SELL'!$O$70:$S$73,MATCH('CALC - RIPP- H-RAIL HW '!S53,'COST - SELL'!$O$70:$O$73,0),MATCH('CALC - RIPP- H-RAIL HW 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 RIPP- H-RAIL HW '!BD54))</f>
        <v>589.11231884057975</v>
      </c>
      <c r="BN54" s="316">
        <f>IF(C54="","",IF(S54="N/A",0,IF(BE54="N/A",0,INDEX('COST - SELL'!$O$70:$S$73,MATCH('CALC - RIPP- H-RAIL HW '!S54,'COST - SELL'!$O$70:$O$73,0),MATCH('CALC - RIPP- H-RAIL HW 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 RIPP- H-RAIL HW '!BD55))</f>
        <v>589.11231884057975</v>
      </c>
      <c r="BN55" s="316">
        <f>IF(C55="","",IF(S55="N/A",0,IF(BE55="N/A",0,INDEX('COST - SELL'!$O$70:$S$73,MATCH('CALC - RIPP- H-RAIL HW '!S55,'COST - SELL'!$O$70:$O$73,0),MATCH('CALC - RIPP- H-RAIL HW 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 RIPP- H-RAIL HW '!BD56))</f>
        <v>589.11231884057975</v>
      </c>
      <c r="BN56" s="316">
        <f>IF(C56="","",IF(S56="N/A",0,IF(BE56="N/A",0,INDEX('COST - SELL'!$O$70:$S$73,MATCH('CALC - RIPP- H-RAIL HW '!S56,'COST - SELL'!$O$70:$O$73,0),MATCH('CALC - RIPP- H-RAIL HW 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 RIPP- H-RAIL HW '!BD57))</f>
        <v>712.63586956521738</v>
      </c>
      <c r="BN57" s="316">
        <f>IF(C57="","",IF(S57="N/A",0,IF(BE57="N/A",0,INDEX('COST - SELL'!$O$70:$S$73,MATCH('CALC - RIPP- H-RAIL HW '!S57,'COST - SELL'!$O$70:$O$73,0),MATCH('CALC - RIPP- H-RAIL HW 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 RIPP- H-RAIL HW '!BD58))</f>
        <v>712.63586956521738</v>
      </c>
      <c r="BN58" s="316">
        <f>IF(C58="","",IF(S58="N/A",0,IF(BE58="N/A",0,INDEX('COST - SELL'!$O$70:$S$73,MATCH('CALC - RIPP- H-RAIL HW '!S58,'COST - SELL'!$O$70:$O$73,0),MATCH('CALC - RIPP- H-RAIL HW 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 RIPP- H-RAIL HW '!BD59))</f>
        <v>712.63586956521738</v>
      </c>
      <c r="BN59" s="316">
        <f>IF(C59="","",IF(S59="N/A",0,IF(BE59="N/A",0,INDEX('COST - SELL'!$O$70:$S$73,MATCH('CALC - RIPP- H-RAIL HW '!S59,'COST - SELL'!$O$70:$O$73,0),MATCH('CALC - RIPP- H-RAIL HW 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 RIPP- H-RAIL HW '!BD60))</f>
        <v>712.63586956521738</v>
      </c>
      <c r="BN60" s="316">
        <f>IF(C60="","",IF(S60="N/A",0,IF(BE60="N/A",0,INDEX('COST - SELL'!$O$70:$S$73,MATCH('CALC - RIPP- H-RAIL HW '!S60,'COST - SELL'!$O$70:$O$73,0),MATCH('CALC - RIPP- H-RAIL HW 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 RIPP- H-RAIL HW '!BD61))</f>
        <v>712.63586956521738</v>
      </c>
      <c r="BN61" s="316">
        <f>IF(C61="","",IF(S61="N/A",0,IF(BE61="N/A",0,INDEX('COST - SELL'!$O$70:$S$73,MATCH('CALC - RIPP- H-RAIL HW '!S61,'COST - SELL'!$O$70:$O$73,0),MATCH('CALC - RIPP- H-RAIL HW 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 RIPP- H-RAIL HW '!BD62))</f>
        <v>712.63586956521738</v>
      </c>
      <c r="BN62" s="316">
        <f>IF(C62="","",IF(S62="N/A",0,IF(BE62="N/A",0,INDEX('COST - SELL'!$O$70:$S$73,MATCH('CALC - RIPP- H-RAIL HW '!S62,'COST - SELL'!$O$70:$O$73,0),MATCH('CALC - RIPP- H-RAIL HW 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 RIPP- H-RAIL HW '!S4="INGLES","ITEM","ART.")</f>
        <v>ART.</v>
      </c>
      <c r="C63" s="410" t="str">
        <f>IF('CALC - RIPP- H-RAIL HW '!S4="INGLES","QTY.","CANT.")</f>
        <v>CANT.</v>
      </c>
      <c r="D63" s="914" t="str">
        <f>IF('CALC - RIPP- H-RAIL HW 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3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3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300-000004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300-000005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3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300-000007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300-000008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300-000009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300-00000A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300-00000B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300-00000C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300-000003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300-000001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300-000002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3">
    <tabColor rgb="FFCC99FF"/>
  </sheetPr>
  <dimension ref="B1:BX105"/>
  <sheetViews>
    <sheetView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3.28515625" style="175" customWidth="1"/>
    <col min="18" max="18" width="10.85546875" style="175" hidden="1" customWidth="1"/>
    <col min="19" max="19" width="12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H-RAIL HW'!$S$4="INGLES","ITEM","ART.")</f>
        <v>ART.</v>
      </c>
      <c r="C14" s="182" t="str">
        <f>IF('CALC -P.P. - H-RAIL HW'!$S$4="INGLES","QTY.","CANT.")</f>
        <v>CANT.</v>
      </c>
      <c r="D14" s="182" t="str">
        <f>IF('CALC -P.P. - H-RAIL HW'!$S$4="INGLES","DRAW DIRECTION","DIRECCION DE CORTINA")</f>
        <v>DIRECCION DE CORTINA</v>
      </c>
      <c r="E14" s="182" t="str">
        <f>IF('CALC -P.P. - H-RAIL HW'!$S$4="INGLES","DRAPERY STYLE","ESTILO DE CORTINA")</f>
        <v>ESTILO DE CORTINA</v>
      </c>
      <c r="F14" s="182" t="str">
        <f>IF('CALC -P.P. - H-RAIL HW'!$S$4="INGLES","DRAPERY TYPE","TIPO DE CORTINA")</f>
        <v>TIPO DE CORTINA</v>
      </c>
      <c r="G14" s="182" t="str">
        <f>IF('CALC -P.P. - H-RAIL HW'!$S$4="INGLES","FULLNESS","AMPLITUD")</f>
        <v>AMPLITUD</v>
      </c>
      <c r="H14" s="198" t="str">
        <f>IF('CALC -P.P. - H-RAIL HW'!$S$4="INGLES","'STOCK','LINE' or 'C.O.M.'  FABRICS","TELAS 'EN EXISTENCIA', 'POR ORDENAR' ó 'DEL CLIENTE'")</f>
        <v>TELAS 'EN EXISTENCIA', 'POR ORDENAR' ó 'DEL CLIENTE'</v>
      </c>
      <c r="I14" s="182" t="str">
        <f>IF('CALC -P.P. - H-RAIL HW'!$S$4="INGLES","FABRIC TYPE","TIPO DE TELA")</f>
        <v>TIPO DE TELA</v>
      </c>
      <c r="J14" s="182" t="str">
        <f>IF('CALC -P.P. - H-RAIL HW'!$S$4="INGLES","FABRIC YARDAGE PER QTY. REQUIRED","YARDAGE SEGUN CANTIDAD REQUERIDA")</f>
        <v>YARDAGE SEGUN CANTIDAD REQUERIDA</v>
      </c>
      <c r="K14" s="182" t="str">
        <f>IF('CALC -P.P. - H-RAIL HW'!$S$4="INGLES","FABRIC PATTERN AND COLOR NAME","NOMBRE y COLOR DE TELA")</f>
        <v>NOMBRE y COLOR DE TELA</v>
      </c>
      <c r="L14" s="182" t="str">
        <f>IF('CALC -P.P. - H-RAIL HW'!$S$4="INGLES","LINING TYPE","TIPO DE LINING")</f>
        <v>TIPO DE LINING</v>
      </c>
      <c r="M14" s="182" t="str">
        <f>IF('CALC -P.P. - H-RAIL HW'!$S$4="INGLES","ROOM / AREA NAME","NOMBRE DEL CUARTO ó AREA")</f>
        <v>NOMBRE DEL CUARTO ó AREA</v>
      </c>
      <c r="N14" s="182" t="str">
        <f>IF('CALC -P.P. - H-RAIL HW'!$S$4="INGLES","ROD SIZE","ANCHO DE RIEL")</f>
        <v>ANCHO DE RIEL</v>
      </c>
      <c r="O14" s="184" t="str">
        <f>IF('CALC -P.P. - H-RAIL HW'!$S$4="INGLES","DRAPERY FINISHED SIZE","ALTURA DE CORTINA")</f>
        <v>ALTURA DE CORTINA</v>
      </c>
      <c r="P14" s="183" t="str">
        <f>IF('CALC -P.P. - H-RAIL HW'!$S$4="INGLES","MOUNTING","MONTAJE")</f>
        <v>MONTAJE</v>
      </c>
      <c r="Q14" s="182" t="str">
        <f>IF('CALC -P.P. - H-RAIL HW'!$S$4="INGLES","HARDWARE TYPE","TIPO HERRAJE")</f>
        <v>TIPO HERRAJE</v>
      </c>
      <c r="R14" s="185" t="str">
        <f>IF('CALC -P.P. - H-RAIL HW'!$S$4="INGLES","HARDWARE COLOR","COLOR HERRAJE")</f>
        <v>COLOR HERRAJE</v>
      </c>
      <c r="S14" s="185" t="str">
        <f>IF('CALC -P.P. - H-RAIL HW'!$S$4="INGLES","BATON TYPE (in  the case that applies)","TIPO DE BASTON (en caso de que aplique)")</f>
        <v>TIPO DE BASTON (en caso de que aplique)</v>
      </c>
      <c r="T14" s="183" t="str">
        <f>IF('CALC -P.P. - H-RAIL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H-RAIL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H-RAIL HW'!$S$4="INGLES","UNIT PRICE.","PRECIO UNITARIO")</f>
        <v>PRECIO UNITARIO</v>
      </c>
      <c r="AI14" s="184" t="str">
        <f>IF('CALC -P.P. - H-RAIL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-P.P. - H-RAIL HW'!BD15))</f>
        <v>342.06521739130437</v>
      </c>
      <c r="BN15" s="316">
        <f>IF(C15="","",IF(S15="N/A",0,IF(BE15="N/A",0,INDEX('COST - SELL'!$O$70:$S$73,MATCH('CALC -P.P. - H-RAIL HW'!S15,'COST - SELL'!$O$70:$O$73,0),MATCH('CALC -P.P. - H-RAIL HW'!BE15,'COST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-P.P. - H-RAIL HW'!BD16))</f>
        <v>342.06521739130437</v>
      </c>
      <c r="BN16" s="316">
        <f>IF(C16="","",IF(S16="N/A",0,IF(BE16="N/A",0,INDEX('COST - SELL'!$O$70:$S$73,MATCH('CALC -P.P. - H-RAIL HW'!S16,'COST - SELL'!$O$70:$O$73,0),MATCH('CALC -P.P. - H-RAIL HW'!BE16,'COST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2"/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-P.P. - H-RAIL HW'!BD17))</f>
        <v>342.06521739130437</v>
      </c>
      <c r="BN17" s="316">
        <f>IF(C17="","",IF(S17="N/A",0,IF(BE17="N/A",0,INDEX('COST - SELL'!$O$70:$S$73,MATCH('CALC -P.P. - H-RAIL HW'!S17,'COST - SELL'!$O$70:$O$73,0),MATCH('CALC -P.P. - H-RAIL HW'!BE17,'COST - SELL'!$O$70:$S$70,0)))))</f>
        <v>66.25</v>
      </c>
      <c r="BO17" s="316">
        <f t="shared" si="31"/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>IF(OR(C18&lt;1,C18=""),"",BO18)</f>
        <v>408.35</v>
      </c>
      <c r="AB18" s="560">
        <f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-P.P. - H-RAIL HW'!BD18))</f>
        <v>342.06521739130437</v>
      </c>
      <c r="BN18" s="316">
        <f>IF(C18="","",IF(S18="N/A",0,IF(BE18="N/A",0,INDEX('COST - SELL'!$O$70:$S$73,MATCH('CALC -P.P. - H-RAIL HW'!S18,'COST - SELL'!$O$70:$O$73,0),MATCH('CALC -P.P. - H-RAIL HW'!BE18,'COST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2"/>
        <v>408.35</v>
      </c>
      <c r="AB19" s="560">
        <f t="shared" ref="AB19:AB62" si="34">AA19*0.7*0.6*0.6</f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-P.P. - H-RAIL HW'!BD19))</f>
        <v>342.06521739130437</v>
      </c>
      <c r="BN19" s="316">
        <f>IF(C19="","",IF(S19="N/A",0,IF(BE19="N/A",0,INDEX('COST - SELL'!$O$70:$S$73,MATCH('CALC -P.P. - H-RAIL HW'!S19,'COST - SELL'!$O$70:$O$73,0),MATCH('CALC -P.P. - H-RAIL HW'!BE19,'COST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-P.P. - H-RAIL HW'!BD20))</f>
        <v>342.06521739130437</v>
      </c>
      <c r="BN20" s="316">
        <f>IF(C20="","",IF(S20="N/A",0,IF(BE20="N/A",0,INDEX('COST - SELL'!$O$70:$S$73,MATCH('CALC -P.P. - H-RAIL HW'!S20,'COST - SELL'!$O$70:$O$73,0),MATCH('CALC -P.P. - H-RAIL HW'!BE20,'COST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-P.P. - H-RAIL HW'!BD21))</f>
        <v>465.58876811594195</v>
      </c>
      <c r="BN21" s="316">
        <f>IF(C21="","",IF(S21="N/A",0,IF(BE21="N/A",0,INDEX('COST - SELL'!$O$70:$S$73,MATCH('CALC -P.P. - H-RAIL HW'!S21,'COST - SELL'!$O$70:$O$73,0),MATCH('CALC -P.P. - H-RAIL HW'!BE21,'COST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-P.P. - H-RAIL HW'!BD22))</f>
        <v>465.58876811594195</v>
      </c>
      <c r="BN22" s="316">
        <f>IF(C22="","",IF(S22="N/A",0,IF(BE22="N/A",0,INDEX('COST - SELL'!$O$70:$S$73,MATCH('CALC -P.P. - H-RAIL HW'!S22,'COST - SELL'!$O$70:$O$73,0),MATCH('CALC -P.P. - H-RAIL HW'!BE22,'COST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-P.P. - H-RAIL HW'!BD23))</f>
        <v>465.58876811594195</v>
      </c>
      <c r="BN23" s="316">
        <f>IF(C23="","",IF(S23="N/A",0,IF(BE23="N/A",0,INDEX('COST - SELL'!$O$70:$S$73,MATCH('CALC -P.P. - H-RAIL HW'!S23,'COST - SELL'!$O$70:$O$73,0),MATCH('CALC -P.P. - H-RAIL HW'!BE23,'COST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-P.P. - H-RAIL HW'!BD24))</f>
        <v>465.58876811594195</v>
      </c>
      <c r="BN24" s="316">
        <f>IF(C24="","",IF(S24="N/A",0,IF(BE24="N/A",0,INDEX('COST - SELL'!$O$70:$S$73,MATCH('CALC -P.P. - H-RAIL HW'!S24,'COST - SELL'!$O$70:$O$73,0),MATCH('CALC -P.P. - H-RAIL HW'!BE24,'COST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-P.P. - H-RAIL HW'!BD25))</f>
        <v>465.58876811594195</v>
      </c>
      <c r="BN25" s="316">
        <f>IF(C25="","",IF(S25="N/A",0,IF(BE25="N/A",0,INDEX('COST - SELL'!$O$70:$S$73,MATCH('CALC -P.P. - H-RAIL HW'!S25,'COST - SELL'!$O$70:$O$73,0),MATCH('CALC -P.P. - H-RAIL HW'!BE25,'COST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-P.P. - H-RAIL HW'!BD26))</f>
        <v>465.58876811594195</v>
      </c>
      <c r="BN26" s="316">
        <f>IF(C26="","",IF(S26="N/A",0,IF(BE26="N/A",0,INDEX('COST - SELL'!$O$70:$S$73,MATCH('CALC -P.P. - H-RAIL HW'!S26,'COST - SELL'!$O$70:$O$73,0),MATCH('CALC -P.P. - H-RAIL HW'!BE26,'COST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-P.P. - H-RAIL HW'!BD27))</f>
        <v>589.11231884057975</v>
      </c>
      <c r="BN27" s="316">
        <f>IF(C27="","",IF(S27="N/A",0,IF(BE27="N/A",0,INDEX('COST - SELL'!$O$70:$S$73,MATCH('CALC -P.P. - H-RAIL HW'!S27,'COST - SELL'!$O$70:$O$73,0),MATCH('CALC -P.P. - H-RAIL HW'!BE27,'COST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-P.P. - H-RAIL HW'!BD28))</f>
        <v>589.11231884057975</v>
      </c>
      <c r="BN28" s="316">
        <f>IF(C28="","",IF(S28="N/A",0,IF(BE28="N/A",0,INDEX('COST - SELL'!$O$70:$S$73,MATCH('CALC -P.P. - H-RAIL HW'!S28,'COST - SELL'!$O$70:$O$73,0),MATCH('CALC -P.P. - H-RAIL HW'!BE28,'COST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-P.P. - H-RAIL HW'!BD29))</f>
        <v>589.11231884057975</v>
      </c>
      <c r="BN29" s="316">
        <f>IF(C29="","",IF(S29="N/A",0,IF(BE29="N/A",0,INDEX('COST - SELL'!$O$70:$S$73,MATCH('CALC -P.P. - H-RAIL HW'!S29,'COST - SELL'!$O$70:$O$73,0),MATCH('CALC -P.P. - H-RAIL HW'!BE29,'COST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-P.P. - H-RAIL HW'!BD30))</f>
        <v>589.11231884057975</v>
      </c>
      <c r="BN30" s="316">
        <f>IF(C30="","",IF(S30="N/A",0,IF(BE30="N/A",0,INDEX('COST - SELL'!$O$70:$S$73,MATCH('CALC -P.P. - H-RAIL HW'!S30,'COST - SELL'!$O$70:$O$73,0),MATCH('CALC -P.P. - H-RAIL HW'!BE30,'COST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-P.P. - H-RAIL HW'!BD31))</f>
        <v>589.11231884057975</v>
      </c>
      <c r="BN31" s="316">
        <f>IF(C31="","",IF(S31="N/A",0,IF(BE31="N/A",0,INDEX('COST - SELL'!$O$70:$S$73,MATCH('CALC -P.P. - H-RAIL HW'!S31,'COST - SELL'!$O$70:$O$73,0),MATCH('CALC -P.P. - H-RAIL HW'!BE31,'COST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-P.P. - H-RAIL HW'!BD32))</f>
        <v>589.11231884057975</v>
      </c>
      <c r="BN32" s="316">
        <f>IF(C32="","",IF(S32="N/A",0,IF(BE32="N/A",0,INDEX('COST - SELL'!$O$70:$S$73,MATCH('CALC -P.P. - H-RAIL HW'!S32,'COST - SELL'!$O$70:$O$73,0),MATCH('CALC -P.P. - H-RAIL HW'!BE32,'COST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-P.P. - H-RAIL HW'!BD33))</f>
        <v>712.63586956521738</v>
      </c>
      <c r="BN33" s="316">
        <f>IF(C33="","",IF(S33="N/A",0,IF(BE33="N/A",0,INDEX('COST - SELL'!$O$70:$S$73,MATCH('CALC -P.P. - H-RAIL HW'!S33,'COST - SELL'!$O$70:$O$73,0),MATCH('CALC -P.P. - H-RAIL HW'!BE33,'COST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-P.P. - H-RAIL HW'!BD34))</f>
        <v>712.63586956521738</v>
      </c>
      <c r="BN34" s="316">
        <f>IF(C34="","",IF(S34="N/A",0,IF(BE34="N/A",0,INDEX('COST - SELL'!$O$70:$S$73,MATCH('CALC -P.P. - H-RAIL HW'!S34,'COST - SELL'!$O$70:$O$73,0),MATCH('CALC -P.P. - H-RAIL HW'!BE34,'COST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-P.P. - H-RAIL HW'!BD35))</f>
        <v>712.63586956521738</v>
      </c>
      <c r="BN35" s="316">
        <f>IF(C35="","",IF(S35="N/A",0,IF(BE35="N/A",0,INDEX('COST - SELL'!$O$70:$S$73,MATCH('CALC -P.P. - H-RAIL HW'!S35,'COST - SELL'!$O$70:$O$73,0),MATCH('CALC -P.P. - H-RAIL HW'!BE35,'COST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-P.P. - H-RAIL HW'!BD36))</f>
        <v>712.63586956521738</v>
      </c>
      <c r="BN36" s="316">
        <f>IF(C36="","",IF(S36="N/A",0,IF(BE36="N/A",0,INDEX('COST - SELL'!$O$70:$S$73,MATCH('CALC -P.P. - H-RAIL HW'!S36,'COST - SELL'!$O$70:$O$73,0),MATCH('CALC -P.P. - H-RAIL HW'!BE36,'COST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-P.P. - H-RAIL HW'!BD37))</f>
        <v>712.63586956521738</v>
      </c>
      <c r="BN37" s="316">
        <f>IF(C37="","",IF(S37="N/A",0,IF(BE37="N/A",0,INDEX('COST - SELL'!$O$70:$S$73,MATCH('CALC -P.P. - H-RAIL HW'!S37,'COST - SELL'!$O$70:$O$73,0),MATCH('CALC -P.P. - H-RAIL HW'!BE37,'COST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-P.P. - H-RAIL HW'!BD38))</f>
        <v>712.63586956521738</v>
      </c>
      <c r="BN38" s="316">
        <f>IF(C38="","",IF(S38="N/A",0,IF(BE38="N/A",0,INDEX('COST - SELL'!$O$70:$S$73,MATCH('CALC -P.P. - H-RAIL HW'!S38,'COST - SELL'!$O$70:$O$73,0),MATCH('CALC -P.P. - H-RAIL HW'!BE38,'COST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-P.P. - H-RAIL HW'!BD39))</f>
        <v>342.06521739130437</v>
      </c>
      <c r="BN39" s="316">
        <f>IF(C39="","",IF(S39="N/A",0,IF(BE39="N/A",0,INDEX('COST - SELL'!$O$70:$S$73,MATCH('CALC -P.P. - H-RAIL HW'!S39,'COST - SELL'!$O$70:$O$73,0),MATCH('CALC -P.P. - H-RAIL HW'!BE39,'COST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-P.P. - H-RAIL HW'!BD40))</f>
        <v>342.06521739130437</v>
      </c>
      <c r="BN40" s="316">
        <f>IF(C40="","",IF(S40="N/A",0,IF(BE40="N/A",0,INDEX('COST - SELL'!$O$70:$S$73,MATCH('CALC -P.P. - H-RAIL HW'!S40,'COST - SELL'!$O$70:$O$73,0),MATCH('CALC -P.P. - H-RAIL HW'!BE40,'COST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-P.P. - H-RAIL HW'!BD41))</f>
        <v>342.06521739130437</v>
      </c>
      <c r="BN41" s="316">
        <f>IF(C41="","",IF(S41="N/A",0,IF(BE41="N/A",0,INDEX('COST - SELL'!$O$70:$S$73,MATCH('CALC -P.P. - H-RAIL HW'!S41,'COST - SELL'!$O$70:$O$73,0),MATCH('CALC -P.P. - H-RAIL HW'!BE41,'COST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-P.P. - H-RAIL HW'!BD42))</f>
        <v>342.06521739130437</v>
      </c>
      <c r="BN42" s="316">
        <f>IF(C42="","",IF(S42="N/A",0,IF(BE42="N/A",0,INDEX('COST - SELL'!$O$70:$S$73,MATCH('CALC -P.P. - H-RAIL HW'!S42,'COST - SELL'!$O$70:$O$73,0),MATCH('CALC -P.P. - H-RAIL HW'!BE42,'COST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-P.P. - H-RAIL HW'!BD43))</f>
        <v>342.06521739130437</v>
      </c>
      <c r="BN43" s="316">
        <f>IF(C43="","",IF(S43="N/A",0,IF(BE43="N/A",0,INDEX('COST - SELL'!$O$70:$S$73,MATCH('CALC -P.P. - H-RAIL HW'!S43,'COST - SELL'!$O$70:$O$73,0),MATCH('CALC -P.P. - H-RAIL HW'!BE43,'COST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-P.P. - H-RAIL HW'!BD44))</f>
        <v>342.06521739130437</v>
      </c>
      <c r="BN44" s="316">
        <f>IF(C44="","",IF(S44="N/A",0,IF(BE44="N/A",0,INDEX('COST - SELL'!$O$70:$S$73,MATCH('CALC -P.P. - H-RAIL HW'!S44,'COST - SELL'!$O$70:$O$73,0),MATCH('CALC -P.P. - H-RAIL HW'!BE44,'COST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-P.P. - H-RAIL HW'!BD45))</f>
        <v>465.58876811594195</v>
      </c>
      <c r="BN45" s="316">
        <f>IF(C45="","",IF(S45="N/A",0,IF(BE45="N/A",0,INDEX('COST - SELL'!$O$70:$S$73,MATCH('CALC -P.P. - H-RAIL HW'!S45,'COST - SELL'!$O$70:$O$73,0),MATCH('CALC -P.P. - H-RAIL HW'!BE45,'COST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-P.P. - H-RAIL HW'!BD46))</f>
        <v>465.58876811594195</v>
      </c>
      <c r="BN46" s="316">
        <f>IF(C46="","",IF(S46="N/A",0,IF(BE46="N/A",0,INDEX('COST - SELL'!$O$70:$S$73,MATCH('CALC -P.P. - H-RAIL HW'!S46,'COST - SELL'!$O$70:$O$73,0),MATCH('CALC -P.P. - H-RAIL HW'!BE46,'COST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-P.P. - H-RAIL HW'!BD47))</f>
        <v>465.58876811594195</v>
      </c>
      <c r="BN47" s="316">
        <f>IF(C47="","",IF(S47="N/A",0,IF(BE47="N/A",0,INDEX('COST - SELL'!$O$70:$S$73,MATCH('CALC -P.P. - H-RAIL HW'!S47,'COST - SELL'!$O$70:$O$73,0),MATCH('CALC -P.P. - H-RAIL HW'!BE47,'COST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-P.P. - H-RAIL HW'!BD48))</f>
        <v>465.58876811594195</v>
      </c>
      <c r="BN48" s="316">
        <f>IF(C48="","",IF(S48="N/A",0,IF(BE48="N/A",0,INDEX('COST - SELL'!$O$70:$S$73,MATCH('CALC -P.P. - H-RAIL HW'!S48,'COST - SELL'!$O$70:$O$73,0),MATCH('CALC -P.P. - H-RAIL HW'!BE48,'COST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-P.P. - H-RAIL HW'!BD49))</f>
        <v>465.58876811594195</v>
      </c>
      <c r="BN49" s="316">
        <f>IF(C49="","",IF(S49="N/A",0,IF(BE49="N/A",0,INDEX('COST - SELL'!$O$70:$S$73,MATCH('CALC -P.P. - H-RAIL HW'!S49,'COST - SELL'!$O$70:$O$73,0),MATCH('CALC -P.P. - H-RAIL HW'!BE49,'COST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-P.P. - H-RAIL HW'!BD50))</f>
        <v>465.58876811594195</v>
      </c>
      <c r="BN50" s="316">
        <f>IF(C50="","",IF(S50="N/A",0,IF(BE50="N/A",0,INDEX('COST - SELL'!$O$70:$S$73,MATCH('CALC -P.P. - H-RAIL HW'!S50,'COST - SELL'!$O$70:$O$73,0),MATCH('CALC -P.P. - H-RAIL HW'!BE50,'COST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-P.P. - H-RAIL HW'!BD51))</f>
        <v>589.11231884057975</v>
      </c>
      <c r="BN51" s="316">
        <f>IF(C51="","",IF(S51="N/A",0,IF(BE51="N/A",0,INDEX('COST - SELL'!$O$70:$S$73,MATCH('CALC -P.P. - H-RAIL HW'!S51,'COST - SELL'!$O$70:$O$73,0),MATCH('CALC -P.P. - H-RAIL HW'!BE51,'COST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-P.P. - H-RAIL HW'!BD52))</f>
        <v>589.11231884057975</v>
      </c>
      <c r="BN52" s="316">
        <f>IF(C52="","",IF(S52="N/A",0,IF(BE52="N/A",0,INDEX('COST - SELL'!$O$70:$S$73,MATCH('CALC -P.P. - H-RAIL HW'!S52,'COST - SELL'!$O$70:$O$73,0),MATCH('CALC -P.P. - H-RAIL HW'!BE52,'COST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-P.P. - H-RAIL HW'!BD53))</f>
        <v>589.11231884057975</v>
      </c>
      <c r="BN53" s="316">
        <f>IF(C53="","",IF(S53="N/A",0,IF(BE53="N/A",0,INDEX('COST - SELL'!$O$70:$S$73,MATCH('CALC -P.P. - H-RAIL HW'!S53,'COST - SELL'!$O$70:$O$73,0),MATCH('CALC -P.P. - H-RAIL HW'!BE53,'COST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-P.P. - H-RAIL HW'!BD54))</f>
        <v>589.11231884057975</v>
      </c>
      <c r="BN54" s="316">
        <f>IF(C54="","",IF(S54="N/A",0,IF(BE54="N/A",0,INDEX('COST - SELL'!$O$70:$S$73,MATCH('CALC -P.P. - H-RAIL HW'!S54,'COST - SELL'!$O$70:$O$73,0),MATCH('CALC -P.P. - H-RAIL HW'!BE54,'COST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-P.P. - H-RAIL HW'!BD55))</f>
        <v>589.11231884057975</v>
      </c>
      <c r="BN55" s="316">
        <f>IF(C55="","",IF(S55="N/A",0,IF(BE55="N/A",0,INDEX('COST - SELL'!$O$70:$S$73,MATCH('CALC -P.P. - H-RAIL HW'!S55,'COST - SELL'!$O$70:$O$73,0),MATCH('CALC -P.P. - H-RAIL HW'!BE55,'COST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-P.P. - H-RAIL HW'!BD56))</f>
        <v>589.11231884057975</v>
      </c>
      <c r="BN56" s="316">
        <f>IF(C56="","",IF(S56="N/A",0,IF(BE56="N/A",0,INDEX('COST - SELL'!$O$70:$S$73,MATCH('CALC -P.P. - H-RAIL HW'!S56,'COST - SELL'!$O$70:$O$73,0),MATCH('CALC -P.P. - H-RAIL HW'!BE56,'COST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-P.P. - H-RAIL HW'!BD57))</f>
        <v>712.63586956521738</v>
      </c>
      <c r="BN57" s="316">
        <f>IF(C57="","",IF(S57="N/A",0,IF(BE57="N/A",0,INDEX('COST - SELL'!$O$70:$S$73,MATCH('CALC -P.P. - H-RAIL HW'!S57,'COST - SELL'!$O$70:$O$73,0),MATCH('CALC -P.P. - H-RAIL HW'!BE57,'COST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-P.P. - H-RAIL HW'!BD58))</f>
        <v>712.63586956521738</v>
      </c>
      <c r="BN58" s="316">
        <f>IF(C58="","",IF(S58="N/A",0,IF(BE58="N/A",0,INDEX('COST - SELL'!$O$70:$S$73,MATCH('CALC -P.P. - H-RAIL HW'!S58,'COST - SELL'!$O$70:$O$73,0),MATCH('CALC -P.P. - H-RAIL HW'!BE58,'COST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-P.P. - H-RAIL HW'!BD59))</f>
        <v>712.63586956521738</v>
      </c>
      <c r="BN59" s="316">
        <f>IF(C59="","",IF(S59="N/A",0,IF(BE59="N/A",0,INDEX('COST - SELL'!$O$70:$S$73,MATCH('CALC -P.P. - H-RAIL HW'!S59,'COST - SELL'!$O$70:$O$73,0),MATCH('CALC -P.P. - H-RAIL HW'!BE59,'COST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-P.P. - H-RAIL HW'!BD60))</f>
        <v>712.63586956521738</v>
      </c>
      <c r="BN60" s="316">
        <f>IF(C60="","",IF(S60="N/A",0,IF(BE60="N/A",0,INDEX('COST - SELL'!$O$70:$S$73,MATCH('CALC -P.P. - H-RAIL HW'!S60,'COST - SELL'!$O$70:$O$73,0),MATCH('CALC -P.P. - H-RAIL HW'!BE60,'COST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-P.P. - H-RAIL HW'!BD61))</f>
        <v>712.63586956521738</v>
      </c>
      <c r="BN61" s="316">
        <f>IF(C61="","",IF(S61="N/A",0,IF(BE61="N/A",0,INDEX('COST - SELL'!$O$70:$S$73,MATCH('CALC -P.P. - H-RAIL HW'!S61,'COST - SELL'!$O$70:$O$73,0),MATCH('CALC -P.P. - H-RAIL HW'!BE61,'COST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-P.P. - H-RAIL HW'!BD62))</f>
        <v>712.63586956521738</v>
      </c>
      <c r="BN62" s="316">
        <f>IF(C62="","",IF(S62="N/A",0,IF(BE62="N/A",0,INDEX('COST - SELL'!$O$70:$S$73,MATCH('CALC -P.P. - H-RAIL HW'!S62,'COST - SELL'!$O$70:$O$73,0),MATCH('CALC -P.P. - H-RAIL HW'!BE62,'COST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-P.P. - H-RAIL HW'!S4="INGLES","ITEM","ART.")</f>
        <v>ART.</v>
      </c>
      <c r="C63" s="410" t="str">
        <f>IF('CALC -P.P. - H-RAIL HW'!S4="INGLES","QTY.","CANT.")</f>
        <v>CANT.</v>
      </c>
      <c r="D63" s="914" t="str">
        <f>IF('CALC -P.P. - H-RAIL HW'!S4="INGLES","DESCRIPTION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4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4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4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4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4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4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4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4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4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400-000008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400-00000C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400-000009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4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400-00000A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7D684-39A7-47F3-9103-415B37E4C41A}">
  <sheetPr codeName="Sheet14">
    <tabColor rgb="FF6600CC"/>
  </sheetPr>
  <dimension ref="B1:BX105"/>
  <sheetViews>
    <sheetView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-RIPP- MOT.PLUG IN'!$S$4="INGLES","ITEM","ART.")</f>
        <v>ART.</v>
      </c>
      <c r="C14" s="182" t="str">
        <f>IF('CALC -RIPP- MOT.PLUG IN'!$S$4="INGLES","QTY.","CANT.")</f>
        <v>CANT.</v>
      </c>
      <c r="D14" s="182" t="str">
        <f>IF('CALC -RIPP- MOT.PLUG IN'!$S$4="INGLES","DRAW DIRECTION","DIRECCION DE CORTINA")</f>
        <v>DIRECCION DE CORTINA</v>
      </c>
      <c r="E14" s="182" t="str">
        <f>IF('CALC -RIPP- MOT.PLUG IN'!$S$4="INGLES","DRAPERY STYLE","ESTILO DE CORTINA")</f>
        <v>ESTILO DE CORTINA</v>
      </c>
      <c r="F14" s="182" t="str">
        <f>IF('CALC -RIPP- MOT.PLUG IN'!$S$4="INGLES","DRAPERY TYPE","TIPO DE CORTINA")</f>
        <v>TIPO DE CORTINA</v>
      </c>
      <c r="G14" s="182" t="str">
        <f>IF('CALC -RIPP- MOT.PLUG IN'!$S$4="INGLES","FULLNESS","AMPLITUD")</f>
        <v>AMPLITUD</v>
      </c>
      <c r="H14" s="198" t="str">
        <f>IF('CALC -RIPP- MOT.PLUG IN'!$S$4="INGLES","'STOCK','LINE' or 'C.O.M.'  FABRICS","TELAS 'EN EXISTENCIA', 'POR ORDENAR' ó 'DEL CLIENTE'")</f>
        <v>TELAS 'EN EXISTENCIA', 'POR ORDENAR' ó 'DEL CLIENTE'</v>
      </c>
      <c r="I14" s="182" t="str">
        <f>IF('CALC -RIPP- MOT.PLUG IN'!$S$4="INGLES","FABRIC TYPE","TIPO DE TELA")</f>
        <v>TIPO DE TELA</v>
      </c>
      <c r="J14" s="182" t="str">
        <f>IF('CALC -RIPP- MOT.PLUG IN'!$S$4="INGLES","FABRIC YARDAGE PER QTY. REQUIRED","YARDAGE SEGUN CANTIDAD REQUERIDA")</f>
        <v>YARDAGE SEGUN CANTIDAD REQUERIDA</v>
      </c>
      <c r="K14" s="182" t="str">
        <f>IF('CALC -RIPP- MOT.PLUG IN'!$S$4="INGLES","FABRIC PATTERN AND COLOR NAME","NOMBRE y COLOR DE TELA")</f>
        <v>NOMBRE y COLOR DE TELA</v>
      </c>
      <c r="L14" s="182" t="str">
        <f>IF('CALC -RIPP- MOT.PLUG IN'!$S$4="INGLES","LINING TYPE","TIPO DE LINING")</f>
        <v>TIPO DE LINING</v>
      </c>
      <c r="M14" s="182" t="str">
        <f>IF('CALC -RIPP- MOT.PLUG IN'!$S$4="INGLES","ROOM / AREA NAME","NOMBRE DEL CUARTO ó AREA")</f>
        <v>NOMBRE DEL CUARTO ó AREA</v>
      </c>
      <c r="N14" s="182" t="str">
        <f>IF('CALC -RIPP- MOT.PLUG IN'!$S$4="INGLES","ROD SIZE","ANCHO DE RIEL")</f>
        <v>ANCHO DE RIEL</v>
      </c>
      <c r="O14" s="184" t="str">
        <f>IF('CALC -RIPP- MOT.PLUG IN'!$S$4="INGLES","DRAPERY FINISHED SIZE","ALTURA DE CORTINA")</f>
        <v>ALTURA DE CORTINA</v>
      </c>
      <c r="P14" s="183" t="str">
        <f>IF('CALC -RIPP- MOT.PLUG IN'!$S$4="INGLES","MOUNTING","MONTAJE")</f>
        <v>MONTAJE</v>
      </c>
      <c r="Q14" s="182" t="str">
        <f>IF('CALC -RIPP- MOT.PLUG IN'!$S$4="INGLES","HARDWARE TYPE","TIPO HERRAJE")</f>
        <v>TIPO HERRAJE</v>
      </c>
      <c r="R14" s="185" t="str">
        <f>IF('CALC -RIPP- MOT.PLUG IN'!$S$4="INGLES","HARDWARE COLOR","COLOR HERRAJE")</f>
        <v>COLOR HERRAJE</v>
      </c>
      <c r="S14" s="185" t="str">
        <f>IF('CALC -RIPP- MOT.PLUG IN'!$S$4="INGLES","BATON TYPE (in  the case that applies)","TIPO DE BASTON (en caso de que aplique)")</f>
        <v>TIPO DE BASTON (en caso de que aplique)</v>
      </c>
      <c r="T14" s="183" t="str">
        <f>IF('CALC -RIPP- MOT.PLUG IN'!$S$4="INGLES","UNIT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-RIPP- MOT.PLUG IN'!$S4="INGLES","UNIT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-RIPP- MOT.PLUG IN'!$S$4="INGLES","UNIT PRICE.","PRECIO UNITARIO")</f>
        <v>PRECIO UNITARIO</v>
      </c>
      <c r="AI14" s="184" t="str">
        <f>IF('CALC -RIPP- MOT.PLUG IN'!$S$4="INGLES","EXTENDED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2.3338552431110861E-2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-RIPP- MOT.PLUG IN'!BD15))</f>
        <v>785.86956521739125</v>
      </c>
      <c r="BN15" s="316">
        <f>IF(C15="","",IF(S15="N/A",0,IF(BE15="N/A",0,INDEX('COST - SELL'!$O$70:$S$73,MATCH('CALC -RIPP- MOT.PLUG IN'!S15,'COST - SELL'!$O$70:$O$73,0),MATCH('CALC -RIPP- MOT.PLUG IN'!BE15,'COST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0.29982478543640312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-RIPP- MOT.PLUG IN'!BD16))</f>
        <v>785.86956521739125</v>
      </c>
      <c r="BN16" s="316">
        <f>IF(C16="","",IF(S16="N/A",0,IF(BE16="N/A",0,INDEX('COST - SELL'!$O$70:$S$73,MATCH('CALC -RIPP- MOT.PLUG IN'!S16,'COST - SELL'!$O$70:$O$73,0),MATCH('CALC -RIPP- MOT.PLUG IN'!BE16,'COST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 t="shared" si="3"/>
        <v>785.90000000000009</v>
      </c>
      <c r="AB17" s="560">
        <f>AA17*0.7*0.6*0.6</f>
        <v>198.04679999999999</v>
      </c>
      <c r="AC17" s="568">
        <f>6552.93+518.4</f>
        <v>7071.33</v>
      </c>
      <c r="AD17" s="567">
        <f>AC17/$AD$11</f>
        <v>353.56650000000002</v>
      </c>
      <c r="AE17" s="567">
        <f>AD17*$AE$11</f>
        <v>70.713300000000004</v>
      </c>
      <c r="AF17" s="522">
        <f>AD17-AE17</f>
        <v>282.85320000000002</v>
      </c>
      <c r="AG17" s="572">
        <f>(AF17-AB17)/AF17</f>
        <v>0.29982478543640312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-RIPP- MOT.PLUG IN'!BD17))</f>
        <v>785.86956521739125</v>
      </c>
      <c r="BN17" s="316">
        <f>IF(C17="","",IF(S17="N/A",0,IF(BE17="N/A",0,INDEX('COST - SELL'!$O$70:$S$73,MATCH('CALC -RIPP- MOT.PLUG IN'!S17,'COST - SELL'!$O$70:$O$73,0),MATCH('CALC -RIPP- MOT.PLUG IN'!BE17,'COST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6552.93+518.4</f>
        <v>7071.33</v>
      </c>
      <c r="AD18" s="567">
        <f>AC18/$AD$11</f>
        <v>353.56650000000002</v>
      </c>
      <c r="AE18" s="567">
        <f>AD18*$AE$11</f>
        <v>70.713300000000004</v>
      </c>
      <c r="AF18" s="522">
        <f>AD18-AE18</f>
        <v>282.85320000000002</v>
      </c>
      <c r="AG18" s="572">
        <f>(AF18-AB18)/AF18</f>
        <v>0.29982478543640312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-RIPP- MOT.PLUG IN'!BD18))</f>
        <v>785.86956521739125</v>
      </c>
      <c r="BN18" s="316">
        <f>IF(C18="","",IF(S18="N/A",0,IF(BE18="N/A",0,INDEX('COST - SELL'!$O$70:$S$73,MATCH('CALC -RIPP- MOT.PLUG IN'!S18,'COST - SELL'!$O$70:$O$73,0),MATCH('CALC -RIPP- MOT.PLUG IN'!BE18,'COST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7071.33</v>
      </c>
      <c r="AD19" s="567">
        <f>AC19/$AD$11</f>
        <v>353.56650000000002</v>
      </c>
      <c r="AE19" s="567">
        <f>AD19*$AE$11</f>
        <v>70.713300000000004</v>
      </c>
      <c r="AF19" s="522">
        <f>AD19-AE19</f>
        <v>282.85320000000002</v>
      </c>
      <c r="AG19" s="572">
        <f>(AF19-AB19)/AF19</f>
        <v>0.29982478543640312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-RIPP- MOT.PLUG IN'!BD19))</f>
        <v>785.86956521739125</v>
      </c>
      <c r="BN19" s="316">
        <f>IF(C19="","",IF(S19="N/A",0,IF(BE19="N/A",0,INDEX('COST - SELL'!$O$70:$S$73,MATCH('CALC -RIPP- MOT.PLUG IN'!S19,'COST - SELL'!$O$70:$O$73,0),MATCH('CALC -RIPP- MOT.PLUG IN'!BE19,'COST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7071.33</v>
      </c>
      <c r="AD20" s="567">
        <f>AC20/$AD$11</f>
        <v>353.56650000000002</v>
      </c>
      <c r="AE20" s="567">
        <f>AD20*$AE$11</f>
        <v>70.713300000000004</v>
      </c>
      <c r="AF20" s="522">
        <f>AD20-AE20</f>
        <v>282.85320000000002</v>
      </c>
      <c r="AG20" s="572">
        <f>(AF20-AB20)/AF20</f>
        <v>0.29982478543640312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-RIPP- MOT.PLUG IN'!BD20))</f>
        <v>785.86956521739125</v>
      </c>
      <c r="BN20" s="316">
        <f>IF(C20="","",IF(S20="N/A",0,IF(BE20="N/A",0,INDEX('COST - SELL'!$O$70:$S$73,MATCH('CALC -RIPP- MOT.PLUG IN'!S20,'COST - SELL'!$O$70:$O$73,0),MATCH('CALC -RIPP- MOT.PLUG IN'!BE20,'COST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-RIPP- MOT.PLUG IN'!BD21))</f>
        <v>1069.655797101449</v>
      </c>
      <c r="BN21" s="316">
        <f>IF(C21="","",IF(S21="N/A",0,IF(BE21="N/A",0,INDEX('COST - SELL'!$O$70:$S$73,MATCH('CALC -RIPP- MOT.PLUG IN'!S21,'COST - SELL'!$O$70:$O$73,0),MATCH('CALC -RIPP- MOT.PLUG IN'!BE21,'COST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9.3558709240062432E-2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-RIPP- MOT.PLUG IN'!BD22))</f>
        <v>1069.655797101449</v>
      </c>
      <c r="BN22" s="316">
        <f>IF(C22="","",IF(S22="N/A",0,IF(BE22="N/A",0,INDEX('COST - SELL'!$O$70:$S$73,MATCH('CALC -RIPP- MOT.PLUG IN'!S22,'COST - SELL'!$O$70:$O$73,0),MATCH('CALC -RIPP- MOT.PLUG IN'!BE22,'COST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3"/>
        <v>1069.7</v>
      </c>
      <c r="AB23" s="560">
        <f t="shared" si="34"/>
        <v>269.56439999999998</v>
      </c>
      <c r="AC23" s="568">
        <f>6916.29+518.4</f>
        <v>7434.69</v>
      </c>
      <c r="AD23" s="567">
        <f>AC23/$AD$11</f>
        <v>371.73449999999997</v>
      </c>
      <c r="AE23" s="567">
        <f>AD23*$AE$11</f>
        <v>74.346899999999991</v>
      </c>
      <c r="AF23" s="522">
        <f>AD23-AE23</f>
        <v>297.38759999999996</v>
      </c>
      <c r="AG23" s="572">
        <f>(AF23-AB23)/AF23</f>
        <v>9.3558709240062432E-2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-RIPP- MOT.PLUG IN'!BD23))</f>
        <v>1069.655797101449</v>
      </c>
      <c r="BN23" s="316">
        <f>IF(C23="","",IF(S23="N/A",0,IF(BE23="N/A",0,INDEX('COST - SELL'!$O$70:$S$73,MATCH('CALC -RIPP- MOT.PLUG IN'!S23,'COST - SELL'!$O$70:$O$73,0),MATCH('CALC -RIPP- MOT.PLUG IN'!BE23,'COST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6916.29+518.4</f>
        <v>7434.69</v>
      </c>
      <c r="AD24" s="567">
        <f>AC24/$AD$11</f>
        <v>371.73449999999997</v>
      </c>
      <c r="AE24" s="567">
        <f>AD24*$AE$11</f>
        <v>74.346899999999991</v>
      </c>
      <c r="AF24" s="522">
        <f>AD24-AE24</f>
        <v>297.38759999999996</v>
      </c>
      <c r="AG24" s="572">
        <f>(AF24-AB24)/AF24</f>
        <v>9.3558709240062432E-2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-RIPP- MOT.PLUG IN'!BD24))</f>
        <v>1069.655797101449</v>
      </c>
      <c r="BN24" s="316">
        <f>IF(C24="","",IF(S24="N/A",0,IF(BE24="N/A",0,INDEX('COST - SELL'!$O$70:$S$73,MATCH('CALC -RIPP- MOT.PLUG IN'!S24,'COST - SELL'!$O$70:$O$73,0),MATCH('CALC -RIPP- MOT.PLUG IN'!BE24,'COST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7434.69</v>
      </c>
      <c r="AD25" s="567">
        <f>AC25/$AD$11</f>
        <v>371.73449999999997</v>
      </c>
      <c r="AE25" s="567">
        <f>AD25*$AE$11</f>
        <v>74.346899999999991</v>
      </c>
      <c r="AF25" s="522">
        <f>AD25-AE25</f>
        <v>297.38759999999996</v>
      </c>
      <c r="AG25" s="572">
        <f>(AF25-AB25)/AF25</f>
        <v>9.3558709240062432E-2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-RIPP- MOT.PLUG IN'!BD25))</f>
        <v>1069.655797101449</v>
      </c>
      <c r="BN25" s="316">
        <f>IF(C25="","",IF(S25="N/A",0,IF(BE25="N/A",0,INDEX('COST - SELL'!$O$70:$S$73,MATCH('CALC -RIPP- MOT.PLUG IN'!S25,'COST - SELL'!$O$70:$O$73,0),MATCH('CALC -RIPP- MOT.PLUG IN'!BE25,'COST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7434.69</v>
      </c>
      <c r="AD26" s="567">
        <f>AC26/$AD$11</f>
        <v>371.73449999999997</v>
      </c>
      <c r="AE26" s="567">
        <f>AD26*$AE$11</f>
        <v>74.346899999999991</v>
      </c>
      <c r="AF26" s="522">
        <f>AD26-AE26</f>
        <v>297.38759999999996</v>
      </c>
      <c r="AG26" s="572">
        <f>(AF26-AB26)/AF26</f>
        <v>9.3558709240062432E-2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-RIPP- MOT.PLUG IN'!BD26))</f>
        <v>1069.655797101449</v>
      </c>
      <c r="BN26" s="316">
        <f>IF(C26="","",IF(S26="N/A",0,IF(BE26="N/A",0,INDEX('COST - SELL'!$O$70:$S$73,MATCH('CALC -RIPP- MOT.PLUG IN'!S26,'COST - SELL'!$O$70:$O$73,0),MATCH('CALC -RIPP- MOT.PLUG IN'!BE26,'COST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-RIPP- MOT.PLUG IN'!BD27))</f>
        <v>1353.4420289855075</v>
      </c>
      <c r="BN27" s="316">
        <f>IF(C27="","",IF(S27="N/A",0,IF(BE27="N/A",0,INDEX('COST - SELL'!$O$70:$S$73,MATCH('CALC -RIPP- MOT.PLUG IN'!S27,'COST - SELL'!$O$70:$O$73,0),MATCH('CALC -RIPP- MOT.PLUG IN'!BE27,'COST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-8.076453126544765E-2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-RIPP- MOT.PLUG IN'!BD28))</f>
        <v>1353.4420289855075</v>
      </c>
      <c r="BN28" s="316">
        <f>IF(C28="","",IF(S28="N/A",0,IF(BE28="N/A",0,INDEX('COST - SELL'!$O$70:$S$73,MATCH('CALC -RIPP- MOT.PLUG IN'!S28,'COST - SELL'!$O$70:$O$73,0),MATCH('CALC -RIPP- MOT.PLUG IN'!BE28,'COST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3"/>
        <v>1353.45</v>
      </c>
      <c r="AB29" s="560">
        <f t="shared" si="34"/>
        <v>341.06939999999997</v>
      </c>
      <c r="AC29" s="568">
        <f>7371.14+518.4</f>
        <v>7889.54</v>
      </c>
      <c r="AD29" s="567">
        <f>AC29/$AD$11</f>
        <v>394.47699999999998</v>
      </c>
      <c r="AE29" s="567">
        <f>AD29*$AE$11</f>
        <v>78.895399999999995</v>
      </c>
      <c r="AF29" s="522">
        <f>AD29-AE29</f>
        <v>315.58159999999998</v>
      </c>
      <c r="AG29" s="572">
        <f>(AF29-AB29)/AF29</f>
        <v>-8.076453126544765E-2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-RIPP- MOT.PLUG IN'!BD29))</f>
        <v>1353.4420289855075</v>
      </c>
      <c r="BN29" s="316">
        <f>IF(C29="","",IF(S29="N/A",0,IF(BE29="N/A",0,INDEX('COST - SELL'!$O$70:$S$73,MATCH('CALC -RIPP- MOT.PLUG IN'!S29,'COST - SELL'!$O$70:$O$73,0),MATCH('CALC -RIPP- MOT.PLUG IN'!BE29,'COST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7371.14+518.4</f>
        <v>7889.54</v>
      </c>
      <c r="AD30" s="567">
        <f>AC30/$AD$11</f>
        <v>394.47699999999998</v>
      </c>
      <c r="AE30" s="567">
        <f>AD30*$AE$11</f>
        <v>78.895399999999995</v>
      </c>
      <c r="AF30" s="522">
        <f>AD30-AE30</f>
        <v>315.58159999999998</v>
      </c>
      <c r="AG30" s="572">
        <f>(AF30-AB30)/AF30</f>
        <v>-8.076453126544765E-2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-RIPP- MOT.PLUG IN'!BD30))</f>
        <v>1353.4420289855075</v>
      </c>
      <c r="BN30" s="316">
        <f>IF(C30="","",IF(S30="N/A",0,IF(BE30="N/A",0,INDEX('COST - SELL'!$O$70:$S$73,MATCH('CALC -RIPP- MOT.PLUG IN'!S30,'COST - SELL'!$O$70:$O$73,0),MATCH('CALC -RIPP- MOT.PLUG IN'!BE30,'COST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7889.54</v>
      </c>
      <c r="AD31" s="567">
        <f>AC31/$AD$11</f>
        <v>394.47699999999998</v>
      </c>
      <c r="AE31" s="567">
        <f>AD31*$AE$11</f>
        <v>78.895399999999995</v>
      </c>
      <c r="AF31" s="522">
        <f>AD31-AE31</f>
        <v>315.58159999999998</v>
      </c>
      <c r="AG31" s="572">
        <f>(AF31-AB31)/AF31</f>
        <v>-8.076453126544765E-2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-RIPP- MOT.PLUG IN'!BD31))</f>
        <v>1353.4420289855075</v>
      </c>
      <c r="BN31" s="316">
        <f>IF(C31="","",IF(S31="N/A",0,IF(BE31="N/A",0,INDEX('COST - SELL'!$O$70:$S$73,MATCH('CALC -RIPP- MOT.PLUG IN'!S31,'COST - SELL'!$O$70:$O$73,0),MATCH('CALC -RIPP- MOT.PLUG IN'!BE31,'COST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7889.54</v>
      </c>
      <c r="AD32" s="567">
        <f>AC32/$AD$11</f>
        <v>394.47699999999998</v>
      </c>
      <c r="AE32" s="567">
        <f>AD32*$AE$11</f>
        <v>78.895399999999995</v>
      </c>
      <c r="AF32" s="522">
        <f>AD32-AE32</f>
        <v>315.58159999999998</v>
      </c>
      <c r="AG32" s="572">
        <f>(AF32-AB32)/AF32</f>
        <v>-8.076453126544765E-2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-RIPP- MOT.PLUG IN'!BD32))</f>
        <v>1353.4420289855075</v>
      </c>
      <c r="BN32" s="316">
        <f>IF(C32="","",IF(S32="N/A",0,IF(BE32="N/A",0,INDEX('COST - SELL'!$O$70:$S$73,MATCH('CALC -RIPP- MOT.PLUG IN'!S32,'COST - SELL'!$O$70:$O$73,0),MATCH('CALC -RIPP- MOT.PLUG IN'!BE32,'COST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-RIPP- MOT.PLUG IN'!BD33))</f>
        <v>1637.228260869565</v>
      </c>
      <c r="BN33" s="316">
        <f>IF(C33="","",IF(S33="N/A",0,IF(BE33="N/A",0,INDEX('COST - SELL'!$O$70:$S$73,MATCH('CALC -RIPP- MOT.PLUG IN'!S33,'COST - SELL'!$O$70:$O$73,0),MATCH('CALC -RIPP- MOT.PLUG IN'!BE33,'COST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-0.2192647536865745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-RIPP- MOT.PLUG IN'!BD34))</f>
        <v>1637.228260869565</v>
      </c>
      <c r="BN34" s="316">
        <f>IF(C34="","",IF(S34="N/A",0,IF(BE34="N/A",0,INDEX('COST - SELL'!$O$70:$S$73,MATCH('CALC -RIPP- MOT.PLUG IN'!S34,'COST - SELL'!$O$70:$O$73,0),MATCH('CALC -RIPP- MOT.PLUG IN'!BE34,'COST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3"/>
        <v>1637.25</v>
      </c>
      <c r="AB35" s="560">
        <f t="shared" si="34"/>
        <v>412.58699999999993</v>
      </c>
      <c r="AC35" s="568">
        <f>7941.35+518.4</f>
        <v>8459.75</v>
      </c>
      <c r="AD35" s="567">
        <f>AC35/$AD$11</f>
        <v>422.98750000000001</v>
      </c>
      <c r="AE35" s="567">
        <f>AD35*$AE$11</f>
        <v>84.597500000000011</v>
      </c>
      <c r="AF35" s="522">
        <f>AD35-AE35</f>
        <v>338.39</v>
      </c>
      <c r="AG35" s="572">
        <f>(AF35-AB35)/AF35</f>
        <v>-0.2192647536865745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-RIPP- MOT.PLUG IN'!BD35))</f>
        <v>1637.228260869565</v>
      </c>
      <c r="BN35" s="316">
        <f>IF(C35="","",IF(S35="N/A",0,IF(BE35="N/A",0,INDEX('COST - SELL'!$O$70:$S$73,MATCH('CALC -RIPP- MOT.PLUG IN'!S35,'COST - SELL'!$O$70:$O$73,0),MATCH('CALC -RIPP- MOT.PLUG IN'!BE35,'COST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7941.35+518.4</f>
        <v>8459.75</v>
      </c>
      <c r="AD36" s="567">
        <f>AC36/$AD$11</f>
        <v>422.98750000000001</v>
      </c>
      <c r="AE36" s="567">
        <f>AD36*$AE$11</f>
        <v>84.597500000000011</v>
      </c>
      <c r="AF36" s="522">
        <f>AD36-AE36</f>
        <v>338.39</v>
      </c>
      <c r="AG36" s="572">
        <f>(AF36-AB36)/AF36</f>
        <v>-0.2192647536865745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-RIPP- MOT.PLUG IN'!BD36))</f>
        <v>1637.228260869565</v>
      </c>
      <c r="BN36" s="316">
        <f>IF(C36="","",IF(S36="N/A",0,IF(BE36="N/A",0,INDEX('COST - SELL'!$O$70:$S$73,MATCH('CALC -RIPP- MOT.PLUG IN'!S36,'COST - SELL'!$O$70:$O$73,0),MATCH('CALC -RIPP- MOT.PLUG IN'!BE36,'COST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8459.75</v>
      </c>
      <c r="AD37" s="567">
        <f>AC37/$AD$11</f>
        <v>422.98750000000001</v>
      </c>
      <c r="AE37" s="567">
        <f>AD37*$AE$11</f>
        <v>84.597500000000011</v>
      </c>
      <c r="AF37" s="522">
        <f>AD37-AE37</f>
        <v>338.39</v>
      </c>
      <c r="AG37" s="572">
        <f>(AF37-AB37)/AF37</f>
        <v>-0.2192647536865745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-RIPP- MOT.PLUG IN'!BD37))</f>
        <v>1637.228260869565</v>
      </c>
      <c r="BN37" s="316">
        <f>IF(C37="","",IF(S37="N/A",0,IF(BE37="N/A",0,INDEX('COST - SELL'!$O$70:$S$73,MATCH('CALC -RIPP- MOT.PLUG IN'!S37,'COST - SELL'!$O$70:$O$73,0),MATCH('CALC -RIPP- MOT.PLUG IN'!BE37,'COST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8459.75</v>
      </c>
      <c r="AD38" s="567">
        <f>AC38/$AD$11</f>
        <v>422.98750000000001</v>
      </c>
      <c r="AE38" s="567">
        <f>AD38*$AE$11</f>
        <v>84.597500000000011</v>
      </c>
      <c r="AF38" s="522">
        <f>AD38-AE38</f>
        <v>338.39</v>
      </c>
      <c r="AG38" s="572">
        <f>(AF38-AB38)/AF38</f>
        <v>-0.2192647536865745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-RIPP- MOT.PLUG IN'!BD38))</f>
        <v>1637.228260869565</v>
      </c>
      <c r="BN38" s="316">
        <f>IF(C38="","",IF(S38="N/A",0,IF(BE38="N/A",0,INDEX('COST - SELL'!$O$70:$S$73,MATCH('CALC -RIPP- MOT.PLUG IN'!S38,'COST - SELL'!$O$70:$O$73,0),MATCH('CALC -RIPP- MOT.PLUG IN'!BE38,'COST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2.3338552431110861E-2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-RIPP- MOT.PLUG IN'!BD39))</f>
        <v>785.86956521739125</v>
      </c>
      <c r="BN39" s="316">
        <f>IF(C39="","",IF(S39="N/A",0,IF(BE39="N/A",0,INDEX('COST - SELL'!$O$70:$S$73,MATCH('CALC -RIPP- MOT.PLUG IN'!S39,'COST - SELL'!$O$70:$O$73,0),MATCH('CALC -RIPP- MOT.PLUG IN'!BE39,'COST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0.29982478543640312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-RIPP- MOT.PLUG IN'!BD40))</f>
        <v>785.86956521739125</v>
      </c>
      <c r="BN40" s="316">
        <f>IF(C40="","",IF(S40="N/A",0,IF(BE40="N/A",0,INDEX('COST - SELL'!$O$70:$S$73,MATCH('CALC -RIPP- MOT.PLUG IN'!S40,'COST - SELL'!$O$70:$O$73,0),MATCH('CALC -RIPP- MOT.PLUG IN'!BE40,'COST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3"/>
        <v>785.90000000000009</v>
      </c>
      <c r="AB41" s="560">
        <f t="shared" si="34"/>
        <v>198.04679999999999</v>
      </c>
      <c r="AC41" s="568">
        <f>6552.93+518.4</f>
        <v>7071.33</v>
      </c>
      <c r="AD41" s="567">
        <f>AC41/$AD$11</f>
        <v>353.56650000000002</v>
      </c>
      <c r="AE41" s="567">
        <f>AD41*$AE$11</f>
        <v>70.713300000000004</v>
      </c>
      <c r="AF41" s="522">
        <f>AD41-AE41</f>
        <v>282.85320000000002</v>
      </c>
      <c r="AG41" s="572">
        <f>(AF41-AB41)/AF41</f>
        <v>0.29982478543640312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-RIPP- MOT.PLUG IN'!BD41))</f>
        <v>785.86956521739125</v>
      </c>
      <c r="BN41" s="316">
        <f>IF(C41="","",IF(S41="N/A",0,IF(BE41="N/A",0,INDEX('COST - SELL'!$O$70:$S$73,MATCH('CALC -RIPP- MOT.PLUG IN'!S41,'COST - SELL'!$O$70:$O$73,0),MATCH('CALC -RIPP- MOT.PLUG IN'!BE41,'COST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6552.93+518.4</f>
        <v>7071.33</v>
      </c>
      <c r="AD42" s="567">
        <f>AC42/$AD$11</f>
        <v>353.56650000000002</v>
      </c>
      <c r="AE42" s="567">
        <f>AD42*$AE$11</f>
        <v>70.713300000000004</v>
      </c>
      <c r="AF42" s="522">
        <f>AD42-AE42</f>
        <v>282.85320000000002</v>
      </c>
      <c r="AG42" s="572">
        <f>(AF42-AB42)/AF42</f>
        <v>0.29982478543640312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-RIPP- MOT.PLUG IN'!BD42))</f>
        <v>785.86956521739125</v>
      </c>
      <c r="BN42" s="316">
        <f>IF(C42="","",IF(S42="N/A",0,IF(BE42="N/A",0,INDEX('COST - SELL'!$O$70:$S$73,MATCH('CALC -RIPP- MOT.PLUG IN'!S42,'COST - SELL'!$O$70:$O$73,0),MATCH('CALC -RIPP- MOT.PLUG IN'!BE42,'COST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7071.33</v>
      </c>
      <c r="AD43" s="567">
        <f>AC43/$AD$11</f>
        <v>353.56650000000002</v>
      </c>
      <c r="AE43" s="567">
        <f>AD43*$AE$11</f>
        <v>70.713300000000004</v>
      </c>
      <c r="AF43" s="522">
        <f>AD43-AE43</f>
        <v>282.85320000000002</v>
      </c>
      <c r="AG43" s="572">
        <f>(AF43-AB43)/AF43</f>
        <v>0.29982478543640312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-RIPP- MOT.PLUG IN'!BD43))</f>
        <v>785.86956521739125</v>
      </c>
      <c r="BN43" s="316">
        <f>IF(C43="","",IF(S43="N/A",0,IF(BE43="N/A",0,INDEX('COST - SELL'!$O$70:$S$73,MATCH('CALC -RIPP- MOT.PLUG IN'!S43,'COST - SELL'!$O$70:$O$73,0),MATCH('CALC -RIPP- MOT.PLUG IN'!BE43,'COST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7071.33</v>
      </c>
      <c r="AD44" s="567">
        <f>AC44/$AD$11</f>
        <v>353.56650000000002</v>
      </c>
      <c r="AE44" s="567">
        <f>AD44*$AE$11</f>
        <v>70.713300000000004</v>
      </c>
      <c r="AF44" s="522">
        <f>AD44-AE44</f>
        <v>282.85320000000002</v>
      </c>
      <c r="AG44" s="572">
        <f>(AF44-AB44)/AF44</f>
        <v>0.29982478543640312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-RIPP- MOT.PLUG IN'!BD44))</f>
        <v>785.86956521739125</v>
      </c>
      <c r="BN44" s="316">
        <f>IF(C44="","",IF(S44="N/A",0,IF(BE44="N/A",0,INDEX('COST - SELL'!$O$70:$S$73,MATCH('CALC -RIPP- MOT.PLUG IN'!S44,'COST - SELL'!$O$70:$O$73,0),MATCH('CALC -RIPP- MOT.PLUG IN'!BE44,'COST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-RIPP- MOT.PLUG IN'!BD45))</f>
        <v>1069.655797101449</v>
      </c>
      <c r="BN45" s="316">
        <f>IF(C45="","",IF(S45="N/A",0,IF(BE45="N/A",0,INDEX('COST - SELL'!$O$70:$S$73,MATCH('CALC -RIPP- MOT.PLUG IN'!S45,'COST - SELL'!$O$70:$O$73,0),MATCH('CALC -RIPP- MOT.PLUG IN'!BE45,'COST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9.3558709240062432E-2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-RIPP- MOT.PLUG IN'!BD46))</f>
        <v>1069.655797101449</v>
      </c>
      <c r="BN46" s="316">
        <f>IF(C46="","",IF(S46="N/A",0,IF(BE46="N/A",0,INDEX('COST - SELL'!$O$70:$S$73,MATCH('CALC -RIPP- MOT.PLUG IN'!S46,'COST - SELL'!$O$70:$O$73,0),MATCH('CALC -RIPP- MOT.PLUG IN'!BE46,'COST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3"/>
        <v>1069.7</v>
      </c>
      <c r="AB47" s="560">
        <f t="shared" si="34"/>
        <v>269.56439999999998</v>
      </c>
      <c r="AC47" s="568">
        <f>6916.29+518.4</f>
        <v>7434.69</v>
      </c>
      <c r="AD47" s="567">
        <f>AC47/$AD$11</f>
        <v>371.73449999999997</v>
      </c>
      <c r="AE47" s="567">
        <f>AD47*$AE$11</f>
        <v>74.346899999999991</v>
      </c>
      <c r="AF47" s="522">
        <f>AD47-AE47</f>
        <v>297.38759999999996</v>
      </c>
      <c r="AG47" s="572">
        <f>(AF47-AB47)/AF47</f>
        <v>9.3558709240062432E-2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-RIPP- MOT.PLUG IN'!BD47))</f>
        <v>1069.655797101449</v>
      </c>
      <c r="BN47" s="316">
        <f>IF(C47="","",IF(S47="N/A",0,IF(BE47="N/A",0,INDEX('COST - SELL'!$O$70:$S$73,MATCH('CALC -RIPP- MOT.PLUG IN'!S47,'COST - SELL'!$O$70:$O$73,0),MATCH('CALC -RIPP- MOT.PLUG IN'!BE47,'COST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6916.29+518.4</f>
        <v>7434.69</v>
      </c>
      <c r="AD48" s="567">
        <f>AC48/$AD$11</f>
        <v>371.73449999999997</v>
      </c>
      <c r="AE48" s="567">
        <f>AD48*$AE$11</f>
        <v>74.346899999999991</v>
      </c>
      <c r="AF48" s="522">
        <f>AD48-AE48</f>
        <v>297.38759999999996</v>
      </c>
      <c r="AG48" s="572">
        <f>(AF48-AB48)/AF48</f>
        <v>9.3558709240062432E-2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-RIPP- MOT.PLUG IN'!BD48))</f>
        <v>1069.655797101449</v>
      </c>
      <c r="BN48" s="316">
        <f>IF(C48="","",IF(S48="N/A",0,IF(BE48="N/A",0,INDEX('COST - SELL'!$O$70:$S$73,MATCH('CALC -RIPP- MOT.PLUG IN'!S48,'COST - SELL'!$O$70:$O$73,0),MATCH('CALC -RIPP- MOT.PLUG IN'!BE48,'COST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7434.69</v>
      </c>
      <c r="AD49" s="567">
        <f>AC49/$AD$11</f>
        <v>371.73449999999997</v>
      </c>
      <c r="AE49" s="567">
        <f>AD49*$AE$11</f>
        <v>74.346899999999991</v>
      </c>
      <c r="AF49" s="522">
        <f>AD49-AE49</f>
        <v>297.38759999999996</v>
      </c>
      <c r="AG49" s="572">
        <f>(AF49-AB49)/AF49</f>
        <v>9.3558709240062432E-2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-RIPP- MOT.PLUG IN'!BD49))</f>
        <v>1069.655797101449</v>
      </c>
      <c r="BN49" s="316">
        <f>IF(C49="","",IF(S49="N/A",0,IF(BE49="N/A",0,INDEX('COST - SELL'!$O$70:$S$73,MATCH('CALC -RIPP- MOT.PLUG IN'!S49,'COST - SELL'!$O$70:$O$73,0),MATCH('CALC -RIPP- MOT.PLUG IN'!BE49,'COST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7434.69</v>
      </c>
      <c r="AD50" s="567">
        <f>AC50/$AD$11</f>
        <v>371.73449999999997</v>
      </c>
      <c r="AE50" s="567">
        <f>AD50*$AE$11</f>
        <v>74.346899999999991</v>
      </c>
      <c r="AF50" s="522">
        <f>AD50-AE50</f>
        <v>297.38759999999996</v>
      </c>
      <c r="AG50" s="572">
        <f>(AF50-AB50)/AF50</f>
        <v>9.3558709240062432E-2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-RIPP- MOT.PLUG IN'!BD50))</f>
        <v>1069.655797101449</v>
      </c>
      <c r="BN50" s="316">
        <f>IF(C50="","",IF(S50="N/A",0,IF(BE50="N/A",0,INDEX('COST - SELL'!$O$70:$S$73,MATCH('CALC -RIPP- MOT.PLUG IN'!S50,'COST - SELL'!$O$70:$O$73,0),MATCH('CALC -RIPP- MOT.PLUG IN'!BE50,'COST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-RIPP- MOT.PLUG IN'!BD51))</f>
        <v>1353.4420289855075</v>
      </c>
      <c r="BN51" s="316">
        <f>IF(C51="","",IF(S51="N/A",0,IF(BE51="N/A",0,INDEX('COST - SELL'!$O$70:$S$73,MATCH('CALC -RIPP- MOT.PLUG IN'!S51,'COST - SELL'!$O$70:$O$73,0),MATCH('CALC -RIPP- MOT.PLUG IN'!BE51,'COST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-8.076453126544765E-2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-RIPP- MOT.PLUG IN'!BD52))</f>
        <v>1353.4420289855075</v>
      </c>
      <c r="BN52" s="316">
        <f>IF(C52="","",IF(S52="N/A",0,IF(BE52="N/A",0,INDEX('COST - SELL'!$O$70:$S$73,MATCH('CALC -RIPP- MOT.PLUG IN'!S52,'COST - SELL'!$O$70:$O$73,0),MATCH('CALC -RIPP- MOT.PLUG IN'!BE52,'COST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3"/>
        <v>1353.45</v>
      </c>
      <c r="AB53" s="560">
        <f t="shared" si="34"/>
        <v>341.06939999999997</v>
      </c>
      <c r="AC53" s="568">
        <f>7371.14+518.4</f>
        <v>7889.54</v>
      </c>
      <c r="AD53" s="567">
        <f>AC53/$AD$11</f>
        <v>394.47699999999998</v>
      </c>
      <c r="AE53" s="567">
        <f>AD53*$AE$11</f>
        <v>78.895399999999995</v>
      </c>
      <c r="AF53" s="522">
        <f>AD53-AE53</f>
        <v>315.58159999999998</v>
      </c>
      <c r="AG53" s="572">
        <f>(AF53-AB53)/AF53</f>
        <v>-8.076453126544765E-2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-RIPP- MOT.PLUG IN'!BD53))</f>
        <v>1353.4420289855075</v>
      </c>
      <c r="BN53" s="316">
        <f>IF(C53="","",IF(S53="N/A",0,IF(BE53="N/A",0,INDEX('COST - SELL'!$O$70:$S$73,MATCH('CALC -RIPP- MOT.PLUG IN'!S53,'COST - SELL'!$O$70:$O$73,0),MATCH('CALC -RIPP- MOT.PLUG IN'!BE53,'COST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7371.14+518.4</f>
        <v>7889.54</v>
      </c>
      <c r="AD54" s="567">
        <f>AC54/$AD$11</f>
        <v>394.47699999999998</v>
      </c>
      <c r="AE54" s="567">
        <f>AD54*$AE$11</f>
        <v>78.895399999999995</v>
      </c>
      <c r="AF54" s="522">
        <f>AD54-AE54</f>
        <v>315.58159999999998</v>
      </c>
      <c r="AG54" s="572">
        <f>(AF54-AB54)/AF54</f>
        <v>-8.076453126544765E-2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-RIPP- MOT.PLUG IN'!BD54))</f>
        <v>1353.4420289855075</v>
      </c>
      <c r="BN54" s="316">
        <f>IF(C54="","",IF(S54="N/A",0,IF(BE54="N/A",0,INDEX('COST - SELL'!$O$70:$S$73,MATCH('CALC -RIPP- MOT.PLUG IN'!S54,'COST - SELL'!$O$70:$O$73,0),MATCH('CALC -RIPP- MOT.PLUG IN'!BE54,'COST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7889.54</v>
      </c>
      <c r="AD55" s="567">
        <f>AC55/$AD$11</f>
        <v>394.47699999999998</v>
      </c>
      <c r="AE55" s="567">
        <f>AD55*$AE$11</f>
        <v>78.895399999999995</v>
      </c>
      <c r="AF55" s="522">
        <f>AD55-AE55</f>
        <v>315.58159999999998</v>
      </c>
      <c r="AG55" s="572">
        <f>(AF55-AB55)/AF55</f>
        <v>-8.076453126544765E-2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-RIPP- MOT.PLUG IN'!BD55))</f>
        <v>1353.4420289855075</v>
      </c>
      <c r="BN55" s="316">
        <f>IF(C55="","",IF(S55="N/A",0,IF(BE55="N/A",0,INDEX('COST - SELL'!$O$70:$S$73,MATCH('CALC -RIPP- MOT.PLUG IN'!S55,'COST - SELL'!$O$70:$O$73,0),MATCH('CALC -RIPP- MOT.PLUG IN'!BE55,'COST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7889.54</v>
      </c>
      <c r="AD56" s="567">
        <f>AC56/$AD$11</f>
        <v>394.47699999999998</v>
      </c>
      <c r="AE56" s="567">
        <f>AD56*$AE$11</f>
        <v>78.895399999999995</v>
      </c>
      <c r="AF56" s="522">
        <f>AD56-AE56</f>
        <v>315.58159999999998</v>
      </c>
      <c r="AG56" s="572">
        <f>(AF56-AB56)/AF56</f>
        <v>-8.076453126544765E-2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-RIPP- MOT.PLUG IN'!BD56))</f>
        <v>1353.4420289855075</v>
      </c>
      <c r="BN56" s="316">
        <f>IF(C56="","",IF(S56="N/A",0,IF(BE56="N/A",0,INDEX('COST - SELL'!$O$70:$S$73,MATCH('CALC -RIPP- MOT.PLUG IN'!S56,'COST - SELL'!$O$70:$O$73,0),MATCH('CALC -RIPP- MOT.PLUG IN'!BE56,'COST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-RIPP- MOT.PLUG IN'!BD57))</f>
        <v>1637.228260869565</v>
      </c>
      <c r="BN57" s="316">
        <f>IF(C57="","",IF(S57="N/A",0,IF(BE57="N/A",0,INDEX('COST - SELL'!$O$70:$S$73,MATCH('CALC -RIPP- MOT.PLUG IN'!S57,'COST - SELL'!$O$70:$O$73,0),MATCH('CALC -RIPP- MOT.PLUG IN'!BE57,'COST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-0.2192647536865745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-RIPP- MOT.PLUG IN'!BD58))</f>
        <v>1637.228260869565</v>
      </c>
      <c r="BN58" s="316">
        <f>IF(C58="","",IF(S58="N/A",0,IF(BE58="N/A",0,INDEX('COST - SELL'!$O$70:$S$73,MATCH('CALC -RIPP- MOT.PLUG IN'!S58,'COST - SELL'!$O$70:$O$73,0),MATCH('CALC -RIPP- MOT.PLUG IN'!BE58,'COST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3"/>
        <v>1637.25</v>
      </c>
      <c r="AB59" s="560">
        <f t="shared" si="34"/>
        <v>412.58699999999993</v>
      </c>
      <c r="AC59" s="568">
        <f>7941.35+518.4</f>
        <v>8459.75</v>
      </c>
      <c r="AD59" s="567">
        <f>AC59/$AD$11</f>
        <v>422.98750000000001</v>
      </c>
      <c r="AE59" s="567">
        <f>AD59*$AE$11</f>
        <v>84.597500000000011</v>
      </c>
      <c r="AF59" s="522">
        <f>AD59-AE59</f>
        <v>338.39</v>
      </c>
      <c r="AG59" s="572">
        <f>(AF59-AB59)/AF59</f>
        <v>-0.2192647536865745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-RIPP- MOT.PLUG IN'!BD59))</f>
        <v>1637.228260869565</v>
      </c>
      <c r="BN59" s="316">
        <f>IF(C59="","",IF(S59="N/A",0,IF(BE59="N/A",0,INDEX('COST - SELL'!$O$70:$S$73,MATCH('CALC -RIPP- MOT.PLUG IN'!S59,'COST - SELL'!$O$70:$O$73,0),MATCH('CALC -RIPP- MOT.PLUG IN'!BE59,'COST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7941.35+518.4</f>
        <v>8459.75</v>
      </c>
      <c r="AD60" s="567">
        <f>AC60/$AD$11</f>
        <v>422.98750000000001</v>
      </c>
      <c r="AE60" s="567">
        <f>AD60*$AE$11</f>
        <v>84.597500000000011</v>
      </c>
      <c r="AF60" s="522">
        <f>AD60-AE60</f>
        <v>338.39</v>
      </c>
      <c r="AG60" s="572">
        <f>(AF60-AB60)/AF60</f>
        <v>-0.2192647536865745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-RIPP- MOT.PLUG IN'!BD60))</f>
        <v>1637.228260869565</v>
      </c>
      <c r="BN60" s="316">
        <f>IF(C60="","",IF(S60="N/A",0,IF(BE60="N/A",0,INDEX('COST - SELL'!$O$70:$S$73,MATCH('CALC -RIPP- MOT.PLUG IN'!S60,'COST - SELL'!$O$70:$O$73,0),MATCH('CALC -RIPP- MOT.PLUG IN'!BE60,'COST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8459.75</v>
      </c>
      <c r="AD61" s="567">
        <f>AC61/$AD$11</f>
        <v>422.98750000000001</v>
      </c>
      <c r="AE61" s="567">
        <f>AD61*$AE$11</f>
        <v>84.597500000000011</v>
      </c>
      <c r="AF61" s="522">
        <f>AD61-AE61</f>
        <v>338.39</v>
      </c>
      <c r="AG61" s="572">
        <f>(AF61-AB61)/AF61</f>
        <v>-0.2192647536865745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-RIPP- MOT.PLUG IN'!BD61))</f>
        <v>1637.228260869565</v>
      </c>
      <c r="BN61" s="316">
        <f>IF(C61="","",IF(S61="N/A",0,IF(BE61="N/A",0,INDEX('COST - SELL'!$O$70:$S$73,MATCH('CALC -RIPP- MOT.PLUG IN'!S61,'COST - SELL'!$O$70:$O$73,0),MATCH('CALC -RIPP- MOT.PLUG IN'!BE61,'COST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8459.75</v>
      </c>
      <c r="AD62" s="567">
        <f>AC62/$AD$11</f>
        <v>422.98750000000001</v>
      </c>
      <c r="AE62" s="567">
        <f>AD62*$AE$11</f>
        <v>84.597500000000011</v>
      </c>
      <c r="AF62" s="522">
        <f>AD62-AE62</f>
        <v>338.39</v>
      </c>
      <c r="AG62" s="572">
        <f>(AF62-AB62)/AF62</f>
        <v>-0.2192647536865745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-RIPP- MOT.PLUG IN'!BD62))</f>
        <v>1637.228260869565</v>
      </c>
      <c r="BN62" s="316">
        <f>IF(C62="","",IF(S62="N/A",0,IF(BE62="N/A",0,INDEX('COST - SELL'!$O$70:$S$73,MATCH('CALC -RIPP- MOT.PLUG IN'!S62,'COST - SELL'!$O$70:$O$73,0),MATCH('CALC -RIPP- MOT.PLUG IN'!BE62,'COST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-RIPP- MOT.PLUG IN'!S4="INGLES","ITEM","ART.")</f>
        <v>ART.</v>
      </c>
      <c r="C63" s="410" t="str">
        <f>IF('CALC -RIPP- MOT.PLUG IN'!S4="INGLES","QTY.","CANT.")</f>
        <v>CANT.</v>
      </c>
      <c r="D63" s="914" t="str">
        <f>IF('CALC -RIPP- MOT.PLUG IN'!S4="INGLES","DESCRIPTION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4B2337A1-FBD0-4D60-89FE-E294049BD5AC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C532351-BBAF-4025-9616-E228D236AE3C}">
          <x14:formula1>
            <xm:f>'DROP LIST'!$P$11:$P$12</xm:f>
          </x14:formula1>
          <xm:sqref>AA4:AG4</xm:sqref>
        </x14:dataValidation>
        <x14:dataValidation type="list" allowBlank="1" showInputMessage="1" showErrorMessage="1" xr:uid="{64B847C3-261C-43FB-83C2-DF4EDDF7322C}">
          <x14:formula1>
            <xm:f>'DROP LIST'!$M$15:$M$35</xm:f>
          </x14:formula1>
          <xm:sqref>I15:I62</xm:sqref>
        </x14:dataValidation>
        <x14:dataValidation type="list" allowBlank="1" showInputMessage="1" showErrorMessage="1" xr:uid="{29A8A29B-EAF7-41E5-AF1B-B88A07FDEE89}">
          <x14:formula1>
            <xm:f>'DROP LIST'!$P$7:$P$8</xm:f>
          </x14:formula1>
          <xm:sqref>S4</xm:sqref>
        </x14:dataValidation>
        <x14:dataValidation type="list" allowBlank="1" showInputMessage="1" showErrorMessage="1" xr:uid="{0108ABC9-728F-499B-BDB2-EFE51B47C292}">
          <x14:formula1>
            <xm:f>'DROP LIST'!$E$25:$E$27</xm:f>
          </x14:formula1>
          <xm:sqref>P15:P62</xm:sqref>
        </x14:dataValidation>
        <x14:dataValidation type="list" allowBlank="1" showInputMessage="1" showErrorMessage="1" xr:uid="{7A74C1FD-CDD1-478E-830B-9AFF32E23E23}">
          <x14:formula1>
            <xm:f>'DROP LIST'!$B$25:$B$31</xm:f>
          </x14:formula1>
          <xm:sqref>L15:L62</xm:sqref>
        </x14:dataValidation>
        <x14:dataValidation type="list" allowBlank="1" showInputMessage="1" showErrorMessage="1" xr:uid="{D1665C4A-2BA5-427B-9074-B785D4A8A94F}">
          <x14:formula1>
            <xm:f>'DROP LIST'!$M$7:$M$10</xm:f>
          </x14:formula1>
          <xm:sqref>H15:H62</xm:sqref>
        </x14:dataValidation>
        <x14:dataValidation type="list" allowBlank="1" showInputMessage="1" showErrorMessage="1" xr:uid="{3339D8B4-FA0C-45B4-9014-BF8A168D4CB4}">
          <x14:formula1>
            <xm:f>'DROP LIST'!$E$7:$E$15</xm:f>
          </x14:formula1>
          <xm:sqref>E15:E62</xm:sqref>
        </x14:dataValidation>
        <x14:dataValidation type="list" allowBlank="1" showInputMessage="1" showErrorMessage="1" xr:uid="{AA6D35B4-6561-4F54-B26F-11039A2813EE}">
          <x14:formula1>
            <xm:f>'DROP LIST'!$H$7:$H$19</xm:f>
          </x14:formula1>
          <xm:sqref>F15:F62</xm:sqref>
        </x14:dataValidation>
        <x14:dataValidation type="list" allowBlank="1" showInputMessage="1" showErrorMessage="1" xr:uid="{605910F2-1D04-4D3F-81F9-4FF0AA1C8C81}">
          <x14:formula1>
            <xm:f>'DROP LIST'!$B$7:$B$13</xm:f>
          </x14:formula1>
          <xm:sqref>D15:D62</xm:sqref>
        </x14:dataValidation>
        <x14:dataValidation type="list" allowBlank="1" showInputMessage="1" showErrorMessage="1" xr:uid="{821C7DC6-70E8-4DAC-BE0B-D50490C45AD9}">
          <x14:formula1>
            <xm:f>'DROP LIST'!$K$7:$K$14</xm:f>
          </x14:formula1>
          <xm:sqref>G15:G62</xm:sqref>
        </x14:dataValidation>
        <x14:dataValidation type="list" allowBlank="1" showInputMessage="1" showErrorMessage="1" xr:uid="{BE4324C2-A157-4F30-AED1-1F4F97AB40C8}">
          <x14:formula1>
            <xm:f>'DROP LIST'!$P$16:$P$25</xm:f>
          </x14:formula1>
          <xm:sqref>AI70</xm:sqref>
        </x14:dataValidation>
        <x14:dataValidation type="list" allowBlank="1" showInputMessage="1" showErrorMessage="1" xr:uid="{4BBE2549-A72E-412E-A14B-5D4DF76AA089}">
          <x14:formula1>
            <xm:f>'DROP LIST'!$H$43:$H$46</xm:f>
          </x14:formula1>
          <xm:sqref>S15:S62</xm:sqref>
        </x14:dataValidation>
        <x14:dataValidation type="list" allowBlank="1" showInputMessage="1" showErrorMessage="1" xr:uid="{B8790670-EC41-49B6-B202-258EF808C1DF}">
          <x14:formula1>
            <xm:f>'DROP LIST'!$H$25:$H$36</xm:f>
          </x14:formula1>
          <xm:sqref>Q15:Q62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68FFD-5562-44B3-8B9C-697C72AC4E2D}">
  <sheetPr codeName="Sheet15">
    <tabColor rgb="FF6600CC"/>
  </sheetPr>
  <dimension ref="B1:BX105"/>
  <sheetViews>
    <sheetView topLeftCell="G7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-P.P.- MOT.PLUG IN '!$S$4="INGLES","ITEM","ART.")</f>
        <v>ART.</v>
      </c>
      <c r="C14" s="182" t="str">
        <f>IF('CALC -P.P.- MOT.PLUG IN '!$S$4="INGLES","QTY.","CANT.")</f>
        <v>CANT.</v>
      </c>
      <c r="D14" s="182" t="str">
        <f>IF('CALC -P.P.- MOT.PLUG IN '!$S$4="INGLES","DRAW DIRECTION","DIRECCION DE CORTINA")</f>
        <v>DIRECCION DE CORTINA</v>
      </c>
      <c r="E14" s="182" t="str">
        <f>IF('CALC -P.P.- MOT.PLUG IN '!$S$4="INGLES","DRAPERY STYLE","ESTILO DE CORTINA")</f>
        <v>ESTILO DE CORTINA</v>
      </c>
      <c r="F14" s="182" t="str">
        <f>IF('CALC -P.P.- MOT.PLUG IN '!$S$4="INGLES","DRAPERY TYPE","TIPO DE CORTINA")</f>
        <v>TIPO DE CORTINA</v>
      </c>
      <c r="G14" s="182" t="str">
        <f>IF('CALC -P.P.- MOT.PLUG IN '!$S$4="INGLES","FULLNESS","AMPLITUD")</f>
        <v>AMPLITUD</v>
      </c>
      <c r="H14" s="198" t="str">
        <f>IF('CALC -P.P.- MOT.PLUG IN '!$S$4="INGLES","'STOCK','LINE' or 'C.O.M.'  FABRICS","TELAS 'EN EXISTENCIA', 'POR ORDENAR' ó 'DEL CLIENTE'")</f>
        <v>TELAS 'EN EXISTENCIA', 'POR ORDENAR' ó 'DEL CLIENTE'</v>
      </c>
      <c r="I14" s="182" t="str">
        <f>IF('CALC -P.P.- MOT.PLUG IN '!$S$4="INGLES","FABRIC TYPE","TIPO DE TELA")</f>
        <v>TIPO DE TELA</v>
      </c>
      <c r="J14" s="182" t="str">
        <f>IF('CALC -P.P.- MOT.PLUG IN '!$S$4="INGLES","FABRIC YARDAGE PER QTY. REQUIRED","YARDAGE SEGUN CANTIDAD REQUERIDA")</f>
        <v>YARDAGE SEGUN CANTIDAD REQUERIDA</v>
      </c>
      <c r="K14" s="182" t="str">
        <f>IF('CALC -P.P.- MOT.PLUG IN '!$S$4="INGLES","FABRIC PATTERN AND COLOR NAME","NOMBRE y COLOR DE TELA")</f>
        <v>NOMBRE y COLOR DE TELA</v>
      </c>
      <c r="L14" s="182" t="str">
        <f>IF('CALC -P.P.- MOT.PLUG IN '!$S$4="INGLES","LINING TYPE","TIPO DE LINING")</f>
        <v>TIPO DE LINING</v>
      </c>
      <c r="M14" s="182" t="str">
        <f>IF('CALC -P.P.- MOT.PLUG IN '!$S$4="INGLES","ROOM / AREA NAME","NOMBRE DEL CUARTO ó AREA")</f>
        <v>NOMBRE DEL CUARTO ó AREA</v>
      </c>
      <c r="N14" s="182" t="str">
        <f>IF('CALC -P.P.- MOT.PLUG IN '!$S$4="INGLES","ROD SIZE","ANCHO DE RIEL")</f>
        <v>ANCHO DE RIEL</v>
      </c>
      <c r="O14" s="184" t="str">
        <f>IF('CALC -P.P.- MOT.PLUG IN '!$S$4="INGLES","DRAPERY FINISHED SIZE","ALTURA DE CORTINA")</f>
        <v>ALTURA DE CORTINA</v>
      </c>
      <c r="P14" s="183" t="str">
        <f>IF('CALC -P.P.- MOT.PLUG IN '!$S$4="INGLES","MOUNTING","MONTAJE")</f>
        <v>MONTAJE</v>
      </c>
      <c r="Q14" s="182" t="str">
        <f>IF('CALC -P.P.- MOT.PLUG IN '!$S$4="INGLES","HARDWARE TYPE","TIPO HERRAJE")</f>
        <v>TIPO HERRAJE</v>
      </c>
      <c r="R14" s="185" t="str">
        <f>IF('CALC -P.P.- MOT.PLUG IN '!$S$4="INGLES","HARDWARE COLOR","COLOR HERRAJE")</f>
        <v>COLOR HERRAJE</v>
      </c>
      <c r="S14" s="185" t="str">
        <f>IF('CALC -P.P.- MOT.PLUG IN '!$S$4="INGLES","BATON TYPE (in  the case that applies)","TIPO DE BASTON (en caso de que aplique)")</f>
        <v>TIPO DE BASTON (en caso de que aplique)</v>
      </c>
      <c r="T14" s="183" t="str">
        <f>IF('CALC -P.P.- MOT.PLUG IN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-P.P.- MOT.PLUG IN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-P.P.- MOT.PLUG IN '!$S$4="INGLES","UNIT PRICE.","PRECIO UNITARIO")</f>
        <v>PRECIO UNITARIO</v>
      </c>
      <c r="AI14" s="184" t="str">
        <f>IF('CALC -P.P.- MOT.PLUG IN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-4.6109980489726428E-2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-P.P.- MOT.PLUG IN '!BD15))</f>
        <v>785.86956521739125</v>
      </c>
      <c r="BN15" s="316">
        <f>IF(C15="","",IF(S15="N/A",0,IF(BE15="N/A",0,INDEX('COST - SELL'!$O$70:$S$73,MATCH('CALC -P.P.- MOT.PLUG IN '!S15,'COST - SELL'!$O$70:$O$73,0),MATCH('CALC -P.P.- MOT.PLUG IN 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0.26751880700352837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-P.P.- MOT.PLUG IN '!BD16))</f>
        <v>785.86956521739125</v>
      </c>
      <c r="BN16" s="316">
        <f>IF(C16="","",IF(S16="N/A",0,IF(BE16="N/A",0,INDEX('COST - SELL'!$O$70:$S$73,MATCH('CALC -P.P.- MOT.PLUG IN '!S16,'COST - SELL'!$O$70:$O$73,0),MATCH('CALC -P.P.- MOT.PLUG IN 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3"/>
        <v>785.90000000000009</v>
      </c>
      <c r="AB17" s="560">
        <f>AA17*0.7*0.6*0.6</f>
        <v>198.04679999999999</v>
      </c>
      <c r="AC17" s="568">
        <f>6241.05+518.4</f>
        <v>6759.45</v>
      </c>
      <c r="AD17" s="567">
        <f>AC17/$AD$11</f>
        <v>337.97249999999997</v>
      </c>
      <c r="AE17" s="567">
        <f>AD17*$AE$11</f>
        <v>67.594499999999996</v>
      </c>
      <c r="AF17" s="522">
        <f>AD17-AE17</f>
        <v>270.37799999999999</v>
      </c>
      <c r="AG17" s="572">
        <f>(AF17-AB17)/AF17</f>
        <v>0.26751880700352837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-P.P.- MOT.PLUG IN '!BD17))</f>
        <v>785.86956521739125</v>
      </c>
      <c r="BN17" s="316">
        <f>IF(C17="","",IF(S17="N/A",0,IF(BE17="N/A",0,INDEX('COST - SELL'!$O$70:$S$73,MATCH('CALC -P.P.- MOT.PLUG IN '!S17,'COST - SELL'!$O$70:$O$73,0),MATCH('CALC -P.P.- MOT.PLUG IN 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6241.05+518.4</f>
        <v>6759.45</v>
      </c>
      <c r="AD18" s="567">
        <f>AC18/$AD$11</f>
        <v>337.97249999999997</v>
      </c>
      <c r="AE18" s="567">
        <f>AD18*$AE$11</f>
        <v>67.594499999999996</v>
      </c>
      <c r="AF18" s="522">
        <f>AD18-AE18</f>
        <v>270.37799999999999</v>
      </c>
      <c r="AG18" s="572">
        <f>(AF18-AB18)/AF18</f>
        <v>0.26751880700352837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-P.P.- MOT.PLUG IN '!BD18))</f>
        <v>785.86956521739125</v>
      </c>
      <c r="BN18" s="316">
        <f>IF(C18="","",IF(S18="N/A",0,IF(BE18="N/A",0,INDEX('COST - SELL'!$O$70:$S$73,MATCH('CALC -P.P.- MOT.PLUG IN '!S18,'COST - SELL'!$O$70:$O$73,0),MATCH('CALC -P.P.- MOT.PLUG IN 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6759.45</v>
      </c>
      <c r="AD19" s="567">
        <f>AC19/$AD$11</f>
        <v>337.97249999999997</v>
      </c>
      <c r="AE19" s="567">
        <f>AD19*$AE$11</f>
        <v>67.594499999999996</v>
      </c>
      <c r="AF19" s="522">
        <f>AD19-AE19</f>
        <v>270.37799999999999</v>
      </c>
      <c r="AG19" s="572">
        <f>(AF19-AB19)/AF19</f>
        <v>0.26751880700352837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-P.P.- MOT.PLUG IN '!BD19))</f>
        <v>785.86956521739125</v>
      </c>
      <c r="BN19" s="316">
        <f>IF(C19="","",IF(S19="N/A",0,IF(BE19="N/A",0,INDEX('COST - SELL'!$O$70:$S$73,MATCH('CALC -P.P.- MOT.PLUG IN '!S19,'COST - SELL'!$O$70:$O$73,0),MATCH('CALC -P.P.- MOT.PLUG IN 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6759.45</v>
      </c>
      <c r="AD20" s="567">
        <f>AC20/$AD$11</f>
        <v>337.97249999999997</v>
      </c>
      <c r="AE20" s="567">
        <f>AD20*$AE$11</f>
        <v>67.594499999999996</v>
      </c>
      <c r="AF20" s="522">
        <f>AD20-AE20</f>
        <v>270.37799999999999</v>
      </c>
      <c r="AG20" s="572">
        <f>(AF20-AB20)/AF20</f>
        <v>0.26751880700352837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-P.P.- MOT.PLUG IN '!BD20))</f>
        <v>785.86956521739125</v>
      </c>
      <c r="BN20" s="316">
        <f>IF(C20="","",IF(S20="N/A",0,IF(BE20="N/A",0,INDEX('COST - SELL'!$O$70:$S$73,MATCH('CALC -P.P.- MOT.PLUG IN '!S20,'COST - SELL'!$O$70:$O$73,0),MATCH('CALC -P.P.- MOT.PLUG IN 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-P.P.- MOT.PLUG IN '!BD21))</f>
        <v>1069.655797101449</v>
      </c>
      <c r="BN21" s="316">
        <f>IF(C21="","",IF(S21="N/A",0,IF(BE21="N/A",0,INDEX('COST - SELL'!$O$70:$S$73,MATCH('CALC -P.P.- MOT.PLUG IN '!S21,'COST - SELL'!$O$70:$O$73,0),MATCH('CALC -P.P.- MOT.PLUG IN 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3.6583221467874925E-2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-P.P.- MOT.PLUG IN '!BD22))</f>
        <v>1069.655797101449</v>
      </c>
      <c r="BN22" s="316">
        <f>IF(C22="","",IF(S22="N/A",0,IF(BE22="N/A",0,INDEX('COST - SELL'!$O$70:$S$73,MATCH('CALC -P.P.- MOT.PLUG IN '!S22,'COST - SELL'!$O$70:$O$73,0),MATCH('CALC -P.P.- MOT.PLUG IN 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3"/>
        <v>1069.7</v>
      </c>
      <c r="AB23" s="560">
        <f t="shared" si="34"/>
        <v>269.56439999999998</v>
      </c>
      <c r="AC23" s="568">
        <f>6476.61+518.4</f>
        <v>6995.0099999999993</v>
      </c>
      <c r="AD23" s="567">
        <f>AC23/$AD$11</f>
        <v>349.75049999999999</v>
      </c>
      <c r="AE23" s="567">
        <f>AD23*$AE$11</f>
        <v>69.950100000000006</v>
      </c>
      <c r="AF23" s="522">
        <f>AD23-AE23</f>
        <v>279.80039999999997</v>
      </c>
      <c r="AG23" s="572">
        <f>(AF23-AB23)/AF23</f>
        <v>3.6583221467874925E-2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-P.P.- MOT.PLUG IN '!BD23))</f>
        <v>1069.655797101449</v>
      </c>
      <c r="BN23" s="316">
        <f>IF(C23="","",IF(S23="N/A",0,IF(BE23="N/A",0,INDEX('COST - SELL'!$O$70:$S$73,MATCH('CALC -P.P.- MOT.PLUG IN '!S23,'COST - SELL'!$O$70:$O$73,0),MATCH('CALC -P.P.- MOT.PLUG IN 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6476.61+518.4</f>
        <v>6995.0099999999993</v>
      </c>
      <c r="AD24" s="567">
        <f>AC24/$AD$11</f>
        <v>349.75049999999999</v>
      </c>
      <c r="AE24" s="567">
        <f>AD24*$AE$11</f>
        <v>69.950100000000006</v>
      </c>
      <c r="AF24" s="522">
        <f>AD24-AE24</f>
        <v>279.80039999999997</v>
      </c>
      <c r="AG24" s="572">
        <f>(AF24-AB24)/AF24</f>
        <v>3.6583221467874925E-2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-P.P.- MOT.PLUG IN '!BD24))</f>
        <v>1069.655797101449</v>
      </c>
      <c r="BN24" s="316">
        <f>IF(C24="","",IF(S24="N/A",0,IF(BE24="N/A",0,INDEX('COST - SELL'!$O$70:$S$73,MATCH('CALC -P.P.- MOT.PLUG IN '!S24,'COST - SELL'!$O$70:$O$73,0),MATCH('CALC -P.P.- MOT.PLUG IN 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6995.0099999999993</v>
      </c>
      <c r="AD25" s="567">
        <f>AC25/$AD$11</f>
        <v>349.75049999999999</v>
      </c>
      <c r="AE25" s="567">
        <f>AD25*$AE$11</f>
        <v>69.950100000000006</v>
      </c>
      <c r="AF25" s="522">
        <f>AD25-AE25</f>
        <v>279.80039999999997</v>
      </c>
      <c r="AG25" s="572">
        <f>(AF25-AB25)/AF25</f>
        <v>3.6583221467874925E-2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-P.P.- MOT.PLUG IN '!BD25))</f>
        <v>1069.655797101449</v>
      </c>
      <c r="BN25" s="316">
        <f>IF(C25="","",IF(S25="N/A",0,IF(BE25="N/A",0,INDEX('COST - SELL'!$O$70:$S$73,MATCH('CALC -P.P.- MOT.PLUG IN '!S25,'COST - SELL'!$O$70:$O$73,0),MATCH('CALC -P.P.- MOT.PLUG IN 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6995.0099999999993</v>
      </c>
      <c r="AD26" s="567">
        <f>AC26/$AD$11</f>
        <v>349.75049999999999</v>
      </c>
      <c r="AE26" s="567">
        <f>AD26*$AE$11</f>
        <v>69.950100000000006</v>
      </c>
      <c r="AF26" s="522">
        <f>AD26-AE26</f>
        <v>279.80039999999997</v>
      </c>
      <c r="AG26" s="572">
        <f>(AF26-AB26)/AF26</f>
        <v>3.6583221467874925E-2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-P.P.- MOT.PLUG IN '!BD26))</f>
        <v>1069.655797101449</v>
      </c>
      <c r="BN26" s="316">
        <f>IF(C26="","",IF(S26="N/A",0,IF(BE26="N/A",0,INDEX('COST - SELL'!$O$70:$S$73,MATCH('CALC -P.P.- MOT.PLUG IN '!S26,'COST - SELL'!$O$70:$O$73,0),MATCH('CALC -P.P.- MOT.PLUG IN 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-P.P.- MOT.PLUG IN '!BD27))</f>
        <v>1353.4420289855075</v>
      </c>
      <c r="BN27" s="316">
        <f>IF(C27="","",IF(S27="N/A",0,IF(BE27="N/A",0,INDEX('COST - SELL'!$O$70:$S$73,MATCH('CALC -P.P.- MOT.PLUG IN '!S27,'COST - SELL'!$O$70:$O$73,0),MATCH('CALC -P.P.- MOT.PLUG IN 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-0.1616140493323269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-P.P.- MOT.PLUG IN '!BD28))</f>
        <v>1353.4420289855075</v>
      </c>
      <c r="BN28" s="316">
        <f>IF(C28="","",IF(S28="N/A",0,IF(BE28="N/A",0,INDEX('COST - SELL'!$O$70:$S$73,MATCH('CALC -P.P.- MOT.PLUG IN '!S28,'COST - SELL'!$O$70:$O$73,0),MATCH('CALC -P.P.- MOT.PLUG IN 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3"/>
        <v>1353.45</v>
      </c>
      <c r="AB29" s="560">
        <f t="shared" si="34"/>
        <v>341.06939999999997</v>
      </c>
      <c r="AC29" s="568">
        <f>6822.02+518.4</f>
        <v>7340.42</v>
      </c>
      <c r="AD29" s="567">
        <f>AC29/$AD$11</f>
        <v>367.02100000000002</v>
      </c>
      <c r="AE29" s="567">
        <f>AD29*$AE$11</f>
        <v>73.404200000000003</v>
      </c>
      <c r="AF29" s="522">
        <f>AD29-AE29</f>
        <v>293.61680000000001</v>
      </c>
      <c r="AG29" s="572">
        <f>(AF29-AB29)/AF29</f>
        <v>-0.1616140493323269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-P.P.- MOT.PLUG IN '!BD29))</f>
        <v>1353.4420289855075</v>
      </c>
      <c r="BN29" s="316">
        <f>IF(C29="","",IF(S29="N/A",0,IF(BE29="N/A",0,INDEX('COST - SELL'!$O$70:$S$73,MATCH('CALC -P.P.- MOT.PLUG IN '!S29,'COST - SELL'!$O$70:$O$73,0),MATCH('CALC -P.P.- MOT.PLUG IN 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6822.02+518.4</f>
        <v>7340.42</v>
      </c>
      <c r="AD30" s="567">
        <f>AC30/$AD$11</f>
        <v>367.02100000000002</v>
      </c>
      <c r="AE30" s="567">
        <f>AD30*$AE$11</f>
        <v>73.404200000000003</v>
      </c>
      <c r="AF30" s="522">
        <f>AD30-AE30</f>
        <v>293.61680000000001</v>
      </c>
      <c r="AG30" s="572">
        <f>(AF30-AB30)/AF30</f>
        <v>-0.1616140493323269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-P.P.- MOT.PLUG IN '!BD30))</f>
        <v>1353.4420289855075</v>
      </c>
      <c r="BN30" s="316">
        <f>IF(C30="","",IF(S30="N/A",0,IF(BE30="N/A",0,INDEX('COST - SELL'!$O$70:$S$73,MATCH('CALC -P.P.- MOT.PLUG IN '!S30,'COST - SELL'!$O$70:$O$73,0),MATCH('CALC -P.P.- MOT.PLUG IN 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7340.42</v>
      </c>
      <c r="AD31" s="567">
        <f>AC31/$AD$11</f>
        <v>367.02100000000002</v>
      </c>
      <c r="AE31" s="567">
        <f>AD31*$AE$11</f>
        <v>73.404200000000003</v>
      </c>
      <c r="AF31" s="522">
        <f>AD31-AE31</f>
        <v>293.61680000000001</v>
      </c>
      <c r="AG31" s="572">
        <f>(AF31-AB31)/AF31</f>
        <v>-0.1616140493323269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-P.P.- MOT.PLUG IN '!BD31))</f>
        <v>1353.4420289855075</v>
      </c>
      <c r="BN31" s="316">
        <f>IF(C31="","",IF(S31="N/A",0,IF(BE31="N/A",0,INDEX('COST - SELL'!$O$70:$S$73,MATCH('CALC -P.P.- MOT.PLUG IN '!S31,'COST - SELL'!$O$70:$O$73,0),MATCH('CALC -P.P.- MOT.PLUG IN 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7340.42</v>
      </c>
      <c r="AD32" s="567">
        <f>AC32/$AD$11</f>
        <v>367.02100000000002</v>
      </c>
      <c r="AE32" s="567">
        <f>AD32*$AE$11</f>
        <v>73.404200000000003</v>
      </c>
      <c r="AF32" s="522">
        <f>AD32-AE32</f>
        <v>293.61680000000001</v>
      </c>
      <c r="AG32" s="572">
        <f>(AF32-AB32)/AF32</f>
        <v>-0.1616140493323269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-P.P.- MOT.PLUG IN '!BD32))</f>
        <v>1353.4420289855075</v>
      </c>
      <c r="BN32" s="316">
        <f>IF(C32="","",IF(S32="N/A",0,IF(BE32="N/A",0,INDEX('COST - SELL'!$O$70:$S$73,MATCH('CALC -P.P.- MOT.PLUG IN '!S32,'COST - SELL'!$O$70:$O$73,0),MATCH('CALC -P.P.- MOT.PLUG IN 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-P.P.- MOT.PLUG IN '!BD33))</f>
        <v>1637.228260869565</v>
      </c>
      <c r="BN33" s="316">
        <f>IF(C33="","",IF(S33="N/A",0,IF(BE33="N/A",0,INDEX('COST - SELL'!$O$70:$S$73,MATCH('CALC -P.P.- MOT.PLUG IN '!S33,'COST - SELL'!$O$70:$O$73,0),MATCH('CALC -P.P.- MOT.PLUG IN 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-0.32692790109798214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-P.P.- MOT.PLUG IN '!BD34))</f>
        <v>1637.228260869565</v>
      </c>
      <c r="BN34" s="316">
        <f>IF(C34="","",IF(S34="N/A",0,IF(BE34="N/A",0,INDEX('COST - SELL'!$O$70:$S$73,MATCH('CALC -P.P.- MOT.PLUG IN '!S34,'COST - SELL'!$O$70:$O$73,0),MATCH('CALC -P.P.- MOT.PLUG IN 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3"/>
        <v>1637.25</v>
      </c>
      <c r="AB35" s="560">
        <f t="shared" si="34"/>
        <v>412.58699999999993</v>
      </c>
      <c r="AC35" s="568">
        <f>7254.95+518.4</f>
        <v>7773.3499999999995</v>
      </c>
      <c r="AD35" s="567">
        <f>AC35/$AD$11</f>
        <v>388.66749999999996</v>
      </c>
      <c r="AE35" s="567">
        <f>AD35*$AE$11</f>
        <v>77.733499999999992</v>
      </c>
      <c r="AF35" s="522">
        <f>AD35-AE35</f>
        <v>310.93399999999997</v>
      </c>
      <c r="AG35" s="572">
        <f>(AF35-AB35)/AF35</f>
        <v>-0.32692790109798214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-P.P.- MOT.PLUG IN '!BD35))</f>
        <v>1637.228260869565</v>
      </c>
      <c r="BN35" s="316">
        <f>IF(C35="","",IF(S35="N/A",0,IF(BE35="N/A",0,INDEX('COST - SELL'!$O$70:$S$73,MATCH('CALC -P.P.- MOT.PLUG IN '!S35,'COST - SELL'!$O$70:$O$73,0),MATCH('CALC -P.P.- MOT.PLUG IN 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7254.95+518.4</f>
        <v>7773.3499999999995</v>
      </c>
      <c r="AD36" s="567">
        <f>AC36/$AD$11</f>
        <v>388.66749999999996</v>
      </c>
      <c r="AE36" s="567">
        <f>AD36*$AE$11</f>
        <v>77.733499999999992</v>
      </c>
      <c r="AF36" s="522">
        <f>AD36-AE36</f>
        <v>310.93399999999997</v>
      </c>
      <c r="AG36" s="572">
        <f>(AF36-AB36)/AF36</f>
        <v>-0.32692790109798214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-P.P.- MOT.PLUG IN '!BD36))</f>
        <v>1637.228260869565</v>
      </c>
      <c r="BN36" s="316">
        <f>IF(C36="","",IF(S36="N/A",0,IF(BE36="N/A",0,INDEX('COST - SELL'!$O$70:$S$73,MATCH('CALC -P.P.- MOT.PLUG IN '!S36,'COST - SELL'!$O$70:$O$73,0),MATCH('CALC -P.P.- MOT.PLUG IN 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7773.3499999999995</v>
      </c>
      <c r="AD37" s="567">
        <f>AC37/$AD$11</f>
        <v>388.66749999999996</v>
      </c>
      <c r="AE37" s="567">
        <f>AD37*$AE$11</f>
        <v>77.733499999999992</v>
      </c>
      <c r="AF37" s="522">
        <f>AD37-AE37</f>
        <v>310.93399999999997</v>
      </c>
      <c r="AG37" s="572">
        <f>(AF37-AB37)/AF37</f>
        <v>-0.32692790109798214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-P.P.- MOT.PLUG IN '!BD37))</f>
        <v>1637.228260869565</v>
      </c>
      <c r="BN37" s="316">
        <f>IF(C37="","",IF(S37="N/A",0,IF(BE37="N/A",0,INDEX('COST - SELL'!$O$70:$S$73,MATCH('CALC -P.P.- MOT.PLUG IN '!S37,'COST - SELL'!$O$70:$O$73,0),MATCH('CALC -P.P.- MOT.PLUG IN 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7773.3499999999995</v>
      </c>
      <c r="AD38" s="567">
        <f>AC38/$AD$11</f>
        <v>388.66749999999996</v>
      </c>
      <c r="AE38" s="567">
        <f>AD38*$AE$11</f>
        <v>77.733499999999992</v>
      </c>
      <c r="AF38" s="522">
        <f>AD38-AE38</f>
        <v>310.93399999999997</v>
      </c>
      <c r="AG38" s="572">
        <f>(AF38-AB38)/AF38</f>
        <v>-0.32692790109798214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-P.P.- MOT.PLUG IN '!BD38))</f>
        <v>1637.228260869565</v>
      </c>
      <c r="BN38" s="316">
        <f>IF(C38="","",IF(S38="N/A",0,IF(BE38="N/A",0,INDEX('COST - SELL'!$O$70:$S$73,MATCH('CALC -P.P.- MOT.PLUG IN '!S38,'COST - SELL'!$O$70:$O$73,0),MATCH('CALC -P.P.- MOT.PLUG IN 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-4.6109980489726428E-2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-P.P.- MOT.PLUG IN '!BD39))</f>
        <v>785.86956521739125</v>
      </c>
      <c r="BN39" s="316">
        <f>IF(C39="","",IF(S39="N/A",0,IF(BE39="N/A",0,INDEX('COST - SELL'!$O$70:$S$73,MATCH('CALC -P.P.- MOT.PLUG IN '!S39,'COST - SELL'!$O$70:$O$73,0),MATCH('CALC -P.P.- MOT.PLUG IN 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70">
        <v>3251.56</v>
      </c>
      <c r="W40" s="568"/>
      <c r="X40" s="567"/>
      <c r="Y40" s="522"/>
      <c r="Z40" s="573">
        <f>AVERAGE(Z41:Z44)</f>
        <v>0.16924058000806241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0.26751880700352837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-P.P.- MOT.PLUG IN '!BD40))</f>
        <v>785.86956521739125</v>
      </c>
      <c r="BN40" s="316">
        <f>IF(C40="","",IF(S40="N/A",0,IF(BE40="N/A",0,INDEX('COST - SELL'!$O$70:$S$73,MATCH('CALC -P.P.- MOT.PLUG IN '!S40,'COST - SELL'!$O$70:$O$73,0),MATCH('CALC -P.P.- MOT.PLUG IN 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3"/>
        <v>785.90000000000009</v>
      </c>
      <c r="AB41" s="560">
        <f t="shared" si="34"/>
        <v>198.04679999999999</v>
      </c>
      <c r="AC41" s="568">
        <f>6241.05+518.4</f>
        <v>6759.45</v>
      </c>
      <c r="AD41" s="567">
        <f>AC41/$AD$11</f>
        <v>337.97249999999997</v>
      </c>
      <c r="AE41" s="567">
        <f>AD41*$AE$11</f>
        <v>67.594499999999996</v>
      </c>
      <c r="AF41" s="522">
        <f>AD41-AE41</f>
        <v>270.37799999999999</v>
      </c>
      <c r="AG41" s="572">
        <f>(AF41-AB41)/AF41</f>
        <v>0.26751880700352837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-P.P.- MOT.PLUG IN '!BD41))</f>
        <v>785.86956521739125</v>
      </c>
      <c r="BN41" s="316">
        <f>IF(C41="","",IF(S41="N/A",0,IF(BE41="N/A",0,INDEX('COST - SELL'!$O$70:$S$73,MATCH('CALC -P.P.- MOT.PLUG IN '!S41,'COST - SELL'!$O$70:$O$73,0),MATCH('CALC -P.P.- MOT.PLUG IN 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6241.05+518.4</f>
        <v>6759.45</v>
      </c>
      <c r="AD42" s="567">
        <f>AC42/$AD$11</f>
        <v>337.97249999999997</v>
      </c>
      <c r="AE42" s="567">
        <f>AD42*$AE$11</f>
        <v>67.594499999999996</v>
      </c>
      <c r="AF42" s="522">
        <f>AD42-AE42</f>
        <v>270.37799999999999</v>
      </c>
      <c r="AG42" s="572">
        <f>(AF42-AB42)/AF42</f>
        <v>0.26751880700352837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-P.P.- MOT.PLUG IN '!BD42))</f>
        <v>785.86956521739125</v>
      </c>
      <c r="BN42" s="316">
        <f>IF(C42="","",IF(S42="N/A",0,IF(BE42="N/A",0,INDEX('COST - SELL'!$O$70:$S$73,MATCH('CALC -P.P.- MOT.PLUG IN '!S42,'COST - SELL'!$O$70:$O$73,0),MATCH('CALC -P.P.- MOT.PLUG IN 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6759.45</v>
      </c>
      <c r="AD43" s="567">
        <f>AC43/$AD$11</f>
        <v>337.97249999999997</v>
      </c>
      <c r="AE43" s="567">
        <f>AD43*$AE$11</f>
        <v>67.594499999999996</v>
      </c>
      <c r="AF43" s="522">
        <f>AD43-AE43</f>
        <v>270.37799999999999</v>
      </c>
      <c r="AG43" s="572">
        <f>(AF43-AB43)/AF43</f>
        <v>0.26751880700352837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-P.P.- MOT.PLUG IN '!BD43))</f>
        <v>785.86956521739125</v>
      </c>
      <c r="BN43" s="316">
        <f>IF(C43="","",IF(S43="N/A",0,IF(BE43="N/A",0,INDEX('COST - SELL'!$O$70:$S$73,MATCH('CALC -P.P.- MOT.PLUG IN '!S43,'COST - SELL'!$O$70:$O$73,0),MATCH('CALC -P.P.- MOT.PLUG IN 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6759.45</v>
      </c>
      <c r="AD44" s="567">
        <f>AC44/$AD$11</f>
        <v>337.97249999999997</v>
      </c>
      <c r="AE44" s="567">
        <f>AD44*$AE$11</f>
        <v>67.594499999999996</v>
      </c>
      <c r="AF44" s="522">
        <f>AD44-AE44</f>
        <v>270.37799999999999</v>
      </c>
      <c r="AG44" s="572">
        <f>(AF44-AB44)/AF44</f>
        <v>0.26751880700352837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-P.P.- MOT.PLUG IN '!BD44))</f>
        <v>785.86956521739125</v>
      </c>
      <c r="BN44" s="316">
        <f>IF(C44="","",IF(S44="N/A",0,IF(BE44="N/A",0,INDEX('COST - SELL'!$O$70:$S$73,MATCH('CALC -P.P.- MOT.PLUG IN '!S44,'COST - SELL'!$O$70:$O$73,0),MATCH('CALC -P.P.- MOT.PLUG IN 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-P.P.- MOT.PLUG IN '!BD45))</f>
        <v>1069.655797101449</v>
      </c>
      <c r="BN45" s="316">
        <f>IF(C45="","",IF(S45="N/A",0,IF(BE45="N/A",0,INDEX('COST - SELL'!$O$70:$S$73,MATCH('CALC -P.P.- MOT.PLUG IN '!S45,'COST - SELL'!$O$70:$O$73,0),MATCH('CALC -P.P.- MOT.PLUG IN 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70">
        <v>4056.24</v>
      </c>
      <c r="W46" s="568"/>
      <c r="X46" s="567"/>
      <c r="Y46" s="522"/>
      <c r="Z46" s="573">
        <f>AVERAGE(Z47:Z50)</f>
        <v>0.13094669085281782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3.6583221467874925E-2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-P.P.- MOT.PLUG IN '!BD46))</f>
        <v>1069.655797101449</v>
      </c>
      <c r="BN46" s="316">
        <f>IF(C46="","",IF(S46="N/A",0,IF(BE46="N/A",0,INDEX('COST - SELL'!$O$70:$S$73,MATCH('CALC -P.P.- MOT.PLUG IN '!S46,'COST - SELL'!$O$70:$O$73,0),MATCH('CALC -P.P.- MOT.PLUG IN 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3"/>
        <v>1069.7</v>
      </c>
      <c r="AB47" s="560">
        <f t="shared" si="34"/>
        <v>269.56439999999998</v>
      </c>
      <c r="AC47" s="568">
        <f>6476.61+518.4</f>
        <v>6995.0099999999993</v>
      </c>
      <c r="AD47" s="567">
        <f>AC47/$AD$11</f>
        <v>349.75049999999999</v>
      </c>
      <c r="AE47" s="567">
        <f>AD47*$AE$11</f>
        <v>69.950100000000006</v>
      </c>
      <c r="AF47" s="522">
        <f>AD47-AE47</f>
        <v>279.80039999999997</v>
      </c>
      <c r="AG47" s="572">
        <f>(AF47-AB47)/AF47</f>
        <v>3.6583221467874925E-2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-P.P.- MOT.PLUG IN '!BD47))</f>
        <v>1069.655797101449</v>
      </c>
      <c r="BN47" s="316">
        <f>IF(C47="","",IF(S47="N/A",0,IF(BE47="N/A",0,INDEX('COST - SELL'!$O$70:$S$73,MATCH('CALC -P.P.- MOT.PLUG IN '!S47,'COST - SELL'!$O$70:$O$73,0),MATCH('CALC -P.P.- MOT.PLUG IN 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6476.61+518.4</f>
        <v>6995.0099999999993</v>
      </c>
      <c r="AD48" s="567">
        <f>AC48/$AD$11</f>
        <v>349.75049999999999</v>
      </c>
      <c r="AE48" s="567">
        <f>AD48*$AE$11</f>
        <v>69.950100000000006</v>
      </c>
      <c r="AF48" s="522">
        <f>AD48-AE48</f>
        <v>279.80039999999997</v>
      </c>
      <c r="AG48" s="572">
        <f>(AF48-AB48)/AF48</f>
        <v>3.6583221467874925E-2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-P.P.- MOT.PLUG IN '!BD48))</f>
        <v>1069.655797101449</v>
      </c>
      <c r="BN48" s="316">
        <f>IF(C48="","",IF(S48="N/A",0,IF(BE48="N/A",0,INDEX('COST - SELL'!$O$70:$S$73,MATCH('CALC -P.P.- MOT.PLUG IN '!S48,'COST - SELL'!$O$70:$O$73,0),MATCH('CALC -P.P.- MOT.PLUG IN 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6995.0099999999993</v>
      </c>
      <c r="AD49" s="567">
        <f>AC49/$AD$11</f>
        <v>349.75049999999999</v>
      </c>
      <c r="AE49" s="567">
        <f>AD49*$AE$11</f>
        <v>69.950100000000006</v>
      </c>
      <c r="AF49" s="522">
        <f>AD49-AE49</f>
        <v>279.80039999999997</v>
      </c>
      <c r="AG49" s="572">
        <f>(AF49-AB49)/AF49</f>
        <v>3.6583221467874925E-2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-P.P.- MOT.PLUG IN '!BD49))</f>
        <v>1069.655797101449</v>
      </c>
      <c r="BN49" s="316">
        <f>IF(C49="","",IF(S49="N/A",0,IF(BE49="N/A",0,INDEX('COST - SELL'!$O$70:$S$73,MATCH('CALC -P.P.- MOT.PLUG IN '!S49,'COST - SELL'!$O$70:$O$73,0),MATCH('CALC -P.P.- MOT.PLUG IN 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6995.0099999999993</v>
      </c>
      <c r="AD50" s="567">
        <f>AC50/$AD$11</f>
        <v>349.75049999999999</v>
      </c>
      <c r="AE50" s="567">
        <f>AD50*$AE$11</f>
        <v>69.950100000000006</v>
      </c>
      <c r="AF50" s="522">
        <f>AD50-AE50</f>
        <v>279.80039999999997</v>
      </c>
      <c r="AG50" s="572">
        <f>(AF50-AB50)/AF50</f>
        <v>3.6583221467874925E-2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-P.P.- MOT.PLUG IN '!BD50))</f>
        <v>1069.655797101449</v>
      </c>
      <c r="BN50" s="316">
        <f>IF(C50="","",IF(S50="N/A",0,IF(BE50="N/A",0,INDEX('COST - SELL'!$O$70:$S$73,MATCH('CALC -P.P.- MOT.PLUG IN '!S50,'COST - SELL'!$O$70:$O$73,0),MATCH('CALC -P.P.- MOT.PLUG IN 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-P.P.- MOT.PLUG IN '!BD51))</f>
        <v>1353.4420289855075</v>
      </c>
      <c r="BN51" s="316">
        <f>IF(C51="","",IF(S51="N/A",0,IF(BE51="N/A",0,INDEX('COST - SELL'!$O$70:$S$73,MATCH('CALC -P.P.- MOT.PLUG IN '!S51,'COST - SELL'!$O$70:$O$73,0),MATCH('CALC -P.P.- MOT.PLUG IN 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70">
        <v>4289.87</v>
      </c>
      <c r="W52" s="568"/>
      <c r="X52" s="567"/>
      <c r="Y52" s="522"/>
      <c r="Z52" s="573">
        <f>AVERAGE(Z53:Z56)</f>
        <v>0.10551231757279279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-0.1616140493323269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-P.P.- MOT.PLUG IN '!BD52))</f>
        <v>1353.4420289855075</v>
      </c>
      <c r="BN52" s="316">
        <f>IF(C52="","",IF(S52="N/A",0,IF(BE52="N/A",0,INDEX('COST - SELL'!$O$70:$S$73,MATCH('CALC -P.P.- MOT.PLUG IN '!S52,'COST - SELL'!$O$70:$O$73,0),MATCH('CALC -P.P.- MOT.PLUG IN 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3"/>
        <v>1353.45</v>
      </c>
      <c r="AB53" s="560">
        <f t="shared" si="34"/>
        <v>341.06939999999997</v>
      </c>
      <c r="AC53" s="568">
        <f>6822.02+518.4</f>
        <v>7340.42</v>
      </c>
      <c r="AD53" s="567">
        <f>AC53/$AD$11</f>
        <v>367.02100000000002</v>
      </c>
      <c r="AE53" s="567">
        <f>AD53*$AE$11</f>
        <v>73.404200000000003</v>
      </c>
      <c r="AF53" s="522">
        <f>AD53-AE53</f>
        <v>293.61680000000001</v>
      </c>
      <c r="AG53" s="572">
        <f>(AF53-AB53)/AF53</f>
        <v>-0.1616140493323269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-P.P.- MOT.PLUG IN '!BD53))</f>
        <v>1353.4420289855075</v>
      </c>
      <c r="BN53" s="316">
        <f>IF(C53="","",IF(S53="N/A",0,IF(BE53="N/A",0,INDEX('COST - SELL'!$O$70:$S$73,MATCH('CALC -P.P.- MOT.PLUG IN '!S53,'COST - SELL'!$O$70:$O$73,0),MATCH('CALC -P.P.- MOT.PLUG IN 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6822.02+518.4</f>
        <v>7340.42</v>
      </c>
      <c r="AD54" s="567">
        <f>AC54/$AD$11</f>
        <v>367.02100000000002</v>
      </c>
      <c r="AE54" s="567">
        <f>AD54*$AE$11</f>
        <v>73.404200000000003</v>
      </c>
      <c r="AF54" s="522">
        <f>AD54-AE54</f>
        <v>293.61680000000001</v>
      </c>
      <c r="AG54" s="572">
        <f>(AF54-AB54)/AF54</f>
        <v>-0.1616140493323269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-P.P.- MOT.PLUG IN '!BD54))</f>
        <v>1353.4420289855075</v>
      </c>
      <c r="BN54" s="316">
        <f>IF(C54="","",IF(S54="N/A",0,IF(BE54="N/A",0,INDEX('COST - SELL'!$O$70:$S$73,MATCH('CALC -P.P.- MOT.PLUG IN '!S54,'COST - SELL'!$O$70:$O$73,0),MATCH('CALC -P.P.- MOT.PLUG IN 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7340.42</v>
      </c>
      <c r="AD55" s="567">
        <f>AC55/$AD$11</f>
        <v>367.02100000000002</v>
      </c>
      <c r="AE55" s="567">
        <f>AD55*$AE$11</f>
        <v>73.404200000000003</v>
      </c>
      <c r="AF55" s="522">
        <f>AD55-AE55</f>
        <v>293.61680000000001</v>
      </c>
      <c r="AG55" s="572">
        <f>(AF55-AB55)/AF55</f>
        <v>-0.1616140493323269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-P.P.- MOT.PLUG IN '!BD55))</f>
        <v>1353.4420289855075</v>
      </c>
      <c r="BN55" s="316">
        <f>IF(C55="","",IF(S55="N/A",0,IF(BE55="N/A",0,INDEX('COST - SELL'!$O$70:$S$73,MATCH('CALC -P.P.- MOT.PLUG IN '!S55,'COST - SELL'!$O$70:$O$73,0),MATCH('CALC -P.P.- MOT.PLUG IN 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7340.42</v>
      </c>
      <c r="AD56" s="567">
        <f>AC56/$AD$11</f>
        <v>367.02100000000002</v>
      </c>
      <c r="AE56" s="567">
        <f>AD56*$AE$11</f>
        <v>73.404200000000003</v>
      </c>
      <c r="AF56" s="522">
        <f>AD56-AE56</f>
        <v>293.61680000000001</v>
      </c>
      <c r="AG56" s="572">
        <f>(AF56-AB56)/AF56</f>
        <v>-0.1616140493323269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-P.P.- MOT.PLUG IN '!BD56))</f>
        <v>1353.4420289855075</v>
      </c>
      <c r="BN56" s="316">
        <f>IF(C56="","",IF(S56="N/A",0,IF(BE56="N/A",0,INDEX('COST - SELL'!$O$70:$S$73,MATCH('CALC -P.P.- MOT.PLUG IN '!S56,'COST - SELL'!$O$70:$O$73,0),MATCH('CALC -P.P.- MOT.PLUG IN 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-P.P.- MOT.PLUG IN '!BD57))</f>
        <v>1637.228260869565</v>
      </c>
      <c r="BN57" s="316">
        <f>IF(C57="","",IF(S57="N/A",0,IF(BE57="N/A",0,INDEX('COST - SELL'!$O$70:$S$73,MATCH('CALC -P.P.- MOT.PLUG IN '!S57,'COST - SELL'!$O$70:$O$73,0),MATCH('CALC -P.P.- MOT.PLUG IN 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70">
        <v>5743.5</v>
      </c>
      <c r="W58" s="568"/>
      <c r="X58" s="567"/>
      <c r="Y58" s="522"/>
      <c r="Z58" s="573">
        <f>AVERAGE(Z59:Z62)</f>
        <v>0.10876790235695155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-0.32692790109798214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-P.P.- MOT.PLUG IN '!BD58))</f>
        <v>1637.228260869565</v>
      </c>
      <c r="BN58" s="316">
        <f>IF(C58="","",IF(S58="N/A",0,IF(BE58="N/A",0,INDEX('COST - SELL'!$O$70:$S$73,MATCH('CALC -P.P.- MOT.PLUG IN '!S58,'COST - SELL'!$O$70:$O$73,0),MATCH('CALC -P.P.- MOT.PLUG IN 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3"/>
        <v>1637.25</v>
      </c>
      <c r="AB59" s="560">
        <f t="shared" si="34"/>
        <v>412.58699999999993</v>
      </c>
      <c r="AC59" s="568">
        <f>7254.95+518.4</f>
        <v>7773.3499999999995</v>
      </c>
      <c r="AD59" s="567">
        <f>AC59/$AD$11</f>
        <v>388.66749999999996</v>
      </c>
      <c r="AE59" s="567">
        <f>AD59*$AE$11</f>
        <v>77.733499999999992</v>
      </c>
      <c r="AF59" s="522">
        <f>AD59-AE59</f>
        <v>310.93399999999997</v>
      </c>
      <c r="AG59" s="572">
        <f>(AF59-AB59)/AF59</f>
        <v>-0.32692790109798214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-P.P.- MOT.PLUG IN '!BD59))</f>
        <v>1637.228260869565</v>
      </c>
      <c r="BN59" s="316">
        <f>IF(C59="","",IF(S59="N/A",0,IF(BE59="N/A",0,INDEX('COST - SELL'!$O$70:$S$73,MATCH('CALC -P.P.- MOT.PLUG IN '!S59,'COST - SELL'!$O$70:$O$73,0),MATCH('CALC -P.P.- MOT.PLUG IN 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7254.95+518.4</f>
        <v>7773.3499999999995</v>
      </c>
      <c r="AD60" s="567">
        <f>AC60/$AD$11</f>
        <v>388.66749999999996</v>
      </c>
      <c r="AE60" s="567">
        <f>AD60*$AE$11</f>
        <v>77.733499999999992</v>
      </c>
      <c r="AF60" s="522">
        <f>AD60-AE60</f>
        <v>310.93399999999997</v>
      </c>
      <c r="AG60" s="572">
        <f>(AF60-AB60)/AF60</f>
        <v>-0.32692790109798214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-P.P.- MOT.PLUG IN '!BD60))</f>
        <v>1637.228260869565</v>
      </c>
      <c r="BN60" s="316">
        <f>IF(C60="","",IF(S60="N/A",0,IF(BE60="N/A",0,INDEX('COST - SELL'!$O$70:$S$73,MATCH('CALC -P.P.- MOT.PLUG IN '!S60,'COST - SELL'!$O$70:$O$73,0),MATCH('CALC -P.P.- MOT.PLUG IN 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7773.3499999999995</v>
      </c>
      <c r="AD61" s="567">
        <f>AC61/$AD$11</f>
        <v>388.66749999999996</v>
      </c>
      <c r="AE61" s="567">
        <f>AD61*$AE$11</f>
        <v>77.733499999999992</v>
      </c>
      <c r="AF61" s="522">
        <f>AD61-AE61</f>
        <v>310.93399999999997</v>
      </c>
      <c r="AG61" s="572">
        <f>(AF61-AB61)/AF61</f>
        <v>-0.32692790109798214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-P.P.- MOT.PLUG IN '!BD61))</f>
        <v>1637.228260869565</v>
      </c>
      <c r="BN61" s="316">
        <f>IF(C61="","",IF(S61="N/A",0,IF(BE61="N/A",0,INDEX('COST - SELL'!$O$70:$S$73,MATCH('CALC -P.P.- MOT.PLUG IN '!S61,'COST - SELL'!$O$70:$O$73,0),MATCH('CALC -P.P.- MOT.PLUG IN 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7773.3499999999995</v>
      </c>
      <c r="AD62" s="567">
        <f>AC62/$AD$11</f>
        <v>388.66749999999996</v>
      </c>
      <c r="AE62" s="567">
        <f>AD62*$AE$11</f>
        <v>77.733499999999992</v>
      </c>
      <c r="AF62" s="522">
        <f>AD62-AE62</f>
        <v>310.93399999999997</v>
      </c>
      <c r="AG62" s="572">
        <f>(AF62-AB62)/AF62</f>
        <v>-0.32692790109798214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-P.P.- MOT.PLUG IN '!BD62))</f>
        <v>1637.228260869565</v>
      </c>
      <c r="BN62" s="316">
        <f>IF(C62="","",IF(S62="N/A",0,IF(BE62="N/A",0,INDEX('COST - SELL'!$O$70:$S$73,MATCH('CALC -P.P.- MOT.PLUG IN '!S62,'COST - SELL'!$O$70:$O$73,0),MATCH('CALC -P.P.- MOT.PLUG IN 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-P.P.- MOT.PLUG IN '!S4="INGLES","ITEM","ART.")</f>
        <v>ART.</v>
      </c>
      <c r="C63" s="410" t="str">
        <f>IF('CALC -P.P.- MOT.PLUG IN '!S4="INGLES","QTY.","CANT.")</f>
        <v>CANT.</v>
      </c>
      <c r="D63" s="914" t="str">
        <f>IF('CALC -P.P.- MOT.PLUG IN 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49A52F6B-12B8-45C0-A0DA-98FEF07CB4ED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625C5E6E-8ECD-487F-B2B2-B26F1D8B2655}">
          <x14:formula1>
            <xm:f>'DROP LIST'!$K$7:$K$14</xm:f>
          </x14:formula1>
          <xm:sqref>G15:G62</xm:sqref>
        </x14:dataValidation>
        <x14:dataValidation type="list" allowBlank="1" showInputMessage="1" showErrorMessage="1" xr:uid="{F28D1D44-C142-43FD-8B1C-6A6BDA606FBD}">
          <x14:formula1>
            <xm:f>'DROP LIST'!$B$7:$B$13</xm:f>
          </x14:formula1>
          <xm:sqref>D15:D62</xm:sqref>
        </x14:dataValidation>
        <x14:dataValidation type="list" allowBlank="1" showInputMessage="1" showErrorMessage="1" xr:uid="{A8E0C472-DA5C-4366-8A5B-841E76313727}">
          <x14:formula1>
            <xm:f>'DROP LIST'!$H$7:$H$19</xm:f>
          </x14:formula1>
          <xm:sqref>F15:F62</xm:sqref>
        </x14:dataValidation>
        <x14:dataValidation type="list" allowBlank="1" showInputMessage="1" showErrorMessage="1" xr:uid="{F749024F-8B44-4C50-9931-D2217B9218E5}">
          <x14:formula1>
            <xm:f>'DROP LIST'!$E$7:$E$15</xm:f>
          </x14:formula1>
          <xm:sqref>E15:E62</xm:sqref>
        </x14:dataValidation>
        <x14:dataValidation type="list" allowBlank="1" showInputMessage="1" showErrorMessage="1" xr:uid="{D8C3DD2A-37CE-411B-941F-4CBF2C17BF4A}">
          <x14:formula1>
            <xm:f>'DROP LIST'!$M$7:$M$10</xm:f>
          </x14:formula1>
          <xm:sqref>H15:H62</xm:sqref>
        </x14:dataValidation>
        <x14:dataValidation type="list" allowBlank="1" showInputMessage="1" showErrorMessage="1" xr:uid="{CC1E93BA-E49E-4E96-8FEC-80792C86AC55}">
          <x14:formula1>
            <xm:f>'DROP LIST'!$B$25:$B$31</xm:f>
          </x14:formula1>
          <xm:sqref>L15:L62</xm:sqref>
        </x14:dataValidation>
        <x14:dataValidation type="list" allowBlank="1" showInputMessage="1" showErrorMessage="1" xr:uid="{69539306-9810-46D6-99F0-1DEAE75C9F7D}">
          <x14:formula1>
            <xm:f>'DROP LIST'!$E$25:$E$27</xm:f>
          </x14:formula1>
          <xm:sqref>P15:P62</xm:sqref>
        </x14:dataValidation>
        <x14:dataValidation type="list" allowBlank="1" showInputMessage="1" showErrorMessage="1" xr:uid="{EE80E279-7C52-4C72-B904-10CB223111CE}">
          <x14:formula1>
            <xm:f>'DROP LIST'!$P$7:$P$8</xm:f>
          </x14:formula1>
          <xm:sqref>S4</xm:sqref>
        </x14:dataValidation>
        <x14:dataValidation type="list" allowBlank="1" showInputMessage="1" showErrorMessage="1" xr:uid="{8A7D573A-9AA3-4F66-B179-E02A95ADB045}">
          <x14:formula1>
            <xm:f>'DROP LIST'!$M$15:$M$35</xm:f>
          </x14:formula1>
          <xm:sqref>I15:I62</xm:sqref>
        </x14:dataValidation>
        <x14:dataValidation type="list" allowBlank="1" showInputMessage="1" showErrorMessage="1" xr:uid="{303E0DF9-A6E3-40AA-BE23-16F3B65A6429}">
          <x14:formula1>
            <xm:f>'DROP LIST'!$P$11:$P$12</xm:f>
          </x14:formula1>
          <xm:sqref>AA4:AG4</xm:sqref>
        </x14:dataValidation>
        <x14:dataValidation type="list" allowBlank="1" showInputMessage="1" showErrorMessage="1" xr:uid="{5441C226-CB22-47CE-ADE7-9932A5E770B5}">
          <x14:formula1>
            <xm:f>'DROP LIST'!$P$16:$P$25</xm:f>
          </x14:formula1>
          <xm:sqref>AI70</xm:sqref>
        </x14:dataValidation>
        <x14:dataValidation type="list" allowBlank="1" showInputMessage="1" showErrorMessage="1" xr:uid="{C307DF57-9B94-4A54-A5E7-2408F1AF8A09}">
          <x14:formula1>
            <xm:f>'DROP LIST'!$H$43:$H$46</xm:f>
          </x14:formula1>
          <xm:sqref>S15:S62</xm:sqref>
        </x14:dataValidation>
        <x14:dataValidation type="list" allowBlank="1" showInputMessage="1" showErrorMessage="1" xr:uid="{6B0CD94F-AB1E-45E4-8B53-01B31A6E98FF}">
          <x14:formula1>
            <xm:f>'DROP LIST'!$H$25:$H$36</xm:f>
          </x14:formula1>
          <xm:sqref>Q15:Q62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6">
    <tabColor theme="0" tint="-0.14999847407452621"/>
  </sheetPr>
  <dimension ref="A1:Z130"/>
  <sheetViews>
    <sheetView topLeftCell="AA101" workbookViewId="0">
      <selection activeCell="AA101" sqref="AA101"/>
    </sheetView>
  </sheetViews>
  <sheetFormatPr defaultColWidth="10.28515625" defaultRowHeight="12.75" x14ac:dyDescent="0.25"/>
  <cols>
    <col min="1" max="1" width="10.28515625" style="697" hidden="1" customWidth="1"/>
    <col min="2" max="2" width="23" style="697" hidden="1" customWidth="1"/>
    <col min="3" max="3" width="22" style="697" hidden="1" customWidth="1"/>
    <col min="4" max="4" width="51.28515625" style="697" hidden="1" customWidth="1"/>
    <col min="5" max="5" width="34.42578125" style="697" hidden="1" customWidth="1"/>
    <col min="6" max="6" width="18.42578125" style="697" hidden="1" customWidth="1"/>
    <col min="7" max="7" width="31.140625" style="697" hidden="1" customWidth="1"/>
    <col min="8" max="8" width="13.7109375" style="697" hidden="1" customWidth="1"/>
    <col min="9" max="9" width="13" style="697" hidden="1" customWidth="1"/>
    <col min="10" max="15" width="9.42578125" style="697" hidden="1" customWidth="1"/>
    <col min="16" max="16" width="14.28515625" style="700" hidden="1" customWidth="1"/>
    <col min="17" max="20" width="10.28515625" style="697" hidden="1" customWidth="1"/>
    <col min="21" max="26" width="10.28515625" style="701" hidden="1" customWidth="1"/>
    <col min="27" max="16384" width="10.28515625" style="701"/>
  </cols>
  <sheetData>
    <row r="1" spans="1:21" ht="15.75" hidden="1" customHeight="1" x14ac:dyDescent="0.25">
      <c r="B1" s="698" t="s">
        <v>344</v>
      </c>
      <c r="C1" s="698" t="s">
        <v>345</v>
      </c>
      <c r="D1" s="699" t="s">
        <v>346</v>
      </c>
      <c r="E1" s="699"/>
      <c r="L1" s="697">
        <v>20</v>
      </c>
      <c r="N1" s="697">
        <v>70</v>
      </c>
      <c r="O1" s="697">
        <v>180</v>
      </c>
    </row>
    <row r="2" spans="1:21" ht="15.75" hidden="1" customHeight="1" thickBot="1" x14ac:dyDescent="0.3">
      <c r="B2" s="702" t="s">
        <v>347</v>
      </c>
      <c r="C2" s="703">
        <v>44545</v>
      </c>
    </row>
    <row r="3" spans="1:21" ht="15.75" hidden="1" customHeight="1" thickBot="1" x14ac:dyDescent="0.3">
      <c r="Q3" s="971" t="s">
        <v>348</v>
      </c>
      <c r="R3" s="972"/>
      <c r="S3" s="972"/>
      <c r="T3" s="973"/>
    </row>
    <row r="4" spans="1:21" s="712" customFormat="1" ht="45" hidden="1" customHeight="1" thickBot="1" x14ac:dyDescent="0.3">
      <c r="A4" s="698"/>
      <c r="B4" s="704" t="s">
        <v>349</v>
      </c>
      <c r="C4" s="705" t="s">
        <v>350</v>
      </c>
      <c r="D4" s="705" t="s">
        <v>351</v>
      </c>
      <c r="E4" s="706" t="s">
        <v>660</v>
      </c>
      <c r="F4" s="705" t="s">
        <v>126</v>
      </c>
      <c r="G4" s="705" t="s">
        <v>352</v>
      </c>
      <c r="H4" s="705" t="s">
        <v>353</v>
      </c>
      <c r="I4" s="705" t="s">
        <v>354</v>
      </c>
      <c r="J4" s="707" t="s">
        <v>355</v>
      </c>
      <c r="K4" s="707" t="s">
        <v>356</v>
      </c>
      <c r="L4" s="707" t="s">
        <v>357</v>
      </c>
      <c r="M4" s="707" t="s">
        <v>358</v>
      </c>
      <c r="N4" s="708" t="s">
        <v>359</v>
      </c>
      <c r="O4" s="707" t="s">
        <v>360</v>
      </c>
      <c r="P4" s="709" t="s">
        <v>361</v>
      </c>
      <c r="Q4" s="710">
        <v>0.3</v>
      </c>
      <c r="R4" s="710">
        <v>0.35</v>
      </c>
      <c r="S4" s="710">
        <v>0.4</v>
      </c>
      <c r="T4" s="711">
        <v>0.45</v>
      </c>
    </row>
    <row r="5" spans="1:21" s="712" customFormat="1" ht="27.95" hidden="1" customHeight="1" x14ac:dyDescent="0.25">
      <c r="A5" s="697">
        <v>1</v>
      </c>
      <c r="B5" s="713" t="s">
        <v>362</v>
      </c>
      <c r="C5" s="714" t="s">
        <v>366</v>
      </c>
      <c r="D5" s="714" t="s">
        <v>367</v>
      </c>
      <c r="E5" s="714" t="s">
        <v>685</v>
      </c>
      <c r="F5" s="714" t="s">
        <v>368</v>
      </c>
      <c r="G5" s="714" t="s">
        <v>365</v>
      </c>
      <c r="H5" s="714">
        <v>3.05</v>
      </c>
      <c r="I5" s="714">
        <v>120</v>
      </c>
      <c r="J5" s="715"/>
      <c r="K5" s="715">
        <v>245.75229357798165</v>
      </c>
      <c r="L5" s="715">
        <v>12.287614678899082</v>
      </c>
      <c r="M5" s="714">
        <v>50</v>
      </c>
      <c r="N5" s="716">
        <v>8.6013302752293583</v>
      </c>
      <c r="O5" s="715">
        <v>0.18</v>
      </c>
      <c r="P5" s="717">
        <v>8.7813302752293581</v>
      </c>
      <c r="Q5" s="718">
        <v>12.54475753604194</v>
      </c>
      <c r="R5" s="718">
        <v>13.509738884968243</v>
      </c>
      <c r="S5" s="718">
        <v>14.635550458715597</v>
      </c>
      <c r="T5" s="719">
        <v>15.966055045871558</v>
      </c>
      <c r="U5" s="701"/>
    </row>
    <row r="6" spans="1:21" ht="27.95" hidden="1" customHeight="1" x14ac:dyDescent="0.25">
      <c r="A6" s="697">
        <v>2</v>
      </c>
      <c r="B6" s="720" t="s">
        <v>362</v>
      </c>
      <c r="C6" s="721" t="s">
        <v>387</v>
      </c>
      <c r="D6" s="721" t="s">
        <v>388</v>
      </c>
      <c r="E6" s="721" t="s">
        <v>687</v>
      </c>
      <c r="F6" s="721" t="s">
        <v>389</v>
      </c>
      <c r="G6" s="722" t="s">
        <v>386</v>
      </c>
      <c r="H6" s="721">
        <v>3</v>
      </c>
      <c r="I6" s="721">
        <v>118</v>
      </c>
      <c r="J6" s="723"/>
      <c r="K6" s="723">
        <v>306.46788990825689</v>
      </c>
      <c r="L6" s="723">
        <v>15.323394495412845</v>
      </c>
      <c r="M6" s="721">
        <v>50</v>
      </c>
      <c r="N6" s="724">
        <v>10.726376146788992</v>
      </c>
      <c r="O6" s="723">
        <v>0.18</v>
      </c>
      <c r="P6" s="725">
        <v>10.906376146788991</v>
      </c>
      <c r="Q6" s="726">
        <v>15.580537352555703</v>
      </c>
      <c r="R6" s="726">
        <v>16.779040225829217</v>
      </c>
      <c r="S6" s="726">
        <v>18.177293577981654</v>
      </c>
      <c r="T6" s="727">
        <v>19.829774812343619</v>
      </c>
    </row>
    <row r="7" spans="1:21" ht="27.95" hidden="1" customHeight="1" x14ac:dyDescent="0.25">
      <c r="A7" s="697">
        <v>3</v>
      </c>
      <c r="B7" s="720" t="s">
        <v>362</v>
      </c>
      <c r="C7" s="721" t="s">
        <v>397</v>
      </c>
      <c r="D7" s="721" t="s">
        <v>398</v>
      </c>
      <c r="E7" s="721" t="s">
        <v>688</v>
      </c>
      <c r="F7" s="721" t="s">
        <v>374</v>
      </c>
      <c r="G7" s="722" t="s">
        <v>365</v>
      </c>
      <c r="H7" s="721">
        <v>3</v>
      </c>
      <c r="I7" s="721">
        <v>118</v>
      </c>
      <c r="J7" s="723"/>
      <c r="K7" s="723">
        <v>340.52293577981652</v>
      </c>
      <c r="L7" s="723">
        <v>17.026146788990825</v>
      </c>
      <c r="M7" s="721">
        <v>50</v>
      </c>
      <c r="N7" s="724">
        <v>11.918302752293577</v>
      </c>
      <c r="O7" s="723">
        <v>0.18</v>
      </c>
      <c r="P7" s="725">
        <v>12.098302752293577</v>
      </c>
      <c r="Q7" s="726">
        <v>17.283289646133682</v>
      </c>
      <c r="R7" s="726">
        <v>18.61277346506704</v>
      </c>
      <c r="S7" s="726">
        <v>20.163837920489296</v>
      </c>
      <c r="T7" s="727">
        <v>21.99691409507923</v>
      </c>
    </row>
    <row r="8" spans="1:21" ht="27.95" hidden="1" customHeight="1" x14ac:dyDescent="0.25">
      <c r="A8" s="697">
        <v>4</v>
      </c>
      <c r="B8" s="720" t="s">
        <v>362</v>
      </c>
      <c r="C8" s="721" t="s">
        <v>408</v>
      </c>
      <c r="D8" s="721" t="s">
        <v>409</v>
      </c>
      <c r="E8" s="721" t="s">
        <v>684</v>
      </c>
      <c r="F8" s="721" t="s">
        <v>410</v>
      </c>
      <c r="G8" s="722" t="s">
        <v>365</v>
      </c>
      <c r="H8" s="721">
        <v>3</v>
      </c>
      <c r="I8" s="721">
        <v>118</v>
      </c>
      <c r="J8" s="723"/>
      <c r="K8" s="723">
        <v>244.55963302752292</v>
      </c>
      <c r="L8" s="723">
        <v>12.227981651376146</v>
      </c>
      <c r="M8" s="721">
        <v>50</v>
      </c>
      <c r="N8" s="724">
        <v>8.5595871559633014</v>
      </c>
      <c r="O8" s="723">
        <v>0.18</v>
      </c>
      <c r="P8" s="725">
        <v>8.7395871559633012</v>
      </c>
      <c r="Q8" s="726">
        <v>12.485124508519002</v>
      </c>
      <c r="R8" s="726">
        <v>13.445518701482001</v>
      </c>
      <c r="S8" s="726">
        <v>14.565978593272169</v>
      </c>
      <c r="T8" s="727">
        <v>15.890158465387819</v>
      </c>
    </row>
    <row r="9" spans="1:21" ht="27.95" hidden="1" customHeight="1" x14ac:dyDescent="0.25">
      <c r="A9" s="697">
        <v>5</v>
      </c>
      <c r="B9" s="720" t="s">
        <v>362</v>
      </c>
      <c r="C9" s="721" t="s">
        <v>439</v>
      </c>
      <c r="D9" s="721" t="s">
        <v>440</v>
      </c>
      <c r="E9" s="721" t="s">
        <v>680</v>
      </c>
      <c r="F9" s="721" t="s">
        <v>425</v>
      </c>
      <c r="G9" s="722" t="s">
        <v>365</v>
      </c>
      <c r="H9" s="721">
        <v>3.2</v>
      </c>
      <c r="I9" s="721">
        <v>126</v>
      </c>
      <c r="J9" s="723"/>
      <c r="K9" s="723">
        <v>191.62385321100916</v>
      </c>
      <c r="L9" s="723">
        <v>9.5811926605504585</v>
      </c>
      <c r="M9" s="721">
        <v>50</v>
      </c>
      <c r="N9" s="724">
        <v>6.7068348623853202</v>
      </c>
      <c r="O9" s="723">
        <v>0.18</v>
      </c>
      <c r="P9" s="725">
        <v>6.8868348623853199</v>
      </c>
      <c r="Q9" s="726">
        <v>9.8383355176933147</v>
      </c>
      <c r="R9" s="726">
        <v>10.595130557515876</v>
      </c>
      <c r="S9" s="726">
        <v>11.478058103975533</v>
      </c>
      <c r="T9" s="727">
        <v>12.521517931609672</v>
      </c>
    </row>
    <row r="10" spans="1:21" ht="27.95" hidden="1" customHeight="1" x14ac:dyDescent="0.25">
      <c r="A10" s="697">
        <v>6</v>
      </c>
      <c r="B10" s="720" t="s">
        <v>362</v>
      </c>
      <c r="C10" s="721" t="s">
        <v>458</v>
      </c>
      <c r="D10" s="721" t="s">
        <v>459</v>
      </c>
      <c r="E10" s="721" t="s">
        <v>679</v>
      </c>
      <c r="F10" s="721" t="s">
        <v>460</v>
      </c>
      <c r="G10" s="722" t="s">
        <v>365</v>
      </c>
      <c r="H10" s="721">
        <v>3.05</v>
      </c>
      <c r="I10" s="721">
        <v>120</v>
      </c>
      <c r="J10" s="723"/>
      <c r="K10" s="723">
        <v>168.15596330275227</v>
      </c>
      <c r="L10" s="723">
        <v>8.4077981651376135</v>
      </c>
      <c r="M10" s="721">
        <v>50</v>
      </c>
      <c r="N10" s="724">
        <v>5.8854587155963296</v>
      </c>
      <c r="O10" s="723">
        <v>0.18</v>
      </c>
      <c r="P10" s="725">
        <v>6.0654587155963293</v>
      </c>
      <c r="Q10" s="726">
        <v>8.6649410222804715</v>
      </c>
      <c r="R10" s="726">
        <v>9.3314749470712748</v>
      </c>
      <c r="S10" s="726">
        <v>10.109097859327216</v>
      </c>
      <c r="T10" s="727">
        <v>11.028106755629688</v>
      </c>
    </row>
    <row r="11" spans="1:21" ht="27.95" hidden="1" customHeight="1" thickBot="1" x14ac:dyDescent="0.3">
      <c r="A11" s="697">
        <v>7</v>
      </c>
      <c r="B11" s="728" t="s">
        <v>362</v>
      </c>
      <c r="C11" s="729" t="s">
        <v>557</v>
      </c>
      <c r="D11" s="729" t="s">
        <v>558</v>
      </c>
      <c r="E11" s="729" t="s">
        <v>690</v>
      </c>
      <c r="F11" s="729" t="s">
        <v>445</v>
      </c>
      <c r="G11" s="729" t="s">
        <v>365</v>
      </c>
      <c r="H11" s="729">
        <v>3.2</v>
      </c>
      <c r="I11" s="729">
        <v>126</v>
      </c>
      <c r="J11" s="730"/>
      <c r="K11" s="730">
        <v>364.09174311926603</v>
      </c>
      <c r="L11" s="730">
        <v>18.204587155963303</v>
      </c>
      <c r="M11" s="729">
        <v>50</v>
      </c>
      <c r="N11" s="731">
        <v>12.743211009174313</v>
      </c>
      <c r="O11" s="730">
        <v>0.18</v>
      </c>
      <c r="P11" s="732">
        <v>12.923211009174313</v>
      </c>
      <c r="Q11" s="733">
        <v>18.461730013106163</v>
      </c>
      <c r="R11" s="733">
        <v>19.881863091037403</v>
      </c>
      <c r="S11" s="733">
        <v>21.538685015290522</v>
      </c>
      <c r="T11" s="734">
        <v>23.496747289407839</v>
      </c>
    </row>
    <row r="12" spans="1:21" s="712" customFormat="1" ht="27.95" hidden="1" customHeight="1" x14ac:dyDescent="0.25">
      <c r="A12" s="697">
        <v>8</v>
      </c>
      <c r="B12" s="713" t="s">
        <v>362</v>
      </c>
      <c r="C12" s="714" t="s">
        <v>593</v>
      </c>
      <c r="D12" s="714" t="s">
        <v>594</v>
      </c>
      <c r="E12" s="714" t="s">
        <v>686</v>
      </c>
      <c r="F12" s="714" t="s">
        <v>595</v>
      </c>
      <c r="G12" s="714" t="s">
        <v>365</v>
      </c>
      <c r="H12" s="714">
        <v>3</v>
      </c>
      <c r="I12" s="714">
        <v>118</v>
      </c>
      <c r="J12" s="715"/>
      <c r="K12" s="715">
        <v>255.8440366972477</v>
      </c>
      <c r="L12" s="715">
        <v>12.792201834862386</v>
      </c>
      <c r="M12" s="714">
        <v>50</v>
      </c>
      <c r="N12" s="716">
        <v>8.9545412844036694</v>
      </c>
      <c r="O12" s="715">
        <v>0.18</v>
      </c>
      <c r="P12" s="717">
        <v>9.1345412844036691</v>
      </c>
      <c r="Q12" s="735">
        <v>13.049344692005242</v>
      </c>
      <c r="R12" s="735">
        <v>14.053140437544105</v>
      </c>
      <c r="S12" s="735">
        <v>15.224235474006116</v>
      </c>
      <c r="T12" s="736">
        <v>16.608256880733943</v>
      </c>
      <c r="U12" s="701"/>
    </row>
    <row r="13" spans="1:21" ht="27.95" hidden="1" customHeight="1" x14ac:dyDescent="0.25">
      <c r="A13" s="697">
        <v>9</v>
      </c>
      <c r="B13" s="720" t="s">
        <v>362</v>
      </c>
      <c r="C13" s="721" t="s">
        <v>621</v>
      </c>
      <c r="D13" s="721" t="s">
        <v>622</v>
      </c>
      <c r="E13" s="721" t="s">
        <v>678</v>
      </c>
      <c r="F13" s="721" t="s">
        <v>453</v>
      </c>
      <c r="G13" s="721" t="s">
        <v>365</v>
      </c>
      <c r="H13" s="721">
        <v>3.05</v>
      </c>
      <c r="I13" s="721">
        <v>120</v>
      </c>
      <c r="J13" s="723"/>
      <c r="K13" s="723">
        <v>165.46788990825689</v>
      </c>
      <c r="L13" s="723">
        <v>8.2733944954128447</v>
      </c>
      <c r="M13" s="721">
        <v>50</v>
      </c>
      <c r="N13" s="724">
        <v>5.7913761467889913</v>
      </c>
      <c r="O13" s="723">
        <v>0.18</v>
      </c>
      <c r="P13" s="725">
        <v>5.971376146788991</v>
      </c>
      <c r="Q13" s="726">
        <v>8.5305373525557027</v>
      </c>
      <c r="R13" s="726">
        <v>9.1867325335215249</v>
      </c>
      <c r="S13" s="726">
        <v>9.9522935779816528</v>
      </c>
      <c r="T13" s="727">
        <v>10.857047539616346</v>
      </c>
    </row>
    <row r="14" spans="1:21" ht="27.95" hidden="1" customHeight="1" x14ac:dyDescent="0.25">
      <c r="A14" s="697">
        <v>10</v>
      </c>
      <c r="B14" s="720" t="s">
        <v>362</v>
      </c>
      <c r="C14" s="721" t="s">
        <v>625</v>
      </c>
      <c r="D14" s="721" t="s">
        <v>627</v>
      </c>
      <c r="E14" s="721" t="s">
        <v>683</v>
      </c>
      <c r="F14" s="721" t="s">
        <v>453</v>
      </c>
      <c r="G14" s="721" t="s">
        <v>365</v>
      </c>
      <c r="H14" s="721">
        <v>3.05</v>
      </c>
      <c r="I14" s="721">
        <v>120</v>
      </c>
      <c r="J14" s="723"/>
      <c r="K14" s="723">
        <v>221.74311926605503</v>
      </c>
      <c r="L14" s="723">
        <v>11.087155963302752</v>
      </c>
      <c r="M14" s="721">
        <v>50</v>
      </c>
      <c r="N14" s="724">
        <v>7.7610091743119263</v>
      </c>
      <c r="O14" s="723">
        <v>0.18</v>
      </c>
      <c r="P14" s="725">
        <v>7.941009174311926</v>
      </c>
      <c r="Q14" s="726">
        <v>11.344298820445609</v>
      </c>
      <c r="R14" s="726">
        <v>12.216937191249116</v>
      </c>
      <c r="S14" s="726">
        <v>13.235015290519877</v>
      </c>
      <c r="T14" s="727">
        <v>14.438198498748955</v>
      </c>
    </row>
    <row r="15" spans="1:21" ht="27.95" hidden="1" customHeight="1" thickBot="1" x14ac:dyDescent="0.3">
      <c r="A15" s="697">
        <v>11</v>
      </c>
      <c r="B15" s="728" t="s">
        <v>362</v>
      </c>
      <c r="C15" s="729" t="s">
        <v>633</v>
      </c>
      <c r="D15" s="729" t="s">
        <v>634</v>
      </c>
      <c r="E15" s="729" t="s">
        <v>681</v>
      </c>
      <c r="F15" s="729" t="s">
        <v>377</v>
      </c>
      <c r="G15" s="729" t="s">
        <v>365</v>
      </c>
      <c r="H15" s="729">
        <v>3.05</v>
      </c>
      <c r="I15" s="729">
        <v>120</v>
      </c>
      <c r="J15" s="730"/>
      <c r="K15" s="730">
        <v>194.59633027522935</v>
      </c>
      <c r="L15" s="730">
        <v>9.7298165137614667</v>
      </c>
      <c r="M15" s="729">
        <v>50</v>
      </c>
      <c r="N15" s="731">
        <v>6.8108715596330258</v>
      </c>
      <c r="O15" s="730">
        <v>0.18</v>
      </c>
      <c r="P15" s="732">
        <v>6.9908715596330255</v>
      </c>
      <c r="Q15" s="733">
        <v>9.986959370904323</v>
      </c>
      <c r="R15" s="733">
        <v>10.75518701482004</v>
      </c>
      <c r="S15" s="733">
        <v>11.651452599388376</v>
      </c>
      <c r="T15" s="734">
        <v>12.710675562969136</v>
      </c>
    </row>
    <row r="16" spans="1:21" s="712" customFormat="1" ht="27.95" hidden="1" customHeight="1" x14ac:dyDescent="0.25">
      <c r="A16" s="697">
        <v>12</v>
      </c>
      <c r="B16" s="713" t="s">
        <v>362</v>
      </c>
      <c r="C16" s="714" t="s">
        <v>646</v>
      </c>
      <c r="D16" s="714" t="s">
        <v>647</v>
      </c>
      <c r="E16" s="714" t="s">
        <v>682</v>
      </c>
      <c r="F16" s="714" t="s">
        <v>576</v>
      </c>
      <c r="G16" s="714" t="s">
        <v>645</v>
      </c>
      <c r="H16" s="714">
        <v>3.2</v>
      </c>
      <c r="I16" s="714">
        <v>126</v>
      </c>
      <c r="J16" s="715"/>
      <c r="K16" s="715">
        <v>214.80733944954125</v>
      </c>
      <c r="L16" s="715">
        <v>10.740366972477062</v>
      </c>
      <c r="M16" s="714">
        <v>50</v>
      </c>
      <c r="N16" s="716">
        <v>7.5182568807339427</v>
      </c>
      <c r="O16" s="715">
        <v>0.18</v>
      </c>
      <c r="P16" s="717">
        <v>7.6982568807339424</v>
      </c>
      <c r="Q16" s="735">
        <v>10.997509829619919</v>
      </c>
      <c r="R16" s="735">
        <v>11.843472124206064</v>
      </c>
      <c r="S16" s="735">
        <v>12.830428134556572</v>
      </c>
      <c r="T16" s="736">
        <v>13.996830692243531</v>
      </c>
      <c r="U16" s="701"/>
    </row>
    <row r="17" spans="1:21" ht="27.95" hidden="1" customHeight="1" x14ac:dyDescent="0.25">
      <c r="A17" s="697" t="s">
        <v>655</v>
      </c>
      <c r="B17" s="737" t="s">
        <v>659</v>
      </c>
      <c r="C17" s="738" t="s">
        <v>491</v>
      </c>
      <c r="D17" s="738" t="s">
        <v>492</v>
      </c>
      <c r="E17" s="738" t="s">
        <v>674</v>
      </c>
      <c r="F17" s="738" t="s">
        <v>448</v>
      </c>
      <c r="G17" s="739" t="s">
        <v>490</v>
      </c>
      <c r="H17" s="738">
        <v>3</v>
      </c>
      <c r="I17" s="738">
        <v>118</v>
      </c>
      <c r="J17" s="740"/>
      <c r="K17" s="740">
        <v>241.29357798165134</v>
      </c>
      <c r="L17" s="740">
        <v>12.064678899082567</v>
      </c>
      <c r="M17" s="738">
        <v>30</v>
      </c>
      <c r="N17" s="741">
        <v>8.4452752293577973</v>
      </c>
      <c r="O17" s="740">
        <v>0.3</v>
      </c>
      <c r="P17" s="725">
        <v>8.745275229357798</v>
      </c>
      <c r="Q17" s="726">
        <v>12.493250327653998</v>
      </c>
      <c r="R17" s="726">
        <v>13.454269583627381</v>
      </c>
      <c r="S17" s="726">
        <v>14.57545871559633</v>
      </c>
      <c r="T17" s="727">
        <v>15.900500417014177</v>
      </c>
    </row>
    <row r="18" spans="1:21" ht="27.95" hidden="1" customHeight="1" x14ac:dyDescent="0.25">
      <c r="A18" s="697" t="s">
        <v>656</v>
      </c>
      <c r="B18" s="737" t="s">
        <v>659</v>
      </c>
      <c r="C18" s="738" t="s">
        <v>510</v>
      </c>
      <c r="D18" s="738" t="s">
        <v>511</v>
      </c>
      <c r="E18" s="738" t="s">
        <v>676</v>
      </c>
      <c r="F18" s="738" t="s">
        <v>413</v>
      </c>
      <c r="G18" s="739" t="s">
        <v>490</v>
      </c>
      <c r="H18" s="738">
        <v>2.8</v>
      </c>
      <c r="I18" s="738">
        <v>110</v>
      </c>
      <c r="J18" s="740"/>
      <c r="K18" s="740">
        <v>394.85321100917429</v>
      </c>
      <c r="L18" s="740">
        <v>19.742660550458716</v>
      </c>
      <c r="M18" s="738">
        <v>30</v>
      </c>
      <c r="N18" s="741">
        <v>13.8198623853211</v>
      </c>
      <c r="O18" s="740">
        <v>0.3</v>
      </c>
      <c r="P18" s="725">
        <v>14.119862385321101</v>
      </c>
      <c r="Q18" s="726">
        <v>20.171231979030146</v>
      </c>
      <c r="R18" s="726">
        <v>21.72286520818631</v>
      </c>
      <c r="S18" s="726">
        <v>23.53310397553517</v>
      </c>
      <c r="T18" s="727">
        <v>25.672477064220182</v>
      </c>
    </row>
    <row r="19" spans="1:21" ht="27.95" hidden="1" customHeight="1" thickBot="1" x14ac:dyDescent="0.3">
      <c r="A19" s="697" t="s">
        <v>657</v>
      </c>
      <c r="B19" s="737" t="s">
        <v>659</v>
      </c>
      <c r="C19" s="738" t="s">
        <v>522</v>
      </c>
      <c r="D19" s="738" t="s">
        <v>523</v>
      </c>
      <c r="E19" s="738" t="s">
        <v>677</v>
      </c>
      <c r="F19" s="738" t="s">
        <v>377</v>
      </c>
      <c r="G19" s="739" t="s">
        <v>521</v>
      </c>
      <c r="H19" s="738">
        <v>2.8</v>
      </c>
      <c r="I19" s="738">
        <v>110</v>
      </c>
      <c r="J19" s="740"/>
      <c r="K19" s="740">
        <v>497.33944954128441</v>
      </c>
      <c r="L19" s="740">
        <v>24.86697247706422</v>
      </c>
      <c r="M19" s="738">
        <v>30</v>
      </c>
      <c r="N19" s="741">
        <v>17.406880733944956</v>
      </c>
      <c r="O19" s="740">
        <v>0.3</v>
      </c>
      <c r="P19" s="725">
        <v>17.706880733944956</v>
      </c>
      <c r="Q19" s="726">
        <v>25.295543905635654</v>
      </c>
      <c r="R19" s="726">
        <v>27.241354975299931</v>
      </c>
      <c r="S19" s="726">
        <v>29.511467889908261</v>
      </c>
      <c r="T19" s="727">
        <v>32.194328607172643</v>
      </c>
    </row>
    <row r="20" spans="1:21" s="712" customFormat="1" ht="27.95" hidden="1" customHeight="1" x14ac:dyDescent="0.25">
      <c r="A20" s="697" t="s">
        <v>658</v>
      </c>
      <c r="B20" s="737" t="s">
        <v>659</v>
      </c>
      <c r="C20" s="742" t="s">
        <v>604</v>
      </c>
      <c r="D20" s="742" t="s">
        <v>605</v>
      </c>
      <c r="E20" s="742" t="s">
        <v>675</v>
      </c>
      <c r="F20" s="742" t="s">
        <v>606</v>
      </c>
      <c r="G20" s="743" t="s">
        <v>603</v>
      </c>
      <c r="H20" s="742">
        <v>2.8</v>
      </c>
      <c r="I20" s="742">
        <v>110</v>
      </c>
      <c r="J20" s="744"/>
      <c r="K20" s="744">
        <v>363.63302752293578</v>
      </c>
      <c r="L20" s="744">
        <v>18.181651376146789</v>
      </c>
      <c r="M20" s="742">
        <v>30</v>
      </c>
      <c r="N20" s="745">
        <v>12.727155963302753</v>
      </c>
      <c r="O20" s="744">
        <v>0.3</v>
      </c>
      <c r="P20" s="717">
        <v>13.027155963302754</v>
      </c>
      <c r="Q20" s="735">
        <v>18.610222804718219</v>
      </c>
      <c r="R20" s="735">
        <v>20.041778405081157</v>
      </c>
      <c r="S20" s="735">
        <v>21.711926605504591</v>
      </c>
      <c r="T20" s="736">
        <v>23.685738115095912</v>
      </c>
      <c r="U20" s="701"/>
    </row>
    <row r="21" spans="1:21" s="755" customFormat="1" ht="27.95" hidden="1" customHeight="1" x14ac:dyDescent="0.25">
      <c r="A21" s="746"/>
      <c r="B21" s="747"/>
      <c r="C21" s="748"/>
      <c r="D21" s="748"/>
      <c r="E21" s="748"/>
      <c r="F21" s="748"/>
      <c r="G21" s="749"/>
      <c r="H21" s="748"/>
      <c r="I21" s="748"/>
      <c r="J21" s="750"/>
      <c r="K21" s="750"/>
      <c r="L21" s="750"/>
      <c r="M21" s="748"/>
      <c r="N21" s="751"/>
      <c r="O21" s="750"/>
      <c r="P21" s="750"/>
      <c r="Q21" s="752"/>
      <c r="R21" s="752"/>
      <c r="S21" s="752"/>
      <c r="T21" s="753"/>
      <c r="U21" s="754"/>
    </row>
    <row r="22" spans="1:21" s="755" customFormat="1" ht="27.95" hidden="1" customHeight="1" x14ac:dyDescent="0.25">
      <c r="A22" s="746"/>
      <c r="B22" s="747"/>
      <c r="C22" s="748"/>
      <c r="D22" s="748"/>
      <c r="E22" s="748"/>
      <c r="F22" s="748"/>
      <c r="G22" s="749"/>
      <c r="H22" s="748"/>
      <c r="I22" s="748"/>
      <c r="J22" s="750"/>
      <c r="K22" s="750"/>
      <c r="L22" s="750"/>
      <c r="M22" s="748"/>
      <c r="N22" s="751"/>
      <c r="O22" s="750"/>
      <c r="P22" s="750"/>
      <c r="Q22" s="752"/>
      <c r="R22" s="752"/>
      <c r="S22" s="752"/>
      <c r="T22" s="753"/>
      <c r="U22" s="754"/>
    </row>
    <row r="23" spans="1:21" ht="27.95" hidden="1" customHeight="1" x14ac:dyDescent="0.25">
      <c r="A23" s="698"/>
      <c r="B23" s="756" t="s">
        <v>362</v>
      </c>
      <c r="C23" s="757" t="s">
        <v>363</v>
      </c>
      <c r="D23" s="757" t="s">
        <v>364</v>
      </c>
      <c r="E23" s="758"/>
      <c r="F23" s="757"/>
      <c r="G23" s="757" t="s">
        <v>365</v>
      </c>
      <c r="H23" s="757">
        <v>3.05</v>
      </c>
      <c r="I23" s="757">
        <v>120</v>
      </c>
      <c r="J23" s="759">
        <v>267.87</v>
      </c>
      <c r="K23" s="757"/>
      <c r="L23" s="757"/>
      <c r="M23" s="757"/>
      <c r="N23" s="760"/>
      <c r="O23" s="759"/>
      <c r="P23" s="761"/>
      <c r="Q23" s="757"/>
      <c r="R23" s="757"/>
      <c r="S23" s="757"/>
      <c r="T23" s="762"/>
      <c r="U23" s="712"/>
    </row>
    <row r="24" spans="1:21" ht="27.95" hidden="1" customHeight="1" x14ac:dyDescent="0.25">
      <c r="B24" s="763" t="s">
        <v>362</v>
      </c>
      <c r="C24" s="758" t="s">
        <v>369</v>
      </c>
      <c r="D24" s="758" t="s">
        <v>370</v>
      </c>
      <c r="E24" s="758"/>
      <c r="F24" s="758" t="s">
        <v>371</v>
      </c>
      <c r="G24" s="758" t="s">
        <v>365</v>
      </c>
      <c r="H24" s="758">
        <v>3.05</v>
      </c>
      <c r="I24" s="758">
        <v>120</v>
      </c>
      <c r="J24" s="764"/>
      <c r="K24" s="764">
        <v>245.75229357798165</v>
      </c>
      <c r="L24" s="764">
        <v>12.287614678899082</v>
      </c>
      <c r="M24" s="758">
        <v>50</v>
      </c>
      <c r="N24" s="765">
        <v>8.6013302752293583</v>
      </c>
      <c r="O24" s="764">
        <v>0.18</v>
      </c>
      <c r="P24" s="725">
        <v>8.7813302752293581</v>
      </c>
      <c r="Q24" s="726">
        <v>12.54475753604194</v>
      </c>
      <c r="R24" s="726">
        <v>13.509738884968243</v>
      </c>
      <c r="S24" s="726">
        <v>14.635550458715597</v>
      </c>
      <c r="T24" s="727">
        <v>15.966055045871558</v>
      </c>
    </row>
    <row r="25" spans="1:21" ht="27.95" hidden="1" customHeight="1" x14ac:dyDescent="0.25">
      <c r="B25" s="763" t="s">
        <v>362</v>
      </c>
      <c r="C25" s="758" t="s">
        <v>372</v>
      </c>
      <c r="D25" s="758" t="s">
        <v>373</v>
      </c>
      <c r="E25" s="758"/>
      <c r="F25" s="758" t="s">
        <v>374</v>
      </c>
      <c r="G25" s="758" t="s">
        <v>365</v>
      </c>
      <c r="H25" s="758">
        <v>3.05</v>
      </c>
      <c r="I25" s="758">
        <v>120</v>
      </c>
      <c r="J25" s="764"/>
      <c r="K25" s="764">
        <v>245.75229357798165</v>
      </c>
      <c r="L25" s="764">
        <v>12.287614678899082</v>
      </c>
      <c r="M25" s="758">
        <v>50</v>
      </c>
      <c r="N25" s="765">
        <v>8.6013302752293583</v>
      </c>
      <c r="O25" s="764">
        <v>0.18</v>
      </c>
      <c r="P25" s="725">
        <v>8.7813302752293581</v>
      </c>
      <c r="Q25" s="726">
        <v>12.54475753604194</v>
      </c>
      <c r="R25" s="726">
        <v>13.509738884968243</v>
      </c>
      <c r="S25" s="726">
        <v>14.635550458715597</v>
      </c>
      <c r="T25" s="727">
        <v>15.966055045871558</v>
      </c>
    </row>
    <row r="26" spans="1:21" ht="27.95" hidden="1" customHeight="1" thickBot="1" x14ac:dyDescent="0.3">
      <c r="B26" s="766" t="s">
        <v>362</v>
      </c>
      <c r="C26" s="767" t="s">
        <v>375</v>
      </c>
      <c r="D26" s="767" t="s">
        <v>376</v>
      </c>
      <c r="E26" s="767"/>
      <c r="F26" s="767" t="s">
        <v>377</v>
      </c>
      <c r="G26" s="767" t="s">
        <v>365</v>
      </c>
      <c r="H26" s="767">
        <v>3.05</v>
      </c>
      <c r="I26" s="767">
        <v>120</v>
      </c>
      <c r="J26" s="768"/>
      <c r="K26" s="768">
        <v>245.75229357798165</v>
      </c>
      <c r="L26" s="768">
        <v>12.287614678899082</v>
      </c>
      <c r="M26" s="767">
        <v>50</v>
      </c>
      <c r="N26" s="769">
        <v>8.6013302752293583</v>
      </c>
      <c r="O26" s="768">
        <v>0.18</v>
      </c>
      <c r="P26" s="732">
        <v>8.7813302752293581</v>
      </c>
      <c r="Q26" s="733">
        <v>12.54475753604194</v>
      </c>
      <c r="R26" s="733">
        <v>13.509738884968243</v>
      </c>
      <c r="S26" s="733">
        <v>14.635550458715597</v>
      </c>
      <c r="T26" s="734">
        <v>15.966055045871558</v>
      </c>
    </row>
    <row r="27" spans="1:21" s="712" customFormat="1" ht="54.75" hidden="1" customHeight="1" x14ac:dyDescent="0.25">
      <c r="A27" s="697"/>
      <c r="B27" s="770" t="s">
        <v>362</v>
      </c>
      <c r="C27" s="771" t="s">
        <v>378</v>
      </c>
      <c r="D27" s="771" t="s">
        <v>379</v>
      </c>
      <c r="E27" s="771"/>
      <c r="F27" s="771" t="s">
        <v>380</v>
      </c>
      <c r="G27" s="771" t="s">
        <v>365</v>
      </c>
      <c r="H27" s="771">
        <v>3.05</v>
      </c>
      <c r="I27" s="771">
        <v>120</v>
      </c>
      <c r="J27" s="772"/>
      <c r="K27" s="772">
        <v>245.75229357798165</v>
      </c>
      <c r="L27" s="772">
        <v>12.287614678899082</v>
      </c>
      <c r="M27" s="771">
        <v>50</v>
      </c>
      <c r="N27" s="773">
        <v>8.6013302752293583</v>
      </c>
      <c r="O27" s="772">
        <v>0.18</v>
      </c>
      <c r="P27" s="717">
        <v>8.7813302752293581</v>
      </c>
      <c r="Q27" s="735">
        <v>12.54475753604194</v>
      </c>
      <c r="R27" s="735">
        <v>13.509738884968243</v>
      </c>
      <c r="S27" s="735">
        <v>14.635550458715597</v>
      </c>
      <c r="T27" s="736">
        <v>15.966055045871558</v>
      </c>
      <c r="U27" s="701"/>
    </row>
    <row r="28" spans="1:21" ht="27.95" hidden="1" customHeight="1" x14ac:dyDescent="0.25">
      <c r="B28" s="763" t="s">
        <v>362</v>
      </c>
      <c r="C28" s="758" t="s">
        <v>381</v>
      </c>
      <c r="D28" s="758" t="s">
        <v>382</v>
      </c>
      <c r="E28" s="758"/>
      <c r="F28" s="758" t="s">
        <v>383</v>
      </c>
      <c r="G28" s="758" t="s">
        <v>365</v>
      </c>
      <c r="H28" s="758">
        <v>3.05</v>
      </c>
      <c r="I28" s="758">
        <v>120</v>
      </c>
      <c r="J28" s="764"/>
      <c r="K28" s="764">
        <v>245.75229357798165</v>
      </c>
      <c r="L28" s="764">
        <v>12.287614678899082</v>
      </c>
      <c r="M28" s="758">
        <v>50</v>
      </c>
      <c r="N28" s="765">
        <v>8.6013302752293583</v>
      </c>
      <c r="O28" s="764">
        <v>0.18</v>
      </c>
      <c r="P28" s="725">
        <v>8.7813302752293581</v>
      </c>
      <c r="Q28" s="726">
        <v>12.54475753604194</v>
      </c>
      <c r="R28" s="726">
        <v>13.509738884968243</v>
      </c>
      <c r="S28" s="726">
        <v>14.635550458715597</v>
      </c>
      <c r="T28" s="727">
        <v>15.966055045871558</v>
      </c>
    </row>
    <row r="29" spans="1:21" ht="27.95" hidden="1" customHeight="1" x14ac:dyDescent="0.25">
      <c r="A29" s="698"/>
      <c r="B29" s="756" t="s">
        <v>362</v>
      </c>
      <c r="C29" s="757" t="s">
        <v>384</v>
      </c>
      <c r="D29" s="757" t="s">
        <v>385</v>
      </c>
      <c r="E29" s="758"/>
      <c r="F29" s="757"/>
      <c r="G29" s="774" t="s">
        <v>386</v>
      </c>
      <c r="H29" s="757">
        <v>3</v>
      </c>
      <c r="I29" s="757">
        <v>118</v>
      </c>
      <c r="J29" s="759">
        <v>334.05</v>
      </c>
      <c r="K29" s="759"/>
      <c r="L29" s="759"/>
      <c r="M29" s="757"/>
      <c r="N29" s="760"/>
      <c r="O29" s="759"/>
      <c r="P29" s="761"/>
      <c r="Q29" s="726"/>
      <c r="R29" s="726"/>
      <c r="S29" s="726"/>
      <c r="T29" s="727"/>
      <c r="U29" s="712"/>
    </row>
    <row r="30" spans="1:21" ht="27.95" hidden="1" customHeight="1" x14ac:dyDescent="0.25">
      <c r="B30" s="763" t="s">
        <v>362</v>
      </c>
      <c r="C30" s="758" t="s">
        <v>390</v>
      </c>
      <c r="D30" s="758" t="s">
        <v>391</v>
      </c>
      <c r="E30" s="758"/>
      <c r="F30" s="758" t="s">
        <v>377</v>
      </c>
      <c r="G30" s="775" t="s">
        <v>386</v>
      </c>
      <c r="H30" s="758">
        <v>3</v>
      </c>
      <c r="I30" s="758">
        <v>118</v>
      </c>
      <c r="J30" s="764"/>
      <c r="K30" s="764">
        <v>306.46788990825689</v>
      </c>
      <c r="L30" s="764">
        <v>15.323394495412845</v>
      </c>
      <c r="M30" s="758">
        <v>50</v>
      </c>
      <c r="N30" s="765">
        <v>10.726376146788992</v>
      </c>
      <c r="O30" s="764">
        <v>0.18</v>
      </c>
      <c r="P30" s="725">
        <v>10.906376146788991</v>
      </c>
      <c r="Q30" s="726">
        <v>15.580537352555703</v>
      </c>
      <c r="R30" s="726">
        <v>16.779040225829217</v>
      </c>
      <c r="S30" s="726">
        <v>18.177293577981654</v>
      </c>
      <c r="T30" s="727">
        <v>19.829774812343619</v>
      </c>
    </row>
    <row r="31" spans="1:21" ht="27.95" hidden="1" customHeight="1" x14ac:dyDescent="0.25">
      <c r="B31" s="763" t="s">
        <v>362</v>
      </c>
      <c r="C31" s="758" t="s">
        <v>392</v>
      </c>
      <c r="D31" s="758" t="s">
        <v>393</v>
      </c>
      <c r="E31" s="758"/>
      <c r="F31" s="758" t="s">
        <v>394</v>
      </c>
      <c r="G31" s="775" t="s">
        <v>386</v>
      </c>
      <c r="H31" s="758">
        <v>3</v>
      </c>
      <c r="I31" s="758">
        <v>118</v>
      </c>
      <c r="J31" s="764"/>
      <c r="K31" s="764">
        <v>306.46788990825689</v>
      </c>
      <c r="L31" s="764">
        <v>15.323394495412845</v>
      </c>
      <c r="M31" s="758">
        <v>50</v>
      </c>
      <c r="N31" s="765">
        <v>10.726376146788992</v>
      </c>
      <c r="O31" s="764">
        <v>0.18</v>
      </c>
      <c r="P31" s="725">
        <v>10.906376146788991</v>
      </c>
      <c r="Q31" s="726">
        <v>15.580537352555703</v>
      </c>
      <c r="R31" s="726">
        <v>16.779040225829217</v>
      </c>
      <c r="S31" s="726">
        <v>18.177293577981654</v>
      </c>
      <c r="T31" s="727">
        <v>19.829774812343619</v>
      </c>
    </row>
    <row r="32" spans="1:21" ht="27.95" hidden="1" customHeight="1" thickBot="1" x14ac:dyDescent="0.3">
      <c r="A32" s="698"/>
      <c r="B32" s="776" t="s">
        <v>362</v>
      </c>
      <c r="C32" s="777" t="s">
        <v>395</v>
      </c>
      <c r="D32" s="777" t="s">
        <v>396</v>
      </c>
      <c r="E32" s="767"/>
      <c r="F32" s="777"/>
      <c r="G32" s="778" t="s">
        <v>365</v>
      </c>
      <c r="H32" s="777">
        <v>3</v>
      </c>
      <c r="I32" s="777">
        <v>118</v>
      </c>
      <c r="J32" s="779">
        <v>371.17</v>
      </c>
      <c r="K32" s="779"/>
      <c r="L32" s="779"/>
      <c r="M32" s="777"/>
      <c r="N32" s="780"/>
      <c r="O32" s="779"/>
      <c r="P32" s="781"/>
      <c r="Q32" s="733"/>
      <c r="R32" s="733"/>
      <c r="S32" s="733"/>
      <c r="T32" s="734"/>
      <c r="U32" s="712"/>
    </row>
    <row r="33" spans="1:21" s="712" customFormat="1" ht="27.95" hidden="1" customHeight="1" x14ac:dyDescent="0.25">
      <c r="A33" s="697"/>
      <c r="B33" s="770" t="s">
        <v>362</v>
      </c>
      <c r="C33" s="771" t="s">
        <v>399</v>
      </c>
      <c r="D33" s="771" t="s">
        <v>400</v>
      </c>
      <c r="E33" s="771"/>
      <c r="F33" s="771" t="s">
        <v>377</v>
      </c>
      <c r="G33" s="782" t="s">
        <v>365</v>
      </c>
      <c r="H33" s="771">
        <v>3</v>
      </c>
      <c r="I33" s="771">
        <v>118</v>
      </c>
      <c r="J33" s="772"/>
      <c r="K33" s="772">
        <v>340.52293577981652</v>
      </c>
      <c r="L33" s="772">
        <v>17.026146788990825</v>
      </c>
      <c r="M33" s="771">
        <v>50</v>
      </c>
      <c r="N33" s="773">
        <v>11.918302752293577</v>
      </c>
      <c r="O33" s="772">
        <v>0.18</v>
      </c>
      <c r="P33" s="717">
        <v>12.098302752293577</v>
      </c>
      <c r="Q33" s="735">
        <v>17.283289646133682</v>
      </c>
      <c r="R33" s="735">
        <v>18.61277346506704</v>
      </c>
      <c r="S33" s="735">
        <v>20.163837920489296</v>
      </c>
      <c r="T33" s="736">
        <v>21.99691409507923</v>
      </c>
      <c r="U33" s="701"/>
    </row>
    <row r="34" spans="1:21" ht="27.95" hidden="1" customHeight="1" x14ac:dyDescent="0.25">
      <c r="B34" s="763" t="s">
        <v>362</v>
      </c>
      <c r="C34" s="758" t="s">
        <v>401</v>
      </c>
      <c r="D34" s="758" t="s">
        <v>402</v>
      </c>
      <c r="E34" s="758"/>
      <c r="F34" s="758" t="s">
        <v>403</v>
      </c>
      <c r="G34" s="775" t="s">
        <v>365</v>
      </c>
      <c r="H34" s="758">
        <v>3</v>
      </c>
      <c r="I34" s="758">
        <v>118</v>
      </c>
      <c r="J34" s="764"/>
      <c r="K34" s="764">
        <v>340.52293577981652</v>
      </c>
      <c r="L34" s="764">
        <v>17.026146788990825</v>
      </c>
      <c r="M34" s="758">
        <v>50</v>
      </c>
      <c r="N34" s="765">
        <v>11.918302752293577</v>
      </c>
      <c r="O34" s="764">
        <v>0.18</v>
      </c>
      <c r="P34" s="725">
        <v>12.098302752293577</v>
      </c>
      <c r="Q34" s="726">
        <v>17.283289646133682</v>
      </c>
      <c r="R34" s="726">
        <v>18.61277346506704</v>
      </c>
      <c r="S34" s="726">
        <v>20.163837920489296</v>
      </c>
      <c r="T34" s="727">
        <v>21.99691409507923</v>
      </c>
    </row>
    <row r="35" spans="1:21" ht="27.95" hidden="1" customHeight="1" x14ac:dyDescent="0.25">
      <c r="B35" s="763" t="s">
        <v>362</v>
      </c>
      <c r="C35" s="758" t="s">
        <v>404</v>
      </c>
      <c r="D35" s="758" t="s">
        <v>405</v>
      </c>
      <c r="E35" s="758"/>
      <c r="F35" s="758" t="s">
        <v>371</v>
      </c>
      <c r="G35" s="775" t="s">
        <v>365</v>
      </c>
      <c r="H35" s="758">
        <v>3</v>
      </c>
      <c r="I35" s="758">
        <v>118</v>
      </c>
      <c r="J35" s="764"/>
      <c r="K35" s="764">
        <v>340.52293577981652</v>
      </c>
      <c r="L35" s="764">
        <v>17.026146788990825</v>
      </c>
      <c r="M35" s="758">
        <v>50</v>
      </c>
      <c r="N35" s="765">
        <v>11.918302752293577</v>
      </c>
      <c r="O35" s="764">
        <v>0.18</v>
      </c>
      <c r="P35" s="725">
        <v>12.098302752293577</v>
      </c>
      <c r="Q35" s="726">
        <v>17.283289646133682</v>
      </c>
      <c r="R35" s="726">
        <v>18.61277346506704</v>
      </c>
      <c r="S35" s="726">
        <v>20.163837920489296</v>
      </c>
      <c r="T35" s="727">
        <v>21.99691409507923</v>
      </c>
    </row>
    <row r="36" spans="1:21" ht="27.95" hidden="1" customHeight="1" x14ac:dyDescent="0.25">
      <c r="A36" s="698"/>
      <c r="B36" s="756" t="s">
        <v>362</v>
      </c>
      <c r="C36" s="757" t="s">
        <v>406</v>
      </c>
      <c r="D36" s="757" t="s">
        <v>407</v>
      </c>
      <c r="E36" s="758"/>
      <c r="F36" s="757"/>
      <c r="G36" s="774" t="s">
        <v>365</v>
      </c>
      <c r="H36" s="757">
        <v>3</v>
      </c>
      <c r="I36" s="757">
        <v>118</v>
      </c>
      <c r="J36" s="759">
        <v>266.57</v>
      </c>
      <c r="K36" s="759"/>
      <c r="L36" s="759"/>
      <c r="M36" s="757"/>
      <c r="N36" s="760"/>
      <c r="O36" s="759"/>
      <c r="P36" s="761"/>
      <c r="Q36" s="726"/>
      <c r="R36" s="726"/>
      <c r="S36" s="726"/>
      <c r="T36" s="727"/>
      <c r="U36" s="712"/>
    </row>
    <row r="37" spans="1:21" ht="27.95" hidden="1" customHeight="1" x14ac:dyDescent="0.25">
      <c r="B37" s="763" t="s">
        <v>362</v>
      </c>
      <c r="C37" s="758" t="s">
        <v>411</v>
      </c>
      <c r="D37" s="758" t="s">
        <v>412</v>
      </c>
      <c r="E37" s="758"/>
      <c r="F37" s="758" t="s">
        <v>413</v>
      </c>
      <c r="G37" s="775" t="s">
        <v>365</v>
      </c>
      <c r="H37" s="758">
        <v>3</v>
      </c>
      <c r="I37" s="758">
        <v>118</v>
      </c>
      <c r="J37" s="764"/>
      <c r="K37" s="764">
        <v>244.55963302752292</v>
      </c>
      <c r="L37" s="764">
        <v>12.227981651376146</v>
      </c>
      <c r="M37" s="758">
        <v>50</v>
      </c>
      <c r="N37" s="765">
        <v>8.5595871559633014</v>
      </c>
      <c r="O37" s="764">
        <v>0.18</v>
      </c>
      <c r="P37" s="725">
        <v>8.7395871559633012</v>
      </c>
      <c r="Q37" s="726">
        <v>12.485124508519002</v>
      </c>
      <c r="R37" s="726">
        <v>13.445518701482001</v>
      </c>
      <c r="S37" s="726">
        <v>14.565978593272169</v>
      </c>
      <c r="T37" s="727">
        <v>15.890158465387819</v>
      </c>
    </row>
    <row r="38" spans="1:21" ht="27.95" hidden="1" customHeight="1" x14ac:dyDescent="0.25">
      <c r="B38" s="763" t="s">
        <v>362</v>
      </c>
      <c r="C38" s="758" t="s">
        <v>414</v>
      </c>
      <c r="D38" s="758" t="s">
        <v>415</v>
      </c>
      <c r="E38" s="758"/>
      <c r="F38" s="758" t="s">
        <v>416</v>
      </c>
      <c r="G38" s="775" t="s">
        <v>365</v>
      </c>
      <c r="H38" s="758">
        <v>3</v>
      </c>
      <c r="I38" s="758">
        <v>118</v>
      </c>
      <c r="J38" s="764"/>
      <c r="K38" s="764">
        <v>244.55963302752292</v>
      </c>
      <c r="L38" s="764">
        <v>12.227981651376146</v>
      </c>
      <c r="M38" s="758">
        <v>50</v>
      </c>
      <c r="N38" s="765">
        <v>8.5595871559633014</v>
      </c>
      <c r="O38" s="764">
        <v>0.18</v>
      </c>
      <c r="P38" s="725">
        <v>8.7395871559633012</v>
      </c>
      <c r="Q38" s="726">
        <v>12.485124508519002</v>
      </c>
      <c r="R38" s="726">
        <v>13.445518701482001</v>
      </c>
      <c r="S38" s="726">
        <v>14.565978593272169</v>
      </c>
      <c r="T38" s="727">
        <v>15.890158465387819</v>
      </c>
    </row>
    <row r="39" spans="1:21" ht="27.95" hidden="1" customHeight="1" x14ac:dyDescent="0.25">
      <c r="B39" s="763" t="s">
        <v>362</v>
      </c>
      <c r="C39" s="758" t="s">
        <v>417</v>
      </c>
      <c r="D39" s="758" t="s">
        <v>418</v>
      </c>
      <c r="E39" s="758"/>
      <c r="F39" s="758" t="s">
        <v>419</v>
      </c>
      <c r="G39" s="775" t="s">
        <v>365</v>
      </c>
      <c r="H39" s="758">
        <v>3</v>
      </c>
      <c r="I39" s="758">
        <v>118</v>
      </c>
      <c r="J39" s="764"/>
      <c r="K39" s="764">
        <v>244.55963302752292</v>
      </c>
      <c r="L39" s="764">
        <v>12.227981651376146</v>
      </c>
      <c r="M39" s="758">
        <v>50</v>
      </c>
      <c r="N39" s="765">
        <v>8.5595871559633014</v>
      </c>
      <c r="O39" s="764">
        <v>0.18</v>
      </c>
      <c r="P39" s="725">
        <v>8.7395871559633012</v>
      </c>
      <c r="Q39" s="726">
        <v>12.485124508519002</v>
      </c>
      <c r="R39" s="726">
        <v>13.445518701482001</v>
      </c>
      <c r="S39" s="726">
        <v>14.565978593272169</v>
      </c>
      <c r="T39" s="727">
        <v>15.890158465387819</v>
      </c>
    </row>
    <row r="40" spans="1:21" ht="27.95" hidden="1" customHeight="1" thickBot="1" x14ac:dyDescent="0.3">
      <c r="A40" s="698"/>
      <c r="B40" s="783" t="s">
        <v>362</v>
      </c>
      <c r="C40" s="784" t="s">
        <v>420</v>
      </c>
      <c r="D40" s="784" t="s">
        <v>421</v>
      </c>
      <c r="E40" s="785"/>
      <c r="F40" s="786" t="s">
        <v>422</v>
      </c>
      <c r="G40" s="786" t="s">
        <v>365</v>
      </c>
      <c r="H40" s="784">
        <v>2.9</v>
      </c>
      <c r="I40" s="784">
        <v>114</v>
      </c>
      <c r="J40" s="787">
        <v>370.73</v>
      </c>
      <c r="K40" s="787"/>
      <c r="L40" s="787"/>
      <c r="M40" s="784"/>
      <c r="N40" s="788"/>
      <c r="O40" s="787"/>
      <c r="P40" s="781"/>
      <c r="Q40" s="789"/>
      <c r="R40" s="789"/>
      <c r="S40" s="789"/>
      <c r="T40" s="790"/>
      <c r="U40" s="712"/>
    </row>
    <row r="41" spans="1:21" s="712" customFormat="1" ht="27.95" hidden="1" customHeight="1" x14ac:dyDescent="0.25">
      <c r="A41" s="697"/>
      <c r="B41" s="791" t="s">
        <v>362</v>
      </c>
      <c r="C41" s="792" t="s">
        <v>423</v>
      </c>
      <c r="D41" s="792" t="s">
        <v>424</v>
      </c>
      <c r="E41" s="792"/>
      <c r="F41" s="792" t="s">
        <v>425</v>
      </c>
      <c r="G41" s="793" t="s">
        <v>365</v>
      </c>
      <c r="H41" s="792">
        <v>2.9</v>
      </c>
      <c r="I41" s="792">
        <v>114</v>
      </c>
      <c r="J41" s="794"/>
      <c r="K41" s="794">
        <v>340.11926605504584</v>
      </c>
      <c r="L41" s="794">
        <v>17.005963302752292</v>
      </c>
      <c r="M41" s="792">
        <v>50</v>
      </c>
      <c r="N41" s="795">
        <v>11.904174311926603</v>
      </c>
      <c r="O41" s="794">
        <v>0.18</v>
      </c>
      <c r="P41" s="717">
        <v>12.084174311926603</v>
      </c>
      <c r="Q41" s="796">
        <v>17.263106159895148</v>
      </c>
      <c r="R41" s="796">
        <v>18.591037402964005</v>
      </c>
      <c r="S41" s="796">
        <v>20.140290519877674</v>
      </c>
      <c r="T41" s="797">
        <v>21.971226021684732</v>
      </c>
      <c r="U41" s="701"/>
    </row>
    <row r="42" spans="1:21" ht="27.95" hidden="1" customHeight="1" x14ac:dyDescent="0.25">
      <c r="B42" s="798" t="s">
        <v>362</v>
      </c>
      <c r="C42" s="799" t="s">
        <v>426</v>
      </c>
      <c r="D42" s="799" t="s">
        <v>427</v>
      </c>
      <c r="E42" s="799"/>
      <c r="F42" s="799" t="s">
        <v>428</v>
      </c>
      <c r="G42" s="800" t="s">
        <v>365</v>
      </c>
      <c r="H42" s="799">
        <v>2.9</v>
      </c>
      <c r="I42" s="799">
        <v>114</v>
      </c>
      <c r="J42" s="801"/>
      <c r="K42" s="801">
        <v>340.11926605504584</v>
      </c>
      <c r="L42" s="801">
        <v>17.005963302752292</v>
      </c>
      <c r="M42" s="799">
        <v>50</v>
      </c>
      <c r="N42" s="802">
        <v>11.904174311926603</v>
      </c>
      <c r="O42" s="801">
        <v>0.18</v>
      </c>
      <c r="P42" s="725">
        <v>12.084174311926603</v>
      </c>
      <c r="Q42" s="803">
        <v>17.263106159895148</v>
      </c>
      <c r="R42" s="803">
        <v>18.591037402964005</v>
      </c>
      <c r="S42" s="803">
        <v>20.140290519877674</v>
      </c>
      <c r="T42" s="804">
        <v>21.971226021684732</v>
      </c>
    </row>
    <row r="43" spans="1:21" ht="27.95" hidden="1" customHeight="1" x14ac:dyDescent="0.25">
      <c r="B43" s="798" t="s">
        <v>362</v>
      </c>
      <c r="C43" s="799" t="s">
        <v>429</v>
      </c>
      <c r="D43" s="799" t="s">
        <v>430</v>
      </c>
      <c r="E43" s="799"/>
      <c r="F43" s="799" t="s">
        <v>431</v>
      </c>
      <c r="G43" s="800" t="s">
        <v>365</v>
      </c>
      <c r="H43" s="799">
        <v>2.9</v>
      </c>
      <c r="I43" s="799">
        <v>114</v>
      </c>
      <c r="J43" s="801"/>
      <c r="K43" s="801">
        <v>340.11926605504584</v>
      </c>
      <c r="L43" s="801">
        <v>17.005963302752292</v>
      </c>
      <c r="M43" s="799">
        <v>50</v>
      </c>
      <c r="N43" s="802">
        <v>11.904174311926603</v>
      </c>
      <c r="O43" s="801">
        <v>0.18</v>
      </c>
      <c r="P43" s="725">
        <v>12.084174311926603</v>
      </c>
      <c r="Q43" s="803">
        <v>17.263106159895148</v>
      </c>
      <c r="R43" s="803">
        <v>18.591037402964005</v>
      </c>
      <c r="S43" s="803">
        <v>20.140290519877674</v>
      </c>
      <c r="T43" s="804">
        <v>21.971226021684732</v>
      </c>
    </row>
    <row r="44" spans="1:21" ht="27.95" hidden="1" customHeight="1" x14ac:dyDescent="0.25">
      <c r="B44" s="798" t="s">
        <v>362</v>
      </c>
      <c r="C44" s="799" t="s">
        <v>432</v>
      </c>
      <c r="D44" s="799" t="s">
        <v>433</v>
      </c>
      <c r="E44" s="799"/>
      <c r="F44" s="799" t="s">
        <v>371</v>
      </c>
      <c r="G44" s="800" t="s">
        <v>365</v>
      </c>
      <c r="H44" s="799">
        <v>2.9</v>
      </c>
      <c r="I44" s="799">
        <v>114</v>
      </c>
      <c r="J44" s="801"/>
      <c r="K44" s="801">
        <v>340.11926605504584</v>
      </c>
      <c r="L44" s="801">
        <v>17.005963302752292</v>
      </c>
      <c r="M44" s="799">
        <v>50</v>
      </c>
      <c r="N44" s="802">
        <v>11.904174311926603</v>
      </c>
      <c r="O44" s="801">
        <v>0.18</v>
      </c>
      <c r="P44" s="725">
        <v>12.084174311926603</v>
      </c>
      <c r="Q44" s="803">
        <v>17.263106159895148</v>
      </c>
      <c r="R44" s="803">
        <v>18.591037402964005</v>
      </c>
      <c r="S44" s="803">
        <v>20.140290519877674</v>
      </c>
      <c r="T44" s="804">
        <v>21.971226021684732</v>
      </c>
    </row>
    <row r="45" spans="1:21" ht="27.95" hidden="1" customHeight="1" x14ac:dyDescent="0.25">
      <c r="B45" s="798" t="s">
        <v>362</v>
      </c>
      <c r="C45" s="799" t="s">
        <v>434</v>
      </c>
      <c r="D45" s="799" t="s">
        <v>435</v>
      </c>
      <c r="E45" s="799"/>
      <c r="F45" s="799" t="s">
        <v>436</v>
      </c>
      <c r="G45" s="800" t="s">
        <v>365</v>
      </c>
      <c r="H45" s="799">
        <v>2.9</v>
      </c>
      <c r="I45" s="799">
        <v>114</v>
      </c>
      <c r="J45" s="801"/>
      <c r="K45" s="801">
        <v>340.11926605504584</v>
      </c>
      <c r="L45" s="801">
        <v>17.005963302752292</v>
      </c>
      <c r="M45" s="799">
        <v>50</v>
      </c>
      <c r="N45" s="802">
        <v>11.904174311926603</v>
      </c>
      <c r="O45" s="801">
        <v>0.18</v>
      </c>
      <c r="P45" s="725">
        <v>12.084174311926603</v>
      </c>
      <c r="Q45" s="803">
        <v>17.263106159895148</v>
      </c>
      <c r="R45" s="803">
        <v>18.591037402964005</v>
      </c>
      <c r="S45" s="803">
        <v>20.140290519877674</v>
      </c>
      <c r="T45" s="804">
        <v>21.971226021684732</v>
      </c>
    </row>
    <row r="46" spans="1:21" ht="27.95" hidden="1" customHeight="1" x14ac:dyDescent="0.25">
      <c r="A46" s="698"/>
      <c r="B46" s="756" t="s">
        <v>362</v>
      </c>
      <c r="C46" s="757" t="s">
        <v>437</v>
      </c>
      <c r="D46" s="757" t="s">
        <v>438</v>
      </c>
      <c r="E46" s="758"/>
      <c r="F46" s="757"/>
      <c r="G46" s="774" t="s">
        <v>365</v>
      </c>
      <c r="H46" s="757">
        <v>3.2</v>
      </c>
      <c r="I46" s="757">
        <v>126</v>
      </c>
      <c r="J46" s="759">
        <v>208.87</v>
      </c>
      <c r="K46" s="759"/>
      <c r="L46" s="759"/>
      <c r="M46" s="757"/>
      <c r="N46" s="760"/>
      <c r="O46" s="759"/>
      <c r="P46" s="761"/>
      <c r="Q46" s="726"/>
      <c r="R46" s="726"/>
      <c r="S46" s="726"/>
      <c r="T46" s="727"/>
      <c r="U46" s="712"/>
    </row>
    <row r="47" spans="1:21" ht="27.95" hidden="1" customHeight="1" thickBot="1" x14ac:dyDescent="0.3">
      <c r="B47" s="766" t="s">
        <v>362</v>
      </c>
      <c r="C47" s="767" t="s">
        <v>441</v>
      </c>
      <c r="D47" s="767" t="s">
        <v>442</v>
      </c>
      <c r="E47" s="767"/>
      <c r="F47" s="767" t="s">
        <v>431</v>
      </c>
      <c r="G47" s="805" t="s">
        <v>365</v>
      </c>
      <c r="H47" s="767">
        <v>3.2</v>
      </c>
      <c r="I47" s="767">
        <v>126</v>
      </c>
      <c r="J47" s="768"/>
      <c r="K47" s="768">
        <v>191.62385321100916</v>
      </c>
      <c r="L47" s="768">
        <v>9.5811926605504585</v>
      </c>
      <c r="M47" s="767">
        <v>50</v>
      </c>
      <c r="N47" s="769">
        <v>6.7068348623853202</v>
      </c>
      <c r="O47" s="768">
        <v>0.18</v>
      </c>
      <c r="P47" s="732">
        <v>6.8868348623853199</v>
      </c>
      <c r="Q47" s="733">
        <v>9.8383355176933147</v>
      </c>
      <c r="R47" s="733">
        <v>10.595130557515876</v>
      </c>
      <c r="S47" s="733">
        <v>11.478058103975533</v>
      </c>
      <c r="T47" s="734">
        <v>12.521517931609672</v>
      </c>
    </row>
    <row r="48" spans="1:21" s="712" customFormat="1" ht="53.25" hidden="1" customHeight="1" x14ac:dyDescent="0.25">
      <c r="A48" s="697"/>
      <c r="B48" s="770" t="s">
        <v>362</v>
      </c>
      <c r="C48" s="771" t="s">
        <v>443</v>
      </c>
      <c r="D48" s="771" t="s">
        <v>444</v>
      </c>
      <c r="E48" s="771"/>
      <c r="F48" s="771" t="s">
        <v>445</v>
      </c>
      <c r="G48" s="782" t="s">
        <v>365</v>
      </c>
      <c r="H48" s="771">
        <v>3.2</v>
      </c>
      <c r="I48" s="771">
        <v>126</v>
      </c>
      <c r="J48" s="772"/>
      <c r="K48" s="772">
        <v>191.62385321100916</v>
      </c>
      <c r="L48" s="772">
        <v>9.5811926605504585</v>
      </c>
      <c r="M48" s="771">
        <v>50</v>
      </c>
      <c r="N48" s="773">
        <v>6.7068348623853202</v>
      </c>
      <c r="O48" s="772">
        <v>0.18</v>
      </c>
      <c r="P48" s="717">
        <v>6.8868348623853199</v>
      </c>
      <c r="Q48" s="735">
        <v>9.8383355176933147</v>
      </c>
      <c r="R48" s="735">
        <v>10.595130557515876</v>
      </c>
      <c r="S48" s="735">
        <v>11.478058103975533</v>
      </c>
      <c r="T48" s="736">
        <v>12.521517931609672</v>
      </c>
      <c r="U48" s="701"/>
    </row>
    <row r="49" spans="1:21" ht="27.95" hidden="1" customHeight="1" x14ac:dyDescent="0.25">
      <c r="B49" s="763" t="s">
        <v>362</v>
      </c>
      <c r="C49" s="758" t="s">
        <v>446</v>
      </c>
      <c r="D49" s="758" t="s">
        <v>447</v>
      </c>
      <c r="E49" s="758"/>
      <c r="F49" s="758" t="s">
        <v>448</v>
      </c>
      <c r="G49" s="775" t="s">
        <v>365</v>
      </c>
      <c r="H49" s="758">
        <v>3.2</v>
      </c>
      <c r="I49" s="758">
        <v>126</v>
      </c>
      <c r="J49" s="764"/>
      <c r="K49" s="764">
        <v>191.62385321100916</v>
      </c>
      <c r="L49" s="764">
        <v>9.5811926605504585</v>
      </c>
      <c r="M49" s="758">
        <v>50</v>
      </c>
      <c r="N49" s="765">
        <v>6.7068348623853202</v>
      </c>
      <c r="O49" s="764">
        <v>0.18</v>
      </c>
      <c r="P49" s="725">
        <v>6.8868348623853199</v>
      </c>
      <c r="Q49" s="726">
        <v>9.8383355176933147</v>
      </c>
      <c r="R49" s="726">
        <v>10.595130557515876</v>
      </c>
      <c r="S49" s="726">
        <v>11.478058103975533</v>
      </c>
      <c r="T49" s="727">
        <v>12.521517931609672</v>
      </c>
    </row>
    <row r="50" spans="1:21" ht="27.95" hidden="1" customHeight="1" x14ac:dyDescent="0.25">
      <c r="B50" s="763" t="s">
        <v>362</v>
      </c>
      <c r="C50" s="758" t="s">
        <v>449</v>
      </c>
      <c r="D50" s="758" t="s">
        <v>450</v>
      </c>
      <c r="E50" s="758"/>
      <c r="F50" s="758" t="s">
        <v>371</v>
      </c>
      <c r="G50" s="775" t="s">
        <v>365</v>
      </c>
      <c r="H50" s="758">
        <v>3.2</v>
      </c>
      <c r="I50" s="758">
        <v>126</v>
      </c>
      <c r="J50" s="764"/>
      <c r="K50" s="764">
        <v>191.62385321100916</v>
      </c>
      <c r="L50" s="764">
        <v>9.5811926605504585</v>
      </c>
      <c r="M50" s="758">
        <v>50</v>
      </c>
      <c r="N50" s="765">
        <v>6.7068348623853202</v>
      </c>
      <c r="O50" s="764">
        <v>0.18</v>
      </c>
      <c r="P50" s="725">
        <v>6.8868348623853199</v>
      </c>
      <c r="Q50" s="726">
        <v>9.8383355176933147</v>
      </c>
      <c r="R50" s="726">
        <v>10.595130557515876</v>
      </c>
      <c r="S50" s="726">
        <v>11.478058103975533</v>
      </c>
      <c r="T50" s="727">
        <v>12.521517931609672</v>
      </c>
    </row>
    <row r="51" spans="1:21" ht="27.95" hidden="1" customHeight="1" x14ac:dyDescent="0.25">
      <c r="B51" s="763" t="s">
        <v>362</v>
      </c>
      <c r="C51" s="758" t="s">
        <v>451</v>
      </c>
      <c r="D51" s="758" t="s">
        <v>452</v>
      </c>
      <c r="E51" s="758"/>
      <c r="F51" s="758" t="s">
        <v>453</v>
      </c>
      <c r="G51" s="775" t="s">
        <v>365</v>
      </c>
      <c r="H51" s="758">
        <v>3.2</v>
      </c>
      <c r="I51" s="758">
        <v>126</v>
      </c>
      <c r="J51" s="764"/>
      <c r="K51" s="764">
        <v>191.62385321100916</v>
      </c>
      <c r="L51" s="764">
        <v>9.5811926605504585</v>
      </c>
      <c r="M51" s="758">
        <v>50</v>
      </c>
      <c r="N51" s="765">
        <v>6.7068348623853202</v>
      </c>
      <c r="O51" s="764">
        <v>0.18</v>
      </c>
      <c r="P51" s="725">
        <v>6.8868348623853199</v>
      </c>
      <c r="Q51" s="726">
        <v>9.8383355176933147</v>
      </c>
      <c r="R51" s="726">
        <v>10.595130557515876</v>
      </c>
      <c r="S51" s="726">
        <v>11.478058103975533</v>
      </c>
      <c r="T51" s="727">
        <v>12.521517931609672</v>
      </c>
    </row>
    <row r="52" spans="1:21" ht="27.95" hidden="1" customHeight="1" thickBot="1" x14ac:dyDescent="0.3">
      <c r="B52" s="766" t="s">
        <v>362</v>
      </c>
      <c r="C52" s="767" t="s">
        <v>454</v>
      </c>
      <c r="D52" s="767" t="s">
        <v>455</v>
      </c>
      <c r="E52" s="767"/>
      <c r="F52" s="767" t="s">
        <v>436</v>
      </c>
      <c r="G52" s="805" t="s">
        <v>365</v>
      </c>
      <c r="H52" s="767">
        <v>3.2</v>
      </c>
      <c r="I52" s="767">
        <v>126</v>
      </c>
      <c r="J52" s="768"/>
      <c r="K52" s="768">
        <v>191.62385321100916</v>
      </c>
      <c r="L52" s="768">
        <v>9.5811926605504585</v>
      </c>
      <c r="M52" s="767">
        <v>50</v>
      </c>
      <c r="N52" s="769">
        <v>6.7068348623853202</v>
      </c>
      <c r="O52" s="768">
        <v>0.18</v>
      </c>
      <c r="P52" s="732">
        <v>6.8868348623853199</v>
      </c>
      <c r="Q52" s="733">
        <v>9.8383355176933147</v>
      </c>
      <c r="R52" s="733">
        <v>10.595130557515876</v>
      </c>
      <c r="S52" s="733">
        <v>11.478058103975533</v>
      </c>
      <c r="T52" s="734">
        <v>12.521517931609672</v>
      </c>
    </row>
    <row r="53" spans="1:21" s="712" customFormat="1" ht="27.95" hidden="1" customHeight="1" x14ac:dyDescent="0.25">
      <c r="A53" s="698"/>
      <c r="B53" s="806" t="s">
        <v>362</v>
      </c>
      <c r="C53" s="807" t="s">
        <v>456</v>
      </c>
      <c r="D53" s="807" t="s">
        <v>457</v>
      </c>
      <c r="E53" s="771"/>
      <c r="F53" s="807"/>
      <c r="G53" s="808" t="s">
        <v>365</v>
      </c>
      <c r="H53" s="807">
        <v>3.05</v>
      </c>
      <c r="I53" s="807">
        <v>120</v>
      </c>
      <c r="J53" s="809">
        <v>183.29</v>
      </c>
      <c r="K53" s="809"/>
      <c r="L53" s="809"/>
      <c r="M53" s="807"/>
      <c r="N53" s="810"/>
      <c r="O53" s="809"/>
      <c r="P53" s="811"/>
      <c r="Q53" s="735"/>
      <c r="R53" s="735"/>
      <c r="S53" s="735"/>
      <c r="T53" s="736"/>
    </row>
    <row r="54" spans="1:21" ht="27.95" hidden="1" customHeight="1" x14ac:dyDescent="0.25">
      <c r="B54" s="763" t="s">
        <v>362</v>
      </c>
      <c r="C54" s="758" t="s">
        <v>461</v>
      </c>
      <c r="D54" s="758" t="s">
        <v>462</v>
      </c>
      <c r="E54" s="758"/>
      <c r="F54" s="758" t="s">
        <v>463</v>
      </c>
      <c r="G54" s="775" t="s">
        <v>365</v>
      </c>
      <c r="H54" s="758">
        <v>3.05</v>
      </c>
      <c r="I54" s="758">
        <v>120</v>
      </c>
      <c r="J54" s="764"/>
      <c r="K54" s="764">
        <v>168.15596330275227</v>
      </c>
      <c r="L54" s="764">
        <v>8.4077981651376135</v>
      </c>
      <c r="M54" s="758">
        <v>50</v>
      </c>
      <c r="N54" s="765">
        <v>5.8854587155963296</v>
      </c>
      <c r="O54" s="764">
        <v>0.18</v>
      </c>
      <c r="P54" s="725">
        <v>6.0654587155963293</v>
      </c>
      <c r="Q54" s="726">
        <v>8.6649410222804715</v>
      </c>
      <c r="R54" s="726">
        <v>9.3314749470712748</v>
      </c>
      <c r="S54" s="726">
        <v>10.109097859327216</v>
      </c>
      <c r="T54" s="727">
        <v>11.028106755629688</v>
      </c>
    </row>
    <row r="55" spans="1:21" ht="27.95" hidden="1" customHeight="1" x14ac:dyDescent="0.25">
      <c r="B55" s="763" t="s">
        <v>362</v>
      </c>
      <c r="C55" s="758" t="s">
        <v>464</v>
      </c>
      <c r="D55" s="758" t="s">
        <v>465</v>
      </c>
      <c r="E55" s="758"/>
      <c r="F55" s="758" t="s">
        <v>374</v>
      </c>
      <c r="G55" s="775" t="s">
        <v>365</v>
      </c>
      <c r="H55" s="758">
        <v>3.05</v>
      </c>
      <c r="I55" s="758">
        <v>120</v>
      </c>
      <c r="J55" s="764"/>
      <c r="K55" s="764">
        <v>168.15596330275227</v>
      </c>
      <c r="L55" s="764">
        <v>8.4077981651376135</v>
      </c>
      <c r="M55" s="758">
        <v>50</v>
      </c>
      <c r="N55" s="765">
        <v>5.8854587155963296</v>
      </c>
      <c r="O55" s="764">
        <v>0.18</v>
      </c>
      <c r="P55" s="725">
        <v>6.0654587155963293</v>
      </c>
      <c r="Q55" s="726">
        <v>8.6649410222804715</v>
      </c>
      <c r="R55" s="726">
        <v>9.3314749470712748</v>
      </c>
      <c r="S55" s="726">
        <v>10.109097859327216</v>
      </c>
      <c r="T55" s="727">
        <v>11.028106755629688</v>
      </c>
    </row>
    <row r="56" spans="1:21" ht="27.95" hidden="1" customHeight="1" x14ac:dyDescent="0.25">
      <c r="B56" s="763" t="s">
        <v>362</v>
      </c>
      <c r="C56" s="758" t="s">
        <v>466</v>
      </c>
      <c r="D56" s="758" t="s">
        <v>467</v>
      </c>
      <c r="E56" s="758"/>
      <c r="F56" s="758" t="s">
        <v>377</v>
      </c>
      <c r="G56" s="775" t="s">
        <v>365</v>
      </c>
      <c r="H56" s="758">
        <v>3.05</v>
      </c>
      <c r="I56" s="758">
        <v>120</v>
      </c>
      <c r="J56" s="764"/>
      <c r="K56" s="764">
        <v>168.15596330275227</v>
      </c>
      <c r="L56" s="764">
        <v>8.4077981651376135</v>
      </c>
      <c r="M56" s="758">
        <v>50</v>
      </c>
      <c r="N56" s="765">
        <v>5.8854587155963296</v>
      </c>
      <c r="O56" s="764">
        <v>0.18</v>
      </c>
      <c r="P56" s="725">
        <v>6.0654587155963293</v>
      </c>
      <c r="Q56" s="726">
        <v>8.6649410222804715</v>
      </c>
      <c r="R56" s="726">
        <v>9.3314749470712748</v>
      </c>
      <c r="S56" s="726">
        <v>10.109097859327216</v>
      </c>
      <c r="T56" s="727">
        <v>11.028106755629688</v>
      </c>
    </row>
    <row r="57" spans="1:21" ht="27.95" hidden="1" customHeight="1" x14ac:dyDescent="0.25">
      <c r="B57" s="763" t="s">
        <v>362</v>
      </c>
      <c r="C57" s="758" t="s">
        <v>468</v>
      </c>
      <c r="D57" s="758" t="s">
        <v>469</v>
      </c>
      <c r="E57" s="758"/>
      <c r="F57" s="758" t="s">
        <v>380</v>
      </c>
      <c r="G57" s="775" t="s">
        <v>365</v>
      </c>
      <c r="H57" s="758">
        <v>3.05</v>
      </c>
      <c r="I57" s="758">
        <v>120</v>
      </c>
      <c r="J57" s="764"/>
      <c r="K57" s="764">
        <v>168.15596330275227</v>
      </c>
      <c r="L57" s="764">
        <v>8.4077981651376135</v>
      </c>
      <c r="M57" s="758">
        <v>50</v>
      </c>
      <c r="N57" s="765">
        <v>5.8854587155963296</v>
      </c>
      <c r="O57" s="764">
        <v>0.18</v>
      </c>
      <c r="P57" s="725">
        <v>6.0654587155963293</v>
      </c>
      <c r="Q57" s="726">
        <v>8.6649410222804715</v>
      </c>
      <c r="R57" s="726">
        <v>9.3314749470712748</v>
      </c>
      <c r="S57" s="726">
        <v>10.109097859327216</v>
      </c>
      <c r="T57" s="727">
        <v>11.028106755629688</v>
      </c>
    </row>
    <row r="58" spans="1:21" ht="27.95" hidden="1" customHeight="1" thickBot="1" x14ac:dyDescent="0.3">
      <c r="B58" s="766" t="s">
        <v>362</v>
      </c>
      <c r="C58" s="767" t="s">
        <v>470</v>
      </c>
      <c r="D58" s="767" t="s">
        <v>471</v>
      </c>
      <c r="E58" s="767"/>
      <c r="F58" s="767" t="s">
        <v>472</v>
      </c>
      <c r="G58" s="805" t="s">
        <v>365</v>
      </c>
      <c r="H58" s="767">
        <v>3.05</v>
      </c>
      <c r="I58" s="767">
        <v>120</v>
      </c>
      <c r="J58" s="768"/>
      <c r="K58" s="768">
        <v>168.15596330275227</v>
      </c>
      <c r="L58" s="768">
        <v>8.4077981651376135</v>
      </c>
      <c r="M58" s="767">
        <v>50</v>
      </c>
      <c r="N58" s="769">
        <v>5.8854587155963296</v>
      </c>
      <c r="O58" s="768">
        <v>0.18</v>
      </c>
      <c r="P58" s="732">
        <v>6.0654587155963293</v>
      </c>
      <c r="Q58" s="733">
        <v>8.6649410222804715</v>
      </c>
      <c r="R58" s="733">
        <v>9.3314749470712748</v>
      </c>
      <c r="S58" s="733">
        <v>10.109097859327216</v>
      </c>
      <c r="T58" s="734">
        <v>11.028106755629688</v>
      </c>
    </row>
    <row r="59" spans="1:21" s="712" customFormat="1" ht="27.95" hidden="1" customHeight="1" x14ac:dyDescent="0.25">
      <c r="A59" s="698"/>
      <c r="B59" s="812" t="s">
        <v>362</v>
      </c>
      <c r="C59" s="813" t="s">
        <v>473</v>
      </c>
      <c r="D59" s="813" t="s">
        <v>474</v>
      </c>
      <c r="E59" s="792"/>
      <c r="F59" s="814" t="s">
        <v>422</v>
      </c>
      <c r="G59" s="814" t="s">
        <v>365</v>
      </c>
      <c r="H59" s="813">
        <v>3.05</v>
      </c>
      <c r="I59" s="813">
        <v>120</v>
      </c>
      <c r="J59" s="815">
        <v>222.77</v>
      </c>
      <c r="K59" s="815"/>
      <c r="L59" s="815"/>
      <c r="M59" s="813"/>
      <c r="N59" s="816"/>
      <c r="O59" s="815"/>
      <c r="P59" s="811"/>
      <c r="Q59" s="796"/>
      <c r="R59" s="796"/>
      <c r="S59" s="796"/>
      <c r="T59" s="797"/>
    </row>
    <row r="60" spans="1:21" ht="27.95" hidden="1" customHeight="1" x14ac:dyDescent="0.25">
      <c r="B60" s="798" t="s">
        <v>362</v>
      </c>
      <c r="C60" s="799" t="s">
        <v>475</v>
      </c>
      <c r="D60" s="799" t="s">
        <v>476</v>
      </c>
      <c r="E60" s="799"/>
      <c r="F60" s="799" t="s">
        <v>477</v>
      </c>
      <c r="G60" s="800" t="s">
        <v>365</v>
      </c>
      <c r="H60" s="799">
        <v>3.05</v>
      </c>
      <c r="I60" s="799">
        <v>120</v>
      </c>
      <c r="J60" s="801"/>
      <c r="K60" s="801">
        <v>204.37614678899081</v>
      </c>
      <c r="L60" s="801">
        <v>10.21880733944954</v>
      </c>
      <c r="M60" s="799">
        <v>50</v>
      </c>
      <c r="N60" s="802">
        <v>7.1531651376146783</v>
      </c>
      <c r="O60" s="801">
        <v>0.18</v>
      </c>
      <c r="P60" s="725">
        <v>7.333165137614678</v>
      </c>
      <c r="Q60" s="803">
        <v>10.475950196592398</v>
      </c>
      <c r="R60" s="803">
        <v>11.281792519407196</v>
      </c>
      <c r="S60" s="803">
        <v>12.221941896024465</v>
      </c>
      <c r="T60" s="804">
        <v>13.333027522935778</v>
      </c>
    </row>
    <row r="61" spans="1:21" ht="27.95" hidden="1" customHeight="1" x14ac:dyDescent="0.25">
      <c r="B61" s="798" t="s">
        <v>362</v>
      </c>
      <c r="C61" s="799" t="s">
        <v>478</v>
      </c>
      <c r="D61" s="799" t="s">
        <v>479</v>
      </c>
      <c r="E61" s="799"/>
      <c r="F61" s="799" t="s">
        <v>480</v>
      </c>
      <c r="G61" s="800" t="s">
        <v>365</v>
      </c>
      <c r="H61" s="799">
        <v>3.05</v>
      </c>
      <c r="I61" s="799">
        <v>120</v>
      </c>
      <c r="J61" s="801"/>
      <c r="K61" s="801">
        <v>204.37614678899081</v>
      </c>
      <c r="L61" s="801">
        <v>10.21880733944954</v>
      </c>
      <c r="M61" s="799">
        <v>50</v>
      </c>
      <c r="N61" s="802">
        <v>7.1531651376146783</v>
      </c>
      <c r="O61" s="801">
        <v>0.18</v>
      </c>
      <c r="P61" s="725">
        <v>7.333165137614678</v>
      </c>
      <c r="Q61" s="803">
        <v>10.475950196592398</v>
      </c>
      <c r="R61" s="803">
        <v>11.281792519407196</v>
      </c>
      <c r="S61" s="803">
        <v>12.221941896024465</v>
      </c>
      <c r="T61" s="804">
        <v>13.333027522935778</v>
      </c>
    </row>
    <row r="62" spans="1:21" ht="27.95" hidden="1" customHeight="1" x14ac:dyDescent="0.25">
      <c r="B62" s="798" t="s">
        <v>362</v>
      </c>
      <c r="C62" s="799" t="s">
        <v>481</v>
      </c>
      <c r="D62" s="799" t="s">
        <v>482</v>
      </c>
      <c r="E62" s="799"/>
      <c r="F62" s="799" t="s">
        <v>483</v>
      </c>
      <c r="G62" s="800" t="s">
        <v>365</v>
      </c>
      <c r="H62" s="799">
        <v>3.05</v>
      </c>
      <c r="I62" s="799">
        <v>120</v>
      </c>
      <c r="J62" s="801"/>
      <c r="K62" s="801">
        <v>204.37614678899081</v>
      </c>
      <c r="L62" s="801">
        <v>10.21880733944954</v>
      </c>
      <c r="M62" s="799">
        <v>50</v>
      </c>
      <c r="N62" s="802">
        <v>7.1531651376146783</v>
      </c>
      <c r="O62" s="801">
        <v>0.18</v>
      </c>
      <c r="P62" s="725">
        <v>7.333165137614678</v>
      </c>
      <c r="Q62" s="803">
        <v>10.475950196592398</v>
      </c>
      <c r="R62" s="803">
        <v>11.281792519407196</v>
      </c>
      <c r="S62" s="803">
        <v>12.221941896024465</v>
      </c>
      <c r="T62" s="804">
        <v>13.333027522935778</v>
      </c>
    </row>
    <row r="63" spans="1:21" ht="27.95" hidden="1" customHeight="1" x14ac:dyDescent="0.25">
      <c r="B63" s="798" t="s">
        <v>362</v>
      </c>
      <c r="C63" s="799" t="s">
        <v>484</v>
      </c>
      <c r="D63" s="799" t="s">
        <v>485</v>
      </c>
      <c r="E63" s="799"/>
      <c r="F63" s="799" t="s">
        <v>486</v>
      </c>
      <c r="G63" s="800" t="s">
        <v>365</v>
      </c>
      <c r="H63" s="799">
        <v>3.05</v>
      </c>
      <c r="I63" s="799">
        <v>120</v>
      </c>
      <c r="J63" s="801"/>
      <c r="K63" s="801">
        <v>204.37614678899081</v>
      </c>
      <c r="L63" s="801">
        <v>10.21880733944954</v>
      </c>
      <c r="M63" s="799">
        <v>50</v>
      </c>
      <c r="N63" s="802">
        <v>7.1531651376146783</v>
      </c>
      <c r="O63" s="801">
        <v>0.18</v>
      </c>
      <c r="P63" s="725">
        <v>7.333165137614678</v>
      </c>
      <c r="Q63" s="803">
        <v>10.475950196592398</v>
      </c>
      <c r="R63" s="803">
        <v>11.281792519407196</v>
      </c>
      <c r="S63" s="803">
        <v>12.221941896024465</v>
      </c>
      <c r="T63" s="804">
        <v>13.333027522935778</v>
      </c>
    </row>
    <row r="64" spans="1:21" ht="27.95" hidden="1" customHeight="1" thickBot="1" x14ac:dyDescent="0.3">
      <c r="A64" s="698"/>
      <c r="B64" s="776" t="s">
        <v>487</v>
      </c>
      <c r="C64" s="777" t="s">
        <v>488</v>
      </c>
      <c r="D64" s="777" t="s">
        <v>489</v>
      </c>
      <c r="E64" s="767"/>
      <c r="F64" s="777"/>
      <c r="G64" s="778" t="s">
        <v>490</v>
      </c>
      <c r="H64" s="777">
        <v>3</v>
      </c>
      <c r="I64" s="777">
        <v>118</v>
      </c>
      <c r="J64" s="779">
        <v>263.01</v>
      </c>
      <c r="K64" s="779"/>
      <c r="L64" s="779"/>
      <c r="M64" s="777"/>
      <c r="N64" s="780"/>
      <c r="O64" s="779"/>
      <c r="P64" s="781"/>
      <c r="Q64" s="733"/>
      <c r="R64" s="733"/>
      <c r="S64" s="733"/>
      <c r="T64" s="734"/>
      <c r="U64" s="712"/>
    </row>
    <row r="65" spans="1:21" s="712" customFormat="1" ht="27.95" hidden="1" customHeight="1" x14ac:dyDescent="0.25">
      <c r="A65" s="697"/>
      <c r="B65" s="770" t="s">
        <v>487</v>
      </c>
      <c r="C65" s="771" t="s">
        <v>493</v>
      </c>
      <c r="D65" s="771" t="s">
        <v>494</v>
      </c>
      <c r="E65" s="771"/>
      <c r="F65" s="771" t="s">
        <v>413</v>
      </c>
      <c r="G65" s="782" t="s">
        <v>490</v>
      </c>
      <c r="H65" s="771">
        <v>3</v>
      </c>
      <c r="I65" s="771">
        <v>118</v>
      </c>
      <c r="J65" s="772"/>
      <c r="K65" s="772">
        <v>241.29357798165134</v>
      </c>
      <c r="L65" s="772">
        <v>12.064678899082567</v>
      </c>
      <c r="M65" s="771">
        <v>30</v>
      </c>
      <c r="N65" s="773">
        <v>8.4452752293577973</v>
      </c>
      <c r="O65" s="772">
        <v>0.3</v>
      </c>
      <c r="P65" s="717">
        <v>8.745275229357798</v>
      </c>
      <c r="Q65" s="735">
        <v>12.493250327653998</v>
      </c>
      <c r="R65" s="735">
        <v>13.454269583627381</v>
      </c>
      <c r="S65" s="735">
        <v>14.57545871559633</v>
      </c>
      <c r="T65" s="736">
        <v>15.900500417014177</v>
      </c>
      <c r="U65" s="701"/>
    </row>
    <row r="66" spans="1:21" ht="27.95" hidden="1" customHeight="1" x14ac:dyDescent="0.25">
      <c r="B66" s="763" t="s">
        <v>487</v>
      </c>
      <c r="C66" s="758" t="s">
        <v>495</v>
      </c>
      <c r="D66" s="758" t="s">
        <v>496</v>
      </c>
      <c r="E66" s="758"/>
      <c r="F66" s="758" t="s">
        <v>371</v>
      </c>
      <c r="G66" s="775" t="s">
        <v>490</v>
      </c>
      <c r="H66" s="758">
        <v>3</v>
      </c>
      <c r="I66" s="758">
        <v>118</v>
      </c>
      <c r="J66" s="764"/>
      <c r="K66" s="764">
        <v>241.29357798165134</v>
      </c>
      <c r="L66" s="764">
        <v>12.064678899082567</v>
      </c>
      <c r="M66" s="758">
        <v>30</v>
      </c>
      <c r="N66" s="765">
        <v>8.4452752293577973</v>
      </c>
      <c r="O66" s="764">
        <v>0.3</v>
      </c>
      <c r="P66" s="725">
        <v>8.745275229357798</v>
      </c>
      <c r="Q66" s="726">
        <v>12.493250327653998</v>
      </c>
      <c r="R66" s="726">
        <v>13.454269583627381</v>
      </c>
      <c r="S66" s="726">
        <v>14.57545871559633</v>
      </c>
      <c r="T66" s="727">
        <v>15.900500417014177</v>
      </c>
    </row>
    <row r="67" spans="1:21" ht="27.95" hidden="1" customHeight="1" x14ac:dyDescent="0.25">
      <c r="B67" s="763" t="s">
        <v>487</v>
      </c>
      <c r="C67" s="758" t="s">
        <v>497</v>
      </c>
      <c r="D67" s="758" t="s">
        <v>498</v>
      </c>
      <c r="E67" s="758"/>
      <c r="F67" s="758" t="s">
        <v>453</v>
      </c>
      <c r="G67" s="775" t="s">
        <v>490</v>
      </c>
      <c r="H67" s="758">
        <v>3</v>
      </c>
      <c r="I67" s="758">
        <v>118</v>
      </c>
      <c r="J67" s="764"/>
      <c r="K67" s="764">
        <v>241.29357798165134</v>
      </c>
      <c r="L67" s="764">
        <v>12.064678899082567</v>
      </c>
      <c r="M67" s="758">
        <v>30</v>
      </c>
      <c r="N67" s="765">
        <v>8.4452752293577973</v>
      </c>
      <c r="O67" s="764">
        <v>0.3</v>
      </c>
      <c r="P67" s="725">
        <v>8.745275229357798</v>
      </c>
      <c r="Q67" s="726">
        <v>12.493250327653998</v>
      </c>
      <c r="R67" s="726">
        <v>13.454269583627381</v>
      </c>
      <c r="S67" s="726">
        <v>14.57545871559633</v>
      </c>
      <c r="T67" s="727">
        <v>15.900500417014177</v>
      </c>
    </row>
    <row r="68" spans="1:21" ht="27.95" hidden="1" customHeight="1" x14ac:dyDescent="0.25">
      <c r="B68" s="763" t="s">
        <v>487</v>
      </c>
      <c r="C68" s="758" t="s">
        <v>499</v>
      </c>
      <c r="D68" s="758" t="s">
        <v>500</v>
      </c>
      <c r="E68" s="758"/>
      <c r="F68" s="758" t="s">
        <v>501</v>
      </c>
      <c r="G68" s="775" t="s">
        <v>490</v>
      </c>
      <c r="H68" s="758">
        <v>3</v>
      </c>
      <c r="I68" s="758">
        <v>118</v>
      </c>
      <c r="J68" s="764"/>
      <c r="K68" s="764">
        <v>241.29357798165134</v>
      </c>
      <c r="L68" s="764">
        <v>12.064678899082567</v>
      </c>
      <c r="M68" s="758">
        <v>30</v>
      </c>
      <c r="N68" s="765">
        <v>8.4452752293577973</v>
      </c>
      <c r="O68" s="764">
        <v>0.3</v>
      </c>
      <c r="P68" s="725">
        <v>8.745275229357798</v>
      </c>
      <c r="Q68" s="726">
        <v>12.493250327653998</v>
      </c>
      <c r="R68" s="726">
        <v>13.454269583627381</v>
      </c>
      <c r="S68" s="726">
        <v>14.57545871559633</v>
      </c>
      <c r="T68" s="727">
        <v>15.900500417014177</v>
      </c>
    </row>
    <row r="69" spans="1:21" ht="27.95" hidden="1" customHeight="1" thickBot="1" x14ac:dyDescent="0.3">
      <c r="A69" s="698"/>
      <c r="B69" s="776" t="s">
        <v>487</v>
      </c>
      <c r="C69" s="777" t="s">
        <v>488</v>
      </c>
      <c r="D69" s="777" t="s">
        <v>502</v>
      </c>
      <c r="E69" s="767"/>
      <c r="F69" s="777"/>
      <c r="G69" s="778" t="s">
        <v>490</v>
      </c>
      <c r="H69" s="777">
        <v>2.8</v>
      </c>
      <c r="I69" s="777">
        <v>110</v>
      </c>
      <c r="J69" s="779">
        <v>263.01</v>
      </c>
      <c r="K69" s="779"/>
      <c r="L69" s="779"/>
      <c r="M69" s="777"/>
      <c r="N69" s="780"/>
      <c r="O69" s="779"/>
      <c r="P69" s="781"/>
      <c r="Q69" s="733"/>
      <c r="R69" s="733"/>
      <c r="S69" s="733"/>
      <c r="T69" s="734"/>
      <c r="U69" s="712"/>
    </row>
    <row r="70" spans="1:21" s="712" customFormat="1" ht="27.95" hidden="1" customHeight="1" x14ac:dyDescent="0.25">
      <c r="A70" s="697"/>
      <c r="B70" s="770" t="s">
        <v>487</v>
      </c>
      <c r="C70" s="771" t="s">
        <v>491</v>
      </c>
      <c r="D70" s="771" t="s">
        <v>503</v>
      </c>
      <c r="E70" s="771"/>
      <c r="F70" s="771" t="s">
        <v>448</v>
      </c>
      <c r="G70" s="782" t="s">
        <v>490</v>
      </c>
      <c r="H70" s="771">
        <v>2.8</v>
      </c>
      <c r="I70" s="771">
        <v>110</v>
      </c>
      <c r="J70" s="772"/>
      <c r="K70" s="772">
        <v>241.29357798165134</v>
      </c>
      <c r="L70" s="772">
        <v>12.064678899082567</v>
      </c>
      <c r="M70" s="771">
        <v>30</v>
      </c>
      <c r="N70" s="773">
        <v>8.4452752293577973</v>
      </c>
      <c r="O70" s="772">
        <v>0.3</v>
      </c>
      <c r="P70" s="717">
        <v>8.745275229357798</v>
      </c>
      <c r="Q70" s="735">
        <v>12.493250327653998</v>
      </c>
      <c r="R70" s="735">
        <v>13.454269583627381</v>
      </c>
      <c r="S70" s="735">
        <v>14.57545871559633</v>
      </c>
      <c r="T70" s="736">
        <v>15.900500417014177</v>
      </c>
      <c r="U70" s="701"/>
    </row>
    <row r="71" spans="1:21" ht="27.95" hidden="1" customHeight="1" x14ac:dyDescent="0.25">
      <c r="B71" s="763" t="s">
        <v>487</v>
      </c>
      <c r="C71" s="758" t="s">
        <v>493</v>
      </c>
      <c r="D71" s="758" t="s">
        <v>504</v>
      </c>
      <c r="E71" s="758"/>
      <c r="F71" s="758" t="s">
        <v>413</v>
      </c>
      <c r="G71" s="775" t="s">
        <v>490</v>
      </c>
      <c r="H71" s="758">
        <v>2.8</v>
      </c>
      <c r="I71" s="758">
        <v>110</v>
      </c>
      <c r="J71" s="764"/>
      <c r="K71" s="764">
        <v>241.29357798165134</v>
      </c>
      <c r="L71" s="764">
        <v>12.064678899082567</v>
      </c>
      <c r="M71" s="758">
        <v>30</v>
      </c>
      <c r="N71" s="765">
        <v>8.4452752293577973</v>
      </c>
      <c r="O71" s="764">
        <v>0.3</v>
      </c>
      <c r="P71" s="725">
        <v>8.745275229357798</v>
      </c>
      <c r="Q71" s="726">
        <v>12.493250327653998</v>
      </c>
      <c r="R71" s="726">
        <v>13.454269583627381</v>
      </c>
      <c r="S71" s="726">
        <v>14.57545871559633</v>
      </c>
      <c r="T71" s="727">
        <v>15.900500417014177</v>
      </c>
    </row>
    <row r="72" spans="1:21" ht="27.95" hidden="1" customHeight="1" x14ac:dyDescent="0.25">
      <c r="B72" s="763" t="s">
        <v>487</v>
      </c>
      <c r="C72" s="758" t="s">
        <v>495</v>
      </c>
      <c r="D72" s="758" t="s">
        <v>505</v>
      </c>
      <c r="E72" s="758"/>
      <c r="F72" s="758" t="s">
        <v>371</v>
      </c>
      <c r="G72" s="775" t="s">
        <v>490</v>
      </c>
      <c r="H72" s="758">
        <v>2.8</v>
      </c>
      <c r="I72" s="758">
        <v>110</v>
      </c>
      <c r="J72" s="764"/>
      <c r="K72" s="764">
        <v>241.29357798165134</v>
      </c>
      <c r="L72" s="764">
        <v>12.064678899082567</v>
      </c>
      <c r="M72" s="758">
        <v>30</v>
      </c>
      <c r="N72" s="765">
        <v>8.4452752293577973</v>
      </c>
      <c r="O72" s="764">
        <v>0.3</v>
      </c>
      <c r="P72" s="725">
        <v>8.745275229357798</v>
      </c>
      <c r="Q72" s="726">
        <v>12.493250327653998</v>
      </c>
      <c r="R72" s="726">
        <v>13.454269583627381</v>
      </c>
      <c r="S72" s="726">
        <v>14.57545871559633</v>
      </c>
      <c r="T72" s="727">
        <v>15.900500417014177</v>
      </c>
    </row>
    <row r="73" spans="1:21" ht="27.95" hidden="1" customHeight="1" x14ac:dyDescent="0.25">
      <c r="B73" s="763" t="s">
        <v>487</v>
      </c>
      <c r="C73" s="758" t="s">
        <v>497</v>
      </c>
      <c r="D73" s="758" t="s">
        <v>506</v>
      </c>
      <c r="E73" s="758"/>
      <c r="F73" s="758" t="s">
        <v>453</v>
      </c>
      <c r="G73" s="775" t="s">
        <v>490</v>
      </c>
      <c r="H73" s="758">
        <v>2.8</v>
      </c>
      <c r="I73" s="758">
        <v>110</v>
      </c>
      <c r="J73" s="764"/>
      <c r="K73" s="764">
        <v>241.29357798165134</v>
      </c>
      <c r="L73" s="764">
        <v>12.064678899082567</v>
      </c>
      <c r="M73" s="758">
        <v>30</v>
      </c>
      <c r="N73" s="765">
        <v>8.4452752293577973</v>
      </c>
      <c r="O73" s="764">
        <v>0.3</v>
      </c>
      <c r="P73" s="725">
        <v>8.745275229357798</v>
      </c>
      <c r="Q73" s="726">
        <v>12.493250327653998</v>
      </c>
      <c r="R73" s="726">
        <v>13.454269583627381</v>
      </c>
      <c r="S73" s="726">
        <v>14.57545871559633</v>
      </c>
      <c r="T73" s="727">
        <v>15.900500417014177</v>
      </c>
    </row>
    <row r="74" spans="1:21" ht="27.95" hidden="1" customHeight="1" x14ac:dyDescent="0.25">
      <c r="B74" s="763" t="s">
        <v>487</v>
      </c>
      <c r="C74" s="758" t="s">
        <v>499</v>
      </c>
      <c r="D74" s="758" t="s">
        <v>507</v>
      </c>
      <c r="E74" s="758"/>
      <c r="F74" s="758" t="s">
        <v>501</v>
      </c>
      <c r="G74" s="775" t="s">
        <v>490</v>
      </c>
      <c r="H74" s="758">
        <v>2.8</v>
      </c>
      <c r="I74" s="758">
        <v>110</v>
      </c>
      <c r="J74" s="764"/>
      <c r="K74" s="764">
        <v>241.29357798165134</v>
      </c>
      <c r="L74" s="764">
        <v>12.064678899082567</v>
      </c>
      <c r="M74" s="758">
        <v>30</v>
      </c>
      <c r="N74" s="765">
        <v>8.4452752293577973</v>
      </c>
      <c r="O74" s="764">
        <v>0.3</v>
      </c>
      <c r="P74" s="725">
        <v>8.745275229357798</v>
      </c>
      <c r="Q74" s="726">
        <v>12.493250327653998</v>
      </c>
      <c r="R74" s="726">
        <v>13.454269583627381</v>
      </c>
      <c r="S74" s="726">
        <v>14.57545871559633</v>
      </c>
      <c r="T74" s="727">
        <v>15.900500417014177</v>
      </c>
    </row>
    <row r="75" spans="1:21" ht="27.95" hidden="1" customHeight="1" x14ac:dyDescent="0.25">
      <c r="A75" s="698"/>
      <c r="B75" s="756" t="s">
        <v>487</v>
      </c>
      <c r="C75" s="757" t="s">
        <v>508</v>
      </c>
      <c r="D75" s="757" t="s">
        <v>509</v>
      </c>
      <c r="E75" s="758"/>
      <c r="F75" s="757"/>
      <c r="G75" s="774" t="s">
        <v>490</v>
      </c>
      <c r="H75" s="757">
        <v>2.8</v>
      </c>
      <c r="I75" s="757">
        <v>110</v>
      </c>
      <c r="J75" s="759">
        <v>430.39</v>
      </c>
      <c r="K75" s="759"/>
      <c r="L75" s="759"/>
      <c r="M75" s="757"/>
      <c r="N75" s="760"/>
      <c r="O75" s="759"/>
      <c r="P75" s="761"/>
      <c r="Q75" s="726"/>
      <c r="R75" s="726"/>
      <c r="S75" s="726"/>
      <c r="T75" s="727"/>
      <c r="U75" s="712"/>
    </row>
    <row r="76" spans="1:21" ht="27.95" hidden="1" customHeight="1" x14ac:dyDescent="0.25">
      <c r="B76" s="763" t="s">
        <v>487</v>
      </c>
      <c r="C76" s="758" t="s">
        <v>512</v>
      </c>
      <c r="D76" s="758" t="s">
        <v>513</v>
      </c>
      <c r="E76" s="758"/>
      <c r="F76" s="758" t="s">
        <v>374</v>
      </c>
      <c r="G76" s="775" t="s">
        <v>490</v>
      </c>
      <c r="H76" s="758">
        <v>2.8</v>
      </c>
      <c r="I76" s="758">
        <v>110</v>
      </c>
      <c r="J76" s="764"/>
      <c r="K76" s="764">
        <v>394.85321100917429</v>
      </c>
      <c r="L76" s="764">
        <v>19.742660550458716</v>
      </c>
      <c r="M76" s="758">
        <v>30</v>
      </c>
      <c r="N76" s="765">
        <v>13.8198623853211</v>
      </c>
      <c r="O76" s="764">
        <v>0.3</v>
      </c>
      <c r="P76" s="725">
        <v>14.119862385321101</v>
      </c>
      <c r="Q76" s="726">
        <v>20.171231979030146</v>
      </c>
      <c r="R76" s="726">
        <v>21.72286520818631</v>
      </c>
      <c r="S76" s="726">
        <v>23.53310397553517</v>
      </c>
      <c r="T76" s="727">
        <v>25.672477064220182</v>
      </c>
    </row>
    <row r="77" spans="1:21" ht="27.95" hidden="1" customHeight="1" x14ac:dyDescent="0.25">
      <c r="B77" s="763" t="s">
        <v>487</v>
      </c>
      <c r="C77" s="758" t="s">
        <v>514</v>
      </c>
      <c r="D77" s="758" t="s">
        <v>515</v>
      </c>
      <c r="E77" s="758"/>
      <c r="F77" s="758" t="s">
        <v>380</v>
      </c>
      <c r="G77" s="775" t="s">
        <v>490</v>
      </c>
      <c r="H77" s="758">
        <v>2.8</v>
      </c>
      <c r="I77" s="758">
        <v>110</v>
      </c>
      <c r="J77" s="764"/>
      <c r="K77" s="764">
        <v>394.85321100917429</v>
      </c>
      <c r="L77" s="764">
        <v>19.742660550458716</v>
      </c>
      <c r="M77" s="758">
        <v>30</v>
      </c>
      <c r="N77" s="765">
        <v>13.8198623853211</v>
      </c>
      <c r="O77" s="764">
        <v>0.3</v>
      </c>
      <c r="P77" s="725">
        <v>14.119862385321101</v>
      </c>
      <c r="Q77" s="726">
        <v>20.171231979030146</v>
      </c>
      <c r="R77" s="726">
        <v>21.72286520818631</v>
      </c>
      <c r="S77" s="726">
        <v>23.53310397553517</v>
      </c>
      <c r="T77" s="727">
        <v>25.672477064220182</v>
      </c>
    </row>
    <row r="78" spans="1:21" ht="27.95" hidden="1" customHeight="1" thickBot="1" x14ac:dyDescent="0.3">
      <c r="B78" s="766" t="s">
        <v>487</v>
      </c>
      <c r="C78" s="767" t="s">
        <v>516</v>
      </c>
      <c r="D78" s="767" t="s">
        <v>517</v>
      </c>
      <c r="E78" s="767"/>
      <c r="F78" s="767" t="s">
        <v>518</v>
      </c>
      <c r="G78" s="805" t="s">
        <v>490</v>
      </c>
      <c r="H78" s="767">
        <v>2.8</v>
      </c>
      <c r="I78" s="767">
        <v>110</v>
      </c>
      <c r="J78" s="768"/>
      <c r="K78" s="768">
        <v>394.85321100917429</v>
      </c>
      <c r="L78" s="768">
        <v>19.742660550458716</v>
      </c>
      <c r="M78" s="767">
        <v>30</v>
      </c>
      <c r="N78" s="769">
        <v>13.8198623853211</v>
      </c>
      <c r="O78" s="768">
        <v>0.3</v>
      </c>
      <c r="P78" s="732">
        <v>14.119862385321101</v>
      </c>
      <c r="Q78" s="733">
        <v>20.171231979030146</v>
      </c>
      <c r="R78" s="733">
        <v>21.72286520818631</v>
      </c>
      <c r="S78" s="733">
        <v>23.53310397553517</v>
      </c>
      <c r="T78" s="734">
        <v>25.672477064220182</v>
      </c>
    </row>
    <row r="79" spans="1:21" s="712" customFormat="1" ht="55.5" hidden="1" customHeight="1" x14ac:dyDescent="0.25">
      <c r="A79" s="698"/>
      <c r="B79" s="806" t="s">
        <v>487</v>
      </c>
      <c r="C79" s="807" t="s">
        <v>519</v>
      </c>
      <c r="D79" s="807" t="s">
        <v>520</v>
      </c>
      <c r="E79" s="771"/>
      <c r="F79" s="807"/>
      <c r="G79" s="808" t="s">
        <v>521</v>
      </c>
      <c r="H79" s="807">
        <v>2.8</v>
      </c>
      <c r="I79" s="807">
        <v>110</v>
      </c>
      <c r="J79" s="809">
        <v>542.1</v>
      </c>
      <c r="K79" s="809"/>
      <c r="L79" s="809"/>
      <c r="M79" s="807"/>
      <c r="N79" s="810"/>
      <c r="O79" s="809"/>
      <c r="P79" s="811"/>
      <c r="Q79" s="735"/>
      <c r="R79" s="735"/>
      <c r="S79" s="735"/>
      <c r="T79" s="736"/>
    </row>
    <row r="80" spans="1:21" ht="27.95" hidden="1" customHeight="1" x14ac:dyDescent="0.25">
      <c r="B80" s="763" t="s">
        <v>487</v>
      </c>
      <c r="C80" s="758" t="s">
        <v>524</v>
      </c>
      <c r="D80" s="758" t="s">
        <v>525</v>
      </c>
      <c r="E80" s="758"/>
      <c r="F80" s="758" t="s">
        <v>526</v>
      </c>
      <c r="G80" s="775" t="s">
        <v>521</v>
      </c>
      <c r="H80" s="758">
        <v>2.8</v>
      </c>
      <c r="I80" s="758">
        <v>110</v>
      </c>
      <c r="J80" s="764"/>
      <c r="K80" s="764">
        <v>497.33944954128441</v>
      </c>
      <c r="L80" s="764">
        <v>24.86697247706422</v>
      </c>
      <c r="M80" s="758">
        <v>30</v>
      </c>
      <c r="N80" s="765">
        <v>17.406880733944956</v>
      </c>
      <c r="O80" s="764">
        <v>0.3</v>
      </c>
      <c r="P80" s="725">
        <v>17.706880733944956</v>
      </c>
      <c r="Q80" s="726">
        <v>25.295543905635654</v>
      </c>
      <c r="R80" s="726">
        <v>27.241354975299931</v>
      </c>
      <c r="S80" s="726">
        <v>29.511467889908261</v>
      </c>
      <c r="T80" s="727">
        <v>32.194328607172643</v>
      </c>
    </row>
    <row r="81" spans="1:21" ht="27.95" hidden="1" customHeight="1" x14ac:dyDescent="0.25">
      <c r="B81" s="763" t="s">
        <v>487</v>
      </c>
      <c r="C81" s="758" t="s">
        <v>527</v>
      </c>
      <c r="D81" s="758" t="s">
        <v>528</v>
      </c>
      <c r="E81" s="758"/>
      <c r="F81" s="758" t="s">
        <v>413</v>
      </c>
      <c r="G81" s="775" t="s">
        <v>521</v>
      </c>
      <c r="H81" s="758">
        <v>2.8</v>
      </c>
      <c r="I81" s="758">
        <v>110</v>
      </c>
      <c r="J81" s="764"/>
      <c r="K81" s="764">
        <v>497.33944954128441</v>
      </c>
      <c r="L81" s="764">
        <v>24.86697247706422</v>
      </c>
      <c r="M81" s="758">
        <v>30</v>
      </c>
      <c r="N81" s="765">
        <v>17.406880733944956</v>
      </c>
      <c r="O81" s="764">
        <v>0.3</v>
      </c>
      <c r="P81" s="725">
        <v>17.706880733944956</v>
      </c>
      <c r="Q81" s="726">
        <v>25.295543905635654</v>
      </c>
      <c r="R81" s="726">
        <v>27.241354975299931</v>
      </c>
      <c r="S81" s="726">
        <v>29.511467889908261</v>
      </c>
      <c r="T81" s="727">
        <v>32.194328607172643</v>
      </c>
    </row>
    <row r="82" spans="1:21" ht="27.95" hidden="1" customHeight="1" x14ac:dyDescent="0.25">
      <c r="B82" s="763" t="s">
        <v>487</v>
      </c>
      <c r="C82" s="758" t="s">
        <v>529</v>
      </c>
      <c r="D82" s="758" t="s">
        <v>530</v>
      </c>
      <c r="E82" s="758"/>
      <c r="F82" s="758" t="s">
        <v>371</v>
      </c>
      <c r="G82" s="775" t="s">
        <v>521</v>
      </c>
      <c r="H82" s="758">
        <v>2.8</v>
      </c>
      <c r="I82" s="758">
        <v>110</v>
      </c>
      <c r="J82" s="764"/>
      <c r="K82" s="764">
        <v>497.33944954128441</v>
      </c>
      <c r="L82" s="764">
        <v>24.86697247706422</v>
      </c>
      <c r="M82" s="758">
        <v>30</v>
      </c>
      <c r="N82" s="765">
        <v>17.406880733944956</v>
      </c>
      <c r="O82" s="764">
        <v>0.3</v>
      </c>
      <c r="P82" s="725">
        <v>17.706880733944956</v>
      </c>
      <c r="Q82" s="726">
        <v>25.295543905635654</v>
      </c>
      <c r="R82" s="726">
        <v>27.241354975299931</v>
      </c>
      <c r="S82" s="726">
        <v>29.511467889908261</v>
      </c>
      <c r="T82" s="727">
        <v>32.194328607172643</v>
      </c>
    </row>
    <row r="83" spans="1:21" ht="27.95" hidden="1" customHeight="1" x14ac:dyDescent="0.25">
      <c r="B83" s="763" t="s">
        <v>487</v>
      </c>
      <c r="C83" s="758" t="s">
        <v>531</v>
      </c>
      <c r="D83" s="758" t="s">
        <v>532</v>
      </c>
      <c r="E83" s="758"/>
      <c r="F83" s="758" t="s">
        <v>374</v>
      </c>
      <c r="G83" s="775" t="s">
        <v>521</v>
      </c>
      <c r="H83" s="758">
        <v>2.8</v>
      </c>
      <c r="I83" s="758">
        <v>110</v>
      </c>
      <c r="J83" s="764"/>
      <c r="K83" s="764">
        <v>497.33944954128441</v>
      </c>
      <c r="L83" s="764">
        <v>24.86697247706422</v>
      </c>
      <c r="M83" s="758">
        <v>30</v>
      </c>
      <c r="N83" s="765">
        <v>17.406880733944956</v>
      </c>
      <c r="O83" s="764">
        <v>0.3</v>
      </c>
      <c r="P83" s="725">
        <v>17.706880733944956</v>
      </c>
      <c r="Q83" s="726">
        <v>25.295543905635654</v>
      </c>
      <c r="R83" s="726">
        <v>27.241354975299931</v>
      </c>
      <c r="S83" s="726">
        <v>29.511467889908261</v>
      </c>
      <c r="T83" s="727">
        <v>32.194328607172643</v>
      </c>
    </row>
    <row r="84" spans="1:21" ht="27.95" hidden="1" customHeight="1" x14ac:dyDescent="0.25">
      <c r="B84" s="763" t="s">
        <v>487</v>
      </c>
      <c r="C84" s="758" t="s">
        <v>533</v>
      </c>
      <c r="D84" s="758" t="s">
        <v>534</v>
      </c>
      <c r="E84" s="758"/>
      <c r="F84" s="758" t="s">
        <v>535</v>
      </c>
      <c r="G84" s="775" t="s">
        <v>521</v>
      </c>
      <c r="H84" s="758">
        <v>2.8</v>
      </c>
      <c r="I84" s="758">
        <v>110</v>
      </c>
      <c r="J84" s="764"/>
      <c r="K84" s="764">
        <v>497.33944954128441</v>
      </c>
      <c r="L84" s="764">
        <v>24.86697247706422</v>
      </c>
      <c r="M84" s="758">
        <v>30</v>
      </c>
      <c r="N84" s="765">
        <v>17.406880733944956</v>
      </c>
      <c r="O84" s="764">
        <v>0.3</v>
      </c>
      <c r="P84" s="725">
        <v>17.706880733944956</v>
      </c>
      <c r="Q84" s="726">
        <v>25.295543905635654</v>
      </c>
      <c r="R84" s="726">
        <v>27.241354975299931</v>
      </c>
      <c r="S84" s="726">
        <v>29.511467889908261</v>
      </c>
      <c r="T84" s="727">
        <v>32.194328607172643</v>
      </c>
    </row>
    <row r="85" spans="1:21" ht="27.95" hidden="1" customHeight="1" thickBot="1" x14ac:dyDescent="0.3">
      <c r="B85" s="766" t="s">
        <v>487</v>
      </c>
      <c r="C85" s="767" t="s">
        <v>536</v>
      </c>
      <c r="D85" s="767" t="s">
        <v>537</v>
      </c>
      <c r="E85" s="767"/>
      <c r="F85" s="767" t="s">
        <v>380</v>
      </c>
      <c r="G85" s="805" t="s">
        <v>521</v>
      </c>
      <c r="H85" s="767">
        <v>2.8</v>
      </c>
      <c r="I85" s="767">
        <v>110</v>
      </c>
      <c r="J85" s="768"/>
      <c r="K85" s="768">
        <v>497.33944954128441</v>
      </c>
      <c r="L85" s="768">
        <v>24.86697247706422</v>
      </c>
      <c r="M85" s="767">
        <v>30</v>
      </c>
      <c r="N85" s="769">
        <v>17.406880733944956</v>
      </c>
      <c r="O85" s="768">
        <v>0.3</v>
      </c>
      <c r="P85" s="732">
        <v>17.706880733944956</v>
      </c>
      <c r="Q85" s="733">
        <v>25.295543905635654</v>
      </c>
      <c r="R85" s="733">
        <v>27.241354975299931</v>
      </c>
      <c r="S85" s="733">
        <v>29.511467889908261</v>
      </c>
      <c r="T85" s="734">
        <v>32.194328607172643</v>
      </c>
    </row>
    <row r="86" spans="1:21" s="712" customFormat="1" ht="27.95" hidden="1" customHeight="1" x14ac:dyDescent="0.25">
      <c r="A86" s="697"/>
      <c r="B86" s="770" t="s">
        <v>487</v>
      </c>
      <c r="C86" s="771" t="s">
        <v>538</v>
      </c>
      <c r="D86" s="771" t="s">
        <v>539</v>
      </c>
      <c r="E86" s="771"/>
      <c r="F86" s="771" t="s">
        <v>453</v>
      </c>
      <c r="G86" s="782" t="s">
        <v>521</v>
      </c>
      <c r="H86" s="771">
        <v>2.8</v>
      </c>
      <c r="I86" s="771">
        <v>110</v>
      </c>
      <c r="J86" s="772"/>
      <c r="K86" s="772">
        <v>497.33944954128441</v>
      </c>
      <c r="L86" s="772">
        <v>24.86697247706422</v>
      </c>
      <c r="M86" s="771">
        <v>30</v>
      </c>
      <c r="N86" s="773">
        <v>17.406880733944956</v>
      </c>
      <c r="O86" s="772">
        <v>0.3</v>
      </c>
      <c r="P86" s="717">
        <v>17.706880733944956</v>
      </c>
      <c r="Q86" s="735">
        <v>25.295543905635654</v>
      </c>
      <c r="R86" s="735">
        <v>27.241354975299931</v>
      </c>
      <c r="S86" s="735">
        <v>29.511467889908261</v>
      </c>
      <c r="T86" s="736">
        <v>32.194328607172643</v>
      </c>
      <c r="U86" s="701"/>
    </row>
    <row r="87" spans="1:21" ht="27.95" hidden="1" customHeight="1" x14ac:dyDescent="0.25">
      <c r="A87" s="698"/>
      <c r="B87" s="817" t="s">
        <v>362</v>
      </c>
      <c r="C87" s="818" t="s">
        <v>540</v>
      </c>
      <c r="D87" s="818" t="s">
        <v>541</v>
      </c>
      <c r="E87" s="799"/>
      <c r="F87" s="819" t="s">
        <v>422</v>
      </c>
      <c r="G87" s="819" t="s">
        <v>365</v>
      </c>
      <c r="H87" s="818">
        <v>3</v>
      </c>
      <c r="I87" s="818">
        <v>118</v>
      </c>
      <c r="J87" s="820">
        <v>320.58</v>
      </c>
      <c r="K87" s="820"/>
      <c r="L87" s="820"/>
      <c r="M87" s="818"/>
      <c r="N87" s="821"/>
      <c r="O87" s="820"/>
      <c r="P87" s="761"/>
      <c r="Q87" s="803"/>
      <c r="R87" s="803"/>
      <c r="S87" s="803"/>
      <c r="T87" s="804"/>
      <c r="U87" s="712"/>
    </row>
    <row r="88" spans="1:21" ht="27.95" hidden="1" customHeight="1" x14ac:dyDescent="0.25">
      <c r="B88" s="798" t="s">
        <v>362</v>
      </c>
      <c r="C88" s="799" t="s">
        <v>542</v>
      </c>
      <c r="D88" s="799" t="s">
        <v>543</v>
      </c>
      <c r="E88" s="799"/>
      <c r="F88" s="799" t="s">
        <v>374</v>
      </c>
      <c r="G88" s="800" t="s">
        <v>365</v>
      </c>
      <c r="H88" s="799">
        <v>3</v>
      </c>
      <c r="I88" s="799">
        <v>118</v>
      </c>
      <c r="J88" s="801"/>
      <c r="K88" s="801">
        <v>294.11009174311926</v>
      </c>
      <c r="L88" s="801">
        <v>14.705504587155962</v>
      </c>
      <c r="M88" s="799">
        <v>50</v>
      </c>
      <c r="N88" s="802">
        <v>10.293853211009173</v>
      </c>
      <c r="O88" s="801">
        <v>0.18</v>
      </c>
      <c r="P88" s="725">
        <v>10.473853211009173</v>
      </c>
      <c r="Q88" s="803">
        <v>14.962647444298819</v>
      </c>
      <c r="R88" s="803">
        <v>16.113620324629498</v>
      </c>
      <c r="S88" s="803">
        <v>17.456422018348622</v>
      </c>
      <c r="T88" s="804">
        <v>19.04336947456213</v>
      </c>
    </row>
    <row r="89" spans="1:21" ht="27.95" hidden="1" customHeight="1" thickBot="1" x14ac:dyDescent="0.3">
      <c r="B89" s="822" t="s">
        <v>362</v>
      </c>
      <c r="C89" s="785" t="s">
        <v>544</v>
      </c>
      <c r="D89" s="785" t="s">
        <v>545</v>
      </c>
      <c r="E89" s="785"/>
      <c r="F89" s="785" t="s">
        <v>377</v>
      </c>
      <c r="G89" s="823" t="s">
        <v>365</v>
      </c>
      <c r="H89" s="785">
        <v>3</v>
      </c>
      <c r="I89" s="785">
        <v>118</v>
      </c>
      <c r="J89" s="824"/>
      <c r="K89" s="824">
        <v>294.11009174311926</v>
      </c>
      <c r="L89" s="824">
        <v>14.705504587155962</v>
      </c>
      <c r="M89" s="785">
        <v>50</v>
      </c>
      <c r="N89" s="825">
        <v>10.293853211009173</v>
      </c>
      <c r="O89" s="824">
        <v>0.18</v>
      </c>
      <c r="P89" s="732">
        <v>10.473853211009173</v>
      </c>
      <c r="Q89" s="789">
        <v>14.962647444298819</v>
      </c>
      <c r="R89" s="789">
        <v>16.113620324629498</v>
      </c>
      <c r="S89" s="789">
        <v>17.456422018348622</v>
      </c>
      <c r="T89" s="790">
        <v>19.04336947456213</v>
      </c>
    </row>
    <row r="90" spans="1:21" s="712" customFormat="1" ht="49.5" hidden="1" customHeight="1" x14ac:dyDescent="0.25">
      <c r="A90" s="697"/>
      <c r="B90" s="791" t="s">
        <v>362</v>
      </c>
      <c r="C90" s="792" t="s">
        <v>546</v>
      </c>
      <c r="D90" s="792" t="s">
        <v>547</v>
      </c>
      <c r="E90" s="792"/>
      <c r="F90" s="792" t="s">
        <v>403</v>
      </c>
      <c r="G90" s="793" t="s">
        <v>365</v>
      </c>
      <c r="H90" s="792">
        <v>3</v>
      </c>
      <c r="I90" s="792">
        <v>118</v>
      </c>
      <c r="J90" s="794"/>
      <c r="K90" s="794">
        <v>294.11009174311926</v>
      </c>
      <c r="L90" s="794">
        <v>14.705504587155962</v>
      </c>
      <c r="M90" s="792">
        <v>50</v>
      </c>
      <c r="N90" s="795">
        <v>10.293853211009173</v>
      </c>
      <c r="O90" s="794">
        <v>0.18</v>
      </c>
      <c r="P90" s="717">
        <v>10.473853211009173</v>
      </c>
      <c r="Q90" s="796">
        <v>14.962647444298819</v>
      </c>
      <c r="R90" s="796">
        <v>16.113620324629498</v>
      </c>
      <c r="S90" s="796">
        <v>17.456422018348622</v>
      </c>
      <c r="T90" s="797">
        <v>19.04336947456213</v>
      </c>
      <c r="U90" s="701"/>
    </row>
    <row r="91" spans="1:21" ht="27.95" hidden="1" customHeight="1" x14ac:dyDescent="0.25">
      <c r="B91" s="798" t="s">
        <v>362</v>
      </c>
      <c r="C91" s="799" t="s">
        <v>548</v>
      </c>
      <c r="D91" s="799" t="s">
        <v>549</v>
      </c>
      <c r="E91" s="799"/>
      <c r="F91" s="799" t="s">
        <v>380</v>
      </c>
      <c r="G91" s="800" t="s">
        <v>365</v>
      </c>
      <c r="H91" s="799">
        <v>3</v>
      </c>
      <c r="I91" s="799">
        <v>118</v>
      </c>
      <c r="J91" s="801"/>
      <c r="K91" s="801">
        <v>294.11009174311926</v>
      </c>
      <c r="L91" s="801">
        <v>14.705504587155962</v>
      </c>
      <c r="M91" s="799">
        <v>50</v>
      </c>
      <c r="N91" s="802">
        <v>10.293853211009173</v>
      </c>
      <c r="O91" s="801">
        <v>0.18</v>
      </c>
      <c r="P91" s="725">
        <v>10.473853211009173</v>
      </c>
      <c r="Q91" s="803">
        <v>14.962647444298819</v>
      </c>
      <c r="R91" s="803">
        <v>16.113620324629498</v>
      </c>
      <c r="S91" s="803">
        <v>17.456422018348622</v>
      </c>
      <c r="T91" s="804">
        <v>19.04336947456213</v>
      </c>
    </row>
    <row r="92" spans="1:21" ht="27.95" hidden="1" customHeight="1" x14ac:dyDescent="0.25">
      <c r="B92" s="798" t="s">
        <v>362</v>
      </c>
      <c r="C92" s="799" t="s">
        <v>550</v>
      </c>
      <c r="D92" s="799" t="s">
        <v>551</v>
      </c>
      <c r="E92" s="799"/>
      <c r="F92" s="799" t="s">
        <v>552</v>
      </c>
      <c r="G92" s="800" t="s">
        <v>365</v>
      </c>
      <c r="H92" s="799">
        <v>3</v>
      </c>
      <c r="I92" s="799">
        <v>118</v>
      </c>
      <c r="J92" s="801"/>
      <c r="K92" s="801">
        <v>294.11009174311926</v>
      </c>
      <c r="L92" s="801">
        <v>14.705504587155962</v>
      </c>
      <c r="M92" s="799">
        <v>50</v>
      </c>
      <c r="N92" s="802">
        <v>10.293853211009173</v>
      </c>
      <c r="O92" s="801">
        <v>0.18</v>
      </c>
      <c r="P92" s="725">
        <v>10.473853211009173</v>
      </c>
      <c r="Q92" s="803">
        <v>14.962647444298819</v>
      </c>
      <c r="R92" s="803">
        <v>16.113620324629498</v>
      </c>
      <c r="S92" s="803">
        <v>17.456422018348622</v>
      </c>
      <c r="T92" s="804">
        <v>19.04336947456213</v>
      </c>
    </row>
    <row r="93" spans="1:21" ht="27.95" hidden="1" customHeight="1" x14ac:dyDescent="0.25">
      <c r="B93" s="798" t="s">
        <v>362</v>
      </c>
      <c r="C93" s="799" t="s">
        <v>553</v>
      </c>
      <c r="D93" s="799" t="s">
        <v>554</v>
      </c>
      <c r="E93" s="799"/>
      <c r="F93" s="799" t="s">
        <v>413</v>
      </c>
      <c r="G93" s="800" t="s">
        <v>365</v>
      </c>
      <c r="H93" s="799">
        <v>3</v>
      </c>
      <c r="I93" s="799">
        <v>118</v>
      </c>
      <c r="J93" s="801"/>
      <c r="K93" s="801">
        <v>294.11009174311926</v>
      </c>
      <c r="L93" s="801">
        <v>14.705504587155962</v>
      </c>
      <c r="M93" s="799">
        <v>50</v>
      </c>
      <c r="N93" s="802">
        <v>10.293853211009173</v>
      </c>
      <c r="O93" s="801">
        <v>0.18</v>
      </c>
      <c r="P93" s="725">
        <v>10.473853211009173</v>
      </c>
      <c r="Q93" s="803">
        <v>14.962647444298819</v>
      </c>
      <c r="R93" s="803">
        <v>16.113620324629498</v>
      </c>
      <c r="S93" s="803">
        <v>17.456422018348622</v>
      </c>
      <c r="T93" s="804">
        <v>19.04336947456213</v>
      </c>
    </row>
    <row r="94" spans="1:21" ht="27.95" hidden="1" customHeight="1" x14ac:dyDescent="0.25">
      <c r="A94" s="698"/>
      <c r="B94" s="756" t="s">
        <v>362</v>
      </c>
      <c r="C94" s="757" t="s">
        <v>555</v>
      </c>
      <c r="D94" s="757" t="s">
        <v>556</v>
      </c>
      <c r="E94" s="758"/>
      <c r="F94" s="757"/>
      <c r="G94" s="774" t="s">
        <v>365</v>
      </c>
      <c r="H94" s="757">
        <v>3.2</v>
      </c>
      <c r="I94" s="757">
        <v>126</v>
      </c>
      <c r="J94" s="759">
        <v>396.86</v>
      </c>
      <c r="K94" s="759"/>
      <c r="L94" s="759"/>
      <c r="M94" s="757"/>
      <c r="N94" s="760"/>
      <c r="O94" s="759"/>
      <c r="P94" s="761"/>
      <c r="Q94" s="726"/>
      <c r="R94" s="726"/>
      <c r="S94" s="726"/>
      <c r="T94" s="727"/>
      <c r="U94" s="712"/>
    </row>
    <row r="95" spans="1:21" ht="27.95" hidden="1" customHeight="1" x14ac:dyDescent="0.25">
      <c r="B95" s="763" t="s">
        <v>362</v>
      </c>
      <c r="C95" s="758" t="s">
        <v>559</v>
      </c>
      <c r="D95" s="758" t="s">
        <v>560</v>
      </c>
      <c r="E95" s="758"/>
      <c r="F95" s="758" t="s">
        <v>453</v>
      </c>
      <c r="G95" s="758" t="s">
        <v>365</v>
      </c>
      <c r="H95" s="758">
        <v>3.2</v>
      </c>
      <c r="I95" s="758">
        <v>126</v>
      </c>
      <c r="J95" s="764"/>
      <c r="K95" s="764">
        <v>364.09174311926603</v>
      </c>
      <c r="L95" s="764">
        <v>18.204587155963303</v>
      </c>
      <c r="M95" s="758">
        <v>50</v>
      </c>
      <c r="N95" s="765">
        <v>12.743211009174313</v>
      </c>
      <c r="O95" s="764">
        <v>0.18</v>
      </c>
      <c r="P95" s="725">
        <v>12.923211009174313</v>
      </c>
      <c r="Q95" s="726">
        <v>18.461730013106163</v>
      </c>
      <c r="R95" s="726">
        <v>19.881863091037403</v>
      </c>
      <c r="S95" s="726">
        <v>21.538685015290522</v>
      </c>
      <c r="T95" s="727">
        <v>23.496747289407839</v>
      </c>
    </row>
    <row r="96" spans="1:21" ht="27.95" hidden="1" customHeight="1" x14ac:dyDescent="0.25">
      <c r="B96" s="763" t="s">
        <v>362</v>
      </c>
      <c r="C96" s="758" t="s">
        <v>561</v>
      </c>
      <c r="D96" s="758" t="s">
        <v>562</v>
      </c>
      <c r="E96" s="758"/>
      <c r="F96" s="758" t="s">
        <v>425</v>
      </c>
      <c r="G96" s="758" t="s">
        <v>365</v>
      </c>
      <c r="H96" s="758">
        <v>3.2</v>
      </c>
      <c r="I96" s="758">
        <v>126</v>
      </c>
      <c r="J96" s="764"/>
      <c r="K96" s="764">
        <v>364.09174311926603</v>
      </c>
      <c r="L96" s="764">
        <v>18.204587155963303</v>
      </c>
      <c r="M96" s="758">
        <v>50</v>
      </c>
      <c r="N96" s="765">
        <v>12.743211009174313</v>
      </c>
      <c r="O96" s="764">
        <v>0.18</v>
      </c>
      <c r="P96" s="725">
        <v>12.923211009174313</v>
      </c>
      <c r="Q96" s="726">
        <v>18.461730013106163</v>
      </c>
      <c r="R96" s="726">
        <v>19.881863091037403</v>
      </c>
      <c r="S96" s="726">
        <v>21.538685015290522</v>
      </c>
      <c r="T96" s="727">
        <v>23.496747289407839</v>
      </c>
    </row>
    <row r="97" spans="1:21" ht="27.95" hidden="1" customHeight="1" x14ac:dyDescent="0.25">
      <c r="A97" s="698"/>
      <c r="B97" s="817" t="s">
        <v>487</v>
      </c>
      <c r="C97" s="818" t="s">
        <v>563</v>
      </c>
      <c r="D97" s="818" t="s">
        <v>564</v>
      </c>
      <c r="E97" s="799"/>
      <c r="F97" s="819" t="s">
        <v>422</v>
      </c>
      <c r="G97" s="818" t="s">
        <v>565</v>
      </c>
      <c r="H97" s="818">
        <v>3</v>
      </c>
      <c r="I97" s="818">
        <v>118</v>
      </c>
      <c r="J97" s="820">
        <v>527.34</v>
      </c>
      <c r="K97" s="820"/>
      <c r="L97" s="820"/>
      <c r="M97" s="818"/>
      <c r="N97" s="821"/>
      <c r="O97" s="820"/>
      <c r="P97" s="761"/>
      <c r="Q97" s="803"/>
      <c r="R97" s="803"/>
      <c r="S97" s="803"/>
      <c r="T97" s="727"/>
      <c r="U97" s="712"/>
    </row>
    <row r="98" spans="1:21" ht="27.95" hidden="1" customHeight="1" x14ac:dyDescent="0.25">
      <c r="B98" s="798" t="s">
        <v>659</v>
      </c>
      <c r="C98" s="799" t="s">
        <v>566</v>
      </c>
      <c r="D98" s="799" t="s">
        <v>567</v>
      </c>
      <c r="E98" s="799"/>
      <c r="F98" s="799" t="s">
        <v>425</v>
      </c>
      <c r="G98" s="799" t="s">
        <v>565</v>
      </c>
      <c r="H98" s="799">
        <v>3</v>
      </c>
      <c r="I98" s="799">
        <v>118</v>
      </c>
      <c r="J98" s="801"/>
      <c r="K98" s="801">
        <v>483.79816513761466</v>
      </c>
      <c r="L98" s="801">
        <v>24.189908256880734</v>
      </c>
      <c r="M98" s="799">
        <v>30</v>
      </c>
      <c r="N98" s="802">
        <v>16.932935779816514</v>
      </c>
      <c r="O98" s="801">
        <v>0.3</v>
      </c>
      <c r="P98" s="725">
        <v>17.232935779816515</v>
      </c>
      <c r="Q98" s="803">
        <v>24.618479685452165</v>
      </c>
      <c r="R98" s="803">
        <v>26.512208892025406</v>
      </c>
      <c r="S98" s="803">
        <v>28.721559633027525</v>
      </c>
      <c r="T98" s="727">
        <v>31.332610508757298</v>
      </c>
    </row>
    <row r="99" spans="1:21" ht="27.95" hidden="1" customHeight="1" x14ac:dyDescent="0.25">
      <c r="B99" s="798" t="s">
        <v>487</v>
      </c>
      <c r="C99" s="799" t="s">
        <v>568</v>
      </c>
      <c r="D99" s="799" t="s">
        <v>569</v>
      </c>
      <c r="E99" s="799"/>
      <c r="F99" s="799" t="s">
        <v>501</v>
      </c>
      <c r="G99" s="799" t="s">
        <v>565</v>
      </c>
      <c r="H99" s="799">
        <v>3</v>
      </c>
      <c r="I99" s="799">
        <v>118</v>
      </c>
      <c r="J99" s="801"/>
      <c r="K99" s="801">
        <v>483.79816513761466</v>
      </c>
      <c r="L99" s="801">
        <v>24.189908256880734</v>
      </c>
      <c r="M99" s="799">
        <v>30</v>
      </c>
      <c r="N99" s="802">
        <v>16.932935779816514</v>
      </c>
      <c r="O99" s="801">
        <v>0.3</v>
      </c>
      <c r="P99" s="725">
        <v>17.232935779816515</v>
      </c>
      <c r="Q99" s="803">
        <v>24.618479685452165</v>
      </c>
      <c r="R99" s="803">
        <v>26.512208892025406</v>
      </c>
      <c r="S99" s="803">
        <v>28.721559633027525</v>
      </c>
      <c r="T99" s="727">
        <v>31.332610508757298</v>
      </c>
    </row>
    <row r="100" spans="1:21" ht="27.95" hidden="1" customHeight="1" x14ac:dyDescent="0.25">
      <c r="B100" s="798" t="s">
        <v>487</v>
      </c>
      <c r="C100" s="799" t="s">
        <v>570</v>
      </c>
      <c r="D100" s="799" t="s">
        <v>571</v>
      </c>
      <c r="E100" s="799"/>
      <c r="F100" s="799" t="s">
        <v>371</v>
      </c>
      <c r="G100" s="799" t="s">
        <v>565</v>
      </c>
      <c r="H100" s="799">
        <v>3</v>
      </c>
      <c r="I100" s="799">
        <v>118</v>
      </c>
      <c r="J100" s="801"/>
      <c r="K100" s="801">
        <v>483.79816513761466</v>
      </c>
      <c r="L100" s="801">
        <v>24.189908256880734</v>
      </c>
      <c r="M100" s="799">
        <v>30</v>
      </c>
      <c r="N100" s="802">
        <v>16.932935779816514</v>
      </c>
      <c r="O100" s="801">
        <v>0.3</v>
      </c>
      <c r="P100" s="725">
        <v>17.232935779816515</v>
      </c>
      <c r="Q100" s="803">
        <v>24.618479685452165</v>
      </c>
      <c r="R100" s="803">
        <v>26.512208892025406</v>
      </c>
      <c r="S100" s="803">
        <v>28.721559633027525</v>
      </c>
      <c r="T100" s="727">
        <v>31.332610508757298</v>
      </c>
    </row>
    <row r="101" spans="1:21" ht="27.95" customHeight="1" thickBot="1" x14ac:dyDescent="0.3">
      <c r="B101" s="822" t="s">
        <v>487</v>
      </c>
      <c r="C101" s="785" t="s">
        <v>572</v>
      </c>
      <c r="D101" s="785" t="s">
        <v>573</v>
      </c>
      <c r="E101" s="785"/>
      <c r="F101" s="785" t="s">
        <v>453</v>
      </c>
      <c r="G101" s="785" t="s">
        <v>565</v>
      </c>
      <c r="H101" s="785">
        <v>3</v>
      </c>
      <c r="I101" s="785">
        <v>118</v>
      </c>
      <c r="J101" s="824"/>
      <c r="K101" s="824">
        <v>483.79816513761466</v>
      </c>
      <c r="L101" s="824">
        <v>24.189908256880734</v>
      </c>
      <c r="M101" s="785">
        <v>30</v>
      </c>
      <c r="N101" s="825">
        <v>16.932935779816514</v>
      </c>
      <c r="O101" s="824">
        <v>0.3</v>
      </c>
      <c r="P101" s="732">
        <v>17.232935779816515</v>
      </c>
      <c r="Q101" s="789">
        <v>24.618479685452165</v>
      </c>
      <c r="R101" s="789">
        <v>26.512208892025406</v>
      </c>
      <c r="S101" s="789">
        <v>28.721559633027525</v>
      </c>
      <c r="T101" s="734">
        <v>31.332610508757298</v>
      </c>
    </row>
    <row r="102" spans="1:21" s="712" customFormat="1" ht="27.95" customHeight="1" x14ac:dyDescent="0.25">
      <c r="A102" s="697"/>
      <c r="B102" s="791" t="s">
        <v>487</v>
      </c>
      <c r="C102" s="792" t="s">
        <v>574</v>
      </c>
      <c r="D102" s="792" t="s">
        <v>575</v>
      </c>
      <c r="E102" s="792"/>
      <c r="F102" s="792" t="s">
        <v>576</v>
      </c>
      <c r="G102" s="792" t="s">
        <v>565</v>
      </c>
      <c r="H102" s="792">
        <v>3</v>
      </c>
      <c r="I102" s="792">
        <v>118</v>
      </c>
      <c r="J102" s="794"/>
      <c r="K102" s="794">
        <v>483.79816513761466</v>
      </c>
      <c r="L102" s="794">
        <v>24.189908256880734</v>
      </c>
      <c r="M102" s="792">
        <v>30</v>
      </c>
      <c r="N102" s="795">
        <v>16.932935779816514</v>
      </c>
      <c r="O102" s="794">
        <v>0.3</v>
      </c>
      <c r="P102" s="717">
        <v>17.232935779816515</v>
      </c>
      <c r="Q102" s="796">
        <v>24.618479685452165</v>
      </c>
      <c r="R102" s="796">
        <v>26.512208892025406</v>
      </c>
      <c r="S102" s="796">
        <v>28.721559633027525</v>
      </c>
      <c r="T102" s="736">
        <v>31.332610508757298</v>
      </c>
      <c r="U102" s="701"/>
    </row>
    <row r="103" spans="1:21" ht="27.95" customHeight="1" x14ac:dyDescent="0.25">
      <c r="B103" s="798" t="s">
        <v>487</v>
      </c>
      <c r="C103" s="799" t="s">
        <v>577</v>
      </c>
      <c r="D103" s="799" t="s">
        <v>578</v>
      </c>
      <c r="E103" s="799"/>
      <c r="F103" s="799" t="s">
        <v>579</v>
      </c>
      <c r="G103" s="799" t="s">
        <v>565</v>
      </c>
      <c r="H103" s="799">
        <v>3</v>
      </c>
      <c r="I103" s="799">
        <v>118</v>
      </c>
      <c r="J103" s="801"/>
      <c r="K103" s="801">
        <v>483.79816513761466</v>
      </c>
      <c r="L103" s="801">
        <v>24.189908256880734</v>
      </c>
      <c r="M103" s="799">
        <v>30</v>
      </c>
      <c r="N103" s="802">
        <v>16.932935779816514</v>
      </c>
      <c r="O103" s="801">
        <v>0.3</v>
      </c>
      <c r="P103" s="725">
        <v>17.232935779816515</v>
      </c>
      <c r="Q103" s="803">
        <v>24.618479685452165</v>
      </c>
      <c r="R103" s="803">
        <v>26.512208892025406</v>
      </c>
      <c r="S103" s="803">
        <v>28.721559633027525</v>
      </c>
      <c r="T103" s="727">
        <v>31.332610508757298</v>
      </c>
    </row>
    <row r="104" spans="1:21" ht="27.95" customHeight="1" x14ac:dyDescent="0.25">
      <c r="B104" s="798" t="s">
        <v>487</v>
      </c>
      <c r="C104" s="799" t="s">
        <v>580</v>
      </c>
      <c r="D104" s="799" t="s">
        <v>581</v>
      </c>
      <c r="E104" s="799"/>
      <c r="F104" s="799" t="s">
        <v>582</v>
      </c>
      <c r="G104" s="799" t="s">
        <v>565</v>
      </c>
      <c r="H104" s="799">
        <v>3</v>
      </c>
      <c r="I104" s="799">
        <v>118</v>
      </c>
      <c r="J104" s="801"/>
      <c r="K104" s="801">
        <v>483.79816513761466</v>
      </c>
      <c r="L104" s="801">
        <v>24.189908256880734</v>
      </c>
      <c r="M104" s="799">
        <v>30</v>
      </c>
      <c r="N104" s="802">
        <v>16.932935779816514</v>
      </c>
      <c r="O104" s="801">
        <v>0.3</v>
      </c>
      <c r="P104" s="725">
        <v>17.232935779816515</v>
      </c>
      <c r="Q104" s="803">
        <v>24.618479685452165</v>
      </c>
      <c r="R104" s="803">
        <v>26.512208892025406</v>
      </c>
      <c r="S104" s="803">
        <v>28.721559633027525</v>
      </c>
      <c r="T104" s="727">
        <v>31.332610508757298</v>
      </c>
    </row>
    <row r="105" spans="1:21" ht="27.95" customHeight="1" thickBot="1" x14ac:dyDescent="0.3">
      <c r="B105" s="822" t="s">
        <v>487</v>
      </c>
      <c r="C105" s="785" t="s">
        <v>583</v>
      </c>
      <c r="D105" s="785" t="s">
        <v>584</v>
      </c>
      <c r="E105" s="785"/>
      <c r="F105" s="785" t="s">
        <v>585</v>
      </c>
      <c r="G105" s="785" t="s">
        <v>565</v>
      </c>
      <c r="H105" s="785">
        <v>3</v>
      </c>
      <c r="I105" s="785">
        <v>118</v>
      </c>
      <c r="J105" s="824"/>
      <c r="K105" s="824">
        <v>483.79816513761466</v>
      </c>
      <c r="L105" s="824">
        <v>24.189908256880734</v>
      </c>
      <c r="M105" s="785">
        <v>30</v>
      </c>
      <c r="N105" s="825">
        <v>16.932935779816514</v>
      </c>
      <c r="O105" s="824">
        <v>0.3</v>
      </c>
      <c r="P105" s="732">
        <v>17.232935779816515</v>
      </c>
      <c r="Q105" s="789">
        <v>24.618479685452165</v>
      </c>
      <c r="R105" s="789">
        <v>26.512208892025406</v>
      </c>
      <c r="S105" s="789">
        <v>28.721559633027525</v>
      </c>
      <c r="T105" s="734">
        <v>31.332610508757298</v>
      </c>
    </row>
    <row r="106" spans="1:21" s="712" customFormat="1" ht="27.95" customHeight="1" x14ac:dyDescent="0.25">
      <c r="A106" s="697"/>
      <c r="B106" s="791" t="s">
        <v>487</v>
      </c>
      <c r="C106" s="792" t="s">
        <v>586</v>
      </c>
      <c r="D106" s="792" t="s">
        <v>587</v>
      </c>
      <c r="E106" s="792"/>
      <c r="F106" s="792" t="s">
        <v>588</v>
      </c>
      <c r="G106" s="792" t="s">
        <v>565</v>
      </c>
      <c r="H106" s="792">
        <v>3</v>
      </c>
      <c r="I106" s="792">
        <v>118</v>
      </c>
      <c r="J106" s="794"/>
      <c r="K106" s="794">
        <v>483.79816513761466</v>
      </c>
      <c r="L106" s="794">
        <v>24.189908256880734</v>
      </c>
      <c r="M106" s="792">
        <v>30</v>
      </c>
      <c r="N106" s="795">
        <v>16.932935779816514</v>
      </c>
      <c r="O106" s="794">
        <v>0.3</v>
      </c>
      <c r="P106" s="717">
        <v>17.232935779816515</v>
      </c>
      <c r="Q106" s="796">
        <v>24.618479685452165</v>
      </c>
      <c r="R106" s="796">
        <v>26.512208892025406</v>
      </c>
      <c r="S106" s="796">
        <v>28.721559633027525</v>
      </c>
      <c r="T106" s="736">
        <v>31.332610508757298</v>
      </c>
      <c r="U106" s="701"/>
    </row>
    <row r="107" spans="1:21" ht="27.95" customHeight="1" x14ac:dyDescent="0.25">
      <c r="B107" s="798" t="s">
        <v>487</v>
      </c>
      <c r="C107" s="799" t="s">
        <v>589</v>
      </c>
      <c r="D107" s="799" t="s">
        <v>590</v>
      </c>
      <c r="E107" s="799"/>
      <c r="F107" s="799" t="s">
        <v>472</v>
      </c>
      <c r="G107" s="799" t="s">
        <v>565</v>
      </c>
      <c r="H107" s="799">
        <v>3</v>
      </c>
      <c r="I107" s="799">
        <v>118</v>
      </c>
      <c r="J107" s="801"/>
      <c r="K107" s="801">
        <v>483.79816513761466</v>
      </c>
      <c r="L107" s="801">
        <v>24.189908256880734</v>
      </c>
      <c r="M107" s="799">
        <v>30</v>
      </c>
      <c r="N107" s="802">
        <v>16.932935779816514</v>
      </c>
      <c r="O107" s="801">
        <v>0.3</v>
      </c>
      <c r="P107" s="725">
        <v>17.232935779816515</v>
      </c>
      <c r="Q107" s="803">
        <v>24.618479685452165</v>
      </c>
      <c r="R107" s="803">
        <v>26.512208892025406</v>
      </c>
      <c r="S107" s="803">
        <v>28.721559633027525</v>
      </c>
      <c r="T107" s="727">
        <v>31.332610508757298</v>
      </c>
    </row>
    <row r="108" spans="1:21" ht="27.95" customHeight="1" x14ac:dyDescent="0.25">
      <c r="A108" s="698"/>
      <c r="B108" s="756" t="s">
        <v>362</v>
      </c>
      <c r="C108" s="757" t="s">
        <v>591</v>
      </c>
      <c r="D108" s="757" t="s">
        <v>592</v>
      </c>
      <c r="E108" s="758"/>
      <c r="F108" s="757"/>
      <c r="G108" s="757" t="s">
        <v>365</v>
      </c>
      <c r="H108" s="757">
        <v>3</v>
      </c>
      <c r="I108" s="757">
        <v>118</v>
      </c>
      <c r="J108" s="759">
        <v>278.87</v>
      </c>
      <c r="K108" s="759"/>
      <c r="L108" s="759"/>
      <c r="M108" s="757"/>
      <c r="N108" s="760"/>
      <c r="O108" s="759"/>
      <c r="P108" s="761"/>
      <c r="Q108" s="726"/>
      <c r="R108" s="726"/>
      <c r="S108" s="726"/>
      <c r="T108" s="727"/>
      <c r="U108" s="712"/>
    </row>
    <row r="109" spans="1:21" ht="27.95" customHeight="1" x14ac:dyDescent="0.25">
      <c r="B109" s="763" t="s">
        <v>362</v>
      </c>
      <c r="C109" s="758" t="s">
        <v>596</v>
      </c>
      <c r="D109" s="758" t="s">
        <v>597</v>
      </c>
      <c r="E109" s="758"/>
      <c r="F109" s="758" t="s">
        <v>598</v>
      </c>
      <c r="G109" s="758" t="s">
        <v>365</v>
      </c>
      <c r="H109" s="758">
        <v>3</v>
      </c>
      <c r="I109" s="758">
        <v>118</v>
      </c>
      <c r="J109" s="764"/>
      <c r="K109" s="764">
        <v>255.8440366972477</v>
      </c>
      <c r="L109" s="764">
        <v>12.792201834862386</v>
      </c>
      <c r="M109" s="758">
        <v>50</v>
      </c>
      <c r="N109" s="765">
        <v>8.9545412844036694</v>
      </c>
      <c r="O109" s="764">
        <v>0.18</v>
      </c>
      <c r="P109" s="725">
        <v>9.1345412844036691</v>
      </c>
      <c r="Q109" s="726">
        <v>13.049344692005242</v>
      </c>
      <c r="R109" s="726">
        <v>14.053140437544105</v>
      </c>
      <c r="S109" s="726">
        <v>15.224235474006116</v>
      </c>
      <c r="T109" s="727">
        <v>16.608256880733943</v>
      </c>
    </row>
    <row r="110" spans="1:21" ht="27.95" customHeight="1" x14ac:dyDescent="0.25">
      <c r="B110" s="763" t="s">
        <v>362</v>
      </c>
      <c r="C110" s="758" t="s">
        <v>599</v>
      </c>
      <c r="D110" s="758" t="s">
        <v>600</v>
      </c>
      <c r="E110" s="758"/>
      <c r="F110" s="758" t="s">
        <v>453</v>
      </c>
      <c r="G110" s="758" t="s">
        <v>365</v>
      </c>
      <c r="H110" s="758">
        <v>3</v>
      </c>
      <c r="I110" s="758">
        <v>118</v>
      </c>
      <c r="J110" s="764"/>
      <c r="K110" s="764">
        <v>255.8440366972477</v>
      </c>
      <c r="L110" s="764">
        <v>12.792201834862386</v>
      </c>
      <c r="M110" s="758">
        <v>50</v>
      </c>
      <c r="N110" s="765">
        <v>8.9545412844036694</v>
      </c>
      <c r="O110" s="764">
        <v>0.18</v>
      </c>
      <c r="P110" s="725">
        <v>9.1345412844036691</v>
      </c>
      <c r="Q110" s="726">
        <v>13.049344692005242</v>
      </c>
      <c r="R110" s="726">
        <v>14.053140437544105</v>
      </c>
      <c r="S110" s="726">
        <v>15.224235474006116</v>
      </c>
      <c r="T110" s="727">
        <v>16.608256880733943</v>
      </c>
    </row>
    <row r="111" spans="1:21" ht="27.95" customHeight="1" thickBot="1" x14ac:dyDescent="0.3">
      <c r="A111" s="698"/>
      <c r="B111" s="776" t="s">
        <v>487</v>
      </c>
      <c r="C111" s="777" t="s">
        <v>601</v>
      </c>
      <c r="D111" s="777" t="s">
        <v>602</v>
      </c>
      <c r="E111" s="767"/>
      <c r="F111" s="777"/>
      <c r="G111" s="778" t="s">
        <v>603</v>
      </c>
      <c r="H111" s="777">
        <v>2.8</v>
      </c>
      <c r="I111" s="777">
        <v>110</v>
      </c>
      <c r="J111" s="779">
        <v>396.36</v>
      </c>
      <c r="K111" s="779"/>
      <c r="L111" s="779"/>
      <c r="M111" s="777"/>
      <c r="N111" s="780"/>
      <c r="O111" s="779"/>
      <c r="P111" s="781"/>
      <c r="Q111" s="733"/>
      <c r="R111" s="733"/>
      <c r="S111" s="733"/>
      <c r="T111" s="734"/>
      <c r="U111" s="712"/>
    </row>
    <row r="112" spans="1:21" s="712" customFormat="1" ht="27.95" customHeight="1" x14ac:dyDescent="0.25">
      <c r="A112" s="697"/>
      <c r="B112" s="770" t="s">
        <v>487</v>
      </c>
      <c r="C112" s="771" t="s">
        <v>607</v>
      </c>
      <c r="D112" s="771" t="s">
        <v>608</v>
      </c>
      <c r="E112" s="771"/>
      <c r="F112" s="771" t="s">
        <v>609</v>
      </c>
      <c r="G112" s="782" t="s">
        <v>603</v>
      </c>
      <c r="H112" s="771">
        <v>2.8</v>
      </c>
      <c r="I112" s="771">
        <v>110</v>
      </c>
      <c r="J112" s="772"/>
      <c r="K112" s="772">
        <v>363.63302752293578</v>
      </c>
      <c r="L112" s="772">
        <v>18.181651376146789</v>
      </c>
      <c r="M112" s="771">
        <v>30</v>
      </c>
      <c r="N112" s="773">
        <v>12.727155963302753</v>
      </c>
      <c r="O112" s="772">
        <v>0.3</v>
      </c>
      <c r="P112" s="717">
        <v>13.027155963302754</v>
      </c>
      <c r="Q112" s="735">
        <v>18.610222804718219</v>
      </c>
      <c r="R112" s="735">
        <v>20.041778405081157</v>
      </c>
      <c r="S112" s="735">
        <v>21.711926605504591</v>
      </c>
      <c r="T112" s="736">
        <v>23.685738115095912</v>
      </c>
      <c r="U112" s="701"/>
    </row>
    <row r="113" spans="1:21" ht="27.95" customHeight="1" x14ac:dyDescent="0.25">
      <c r="B113" s="763" t="s">
        <v>487</v>
      </c>
      <c r="C113" s="758" t="s">
        <v>610</v>
      </c>
      <c r="D113" s="758" t="s">
        <v>611</v>
      </c>
      <c r="E113" s="758"/>
      <c r="F113" s="758" t="s">
        <v>612</v>
      </c>
      <c r="G113" s="775" t="s">
        <v>603</v>
      </c>
      <c r="H113" s="758">
        <v>2.8</v>
      </c>
      <c r="I113" s="758">
        <v>110</v>
      </c>
      <c r="J113" s="764"/>
      <c r="K113" s="764">
        <v>363.63302752293578</v>
      </c>
      <c r="L113" s="764">
        <v>18.181651376146789</v>
      </c>
      <c r="M113" s="758">
        <v>30</v>
      </c>
      <c r="N113" s="765">
        <v>12.727155963302753</v>
      </c>
      <c r="O113" s="764">
        <v>0.3</v>
      </c>
      <c r="P113" s="725">
        <v>13.027155963302754</v>
      </c>
      <c r="Q113" s="726">
        <v>18.610222804718219</v>
      </c>
      <c r="R113" s="726">
        <v>20.041778405081157</v>
      </c>
      <c r="S113" s="726">
        <v>21.711926605504591</v>
      </c>
      <c r="T113" s="727">
        <v>23.685738115095912</v>
      </c>
    </row>
    <row r="114" spans="1:21" ht="27.95" customHeight="1" thickBot="1" x14ac:dyDescent="0.3">
      <c r="B114" s="766" t="s">
        <v>487</v>
      </c>
      <c r="C114" s="767" t="s">
        <v>613</v>
      </c>
      <c r="D114" s="767" t="s">
        <v>614</v>
      </c>
      <c r="E114" s="767"/>
      <c r="F114" s="767" t="s">
        <v>615</v>
      </c>
      <c r="G114" s="805" t="s">
        <v>603</v>
      </c>
      <c r="H114" s="767">
        <v>2.8</v>
      </c>
      <c r="I114" s="767">
        <v>110</v>
      </c>
      <c r="J114" s="768"/>
      <c r="K114" s="768">
        <v>363.63302752293578</v>
      </c>
      <c r="L114" s="768">
        <v>18.181651376146789</v>
      </c>
      <c r="M114" s="767">
        <v>30</v>
      </c>
      <c r="N114" s="769">
        <v>12.727155963302753</v>
      </c>
      <c r="O114" s="768">
        <v>0.3</v>
      </c>
      <c r="P114" s="732">
        <v>13.027155963302754</v>
      </c>
      <c r="Q114" s="733">
        <v>18.610222804718219</v>
      </c>
      <c r="R114" s="733">
        <v>20.041778405081157</v>
      </c>
      <c r="S114" s="733">
        <v>21.711926605504591</v>
      </c>
      <c r="T114" s="734">
        <v>23.685738115095912</v>
      </c>
    </row>
    <row r="115" spans="1:21" s="712" customFormat="1" ht="27.95" customHeight="1" x14ac:dyDescent="0.25">
      <c r="A115" s="697"/>
      <c r="B115" s="770" t="s">
        <v>487</v>
      </c>
      <c r="C115" s="771" t="s">
        <v>616</v>
      </c>
      <c r="D115" s="771" t="s">
        <v>617</v>
      </c>
      <c r="E115" s="771"/>
      <c r="F115" s="771" t="s">
        <v>618</v>
      </c>
      <c r="G115" s="782" t="s">
        <v>603</v>
      </c>
      <c r="H115" s="771">
        <v>2.8</v>
      </c>
      <c r="I115" s="771">
        <v>110</v>
      </c>
      <c r="J115" s="772"/>
      <c r="K115" s="772">
        <v>363.63302752293578</v>
      </c>
      <c r="L115" s="772">
        <v>18.181651376146789</v>
      </c>
      <c r="M115" s="771">
        <v>30</v>
      </c>
      <c r="N115" s="773">
        <v>12.727155963302753</v>
      </c>
      <c r="O115" s="772">
        <v>0.3</v>
      </c>
      <c r="P115" s="717">
        <v>13.027155963302754</v>
      </c>
      <c r="Q115" s="735">
        <v>18.610222804718219</v>
      </c>
      <c r="R115" s="735">
        <v>20.041778405081157</v>
      </c>
      <c r="S115" s="735">
        <v>21.711926605504591</v>
      </c>
      <c r="T115" s="736">
        <v>23.685738115095912</v>
      </c>
      <c r="U115" s="701"/>
    </row>
    <row r="116" spans="1:21" ht="27.95" customHeight="1" x14ac:dyDescent="0.25">
      <c r="A116" s="698"/>
      <c r="B116" s="756" t="s">
        <v>362</v>
      </c>
      <c r="C116" s="757" t="s">
        <v>619</v>
      </c>
      <c r="D116" s="757" t="s">
        <v>620</v>
      </c>
      <c r="E116" s="758"/>
      <c r="F116" s="757"/>
      <c r="G116" s="757" t="s">
        <v>365</v>
      </c>
      <c r="H116" s="757">
        <v>3.05</v>
      </c>
      <c r="I116" s="757">
        <v>120</v>
      </c>
      <c r="J116" s="759">
        <v>180.36</v>
      </c>
      <c r="K116" s="759"/>
      <c r="L116" s="759"/>
      <c r="M116" s="757"/>
      <c r="N116" s="760"/>
      <c r="O116" s="759"/>
      <c r="P116" s="761"/>
      <c r="Q116" s="726"/>
      <c r="R116" s="726"/>
      <c r="S116" s="726"/>
      <c r="T116" s="727"/>
      <c r="U116" s="712"/>
    </row>
    <row r="117" spans="1:21" ht="27.95" customHeight="1" x14ac:dyDescent="0.25">
      <c r="B117" s="763" t="s">
        <v>362</v>
      </c>
      <c r="C117" s="758" t="s">
        <v>623</v>
      </c>
      <c r="D117" s="758" t="s">
        <v>624</v>
      </c>
      <c r="E117" s="758"/>
      <c r="F117" s="758" t="s">
        <v>413</v>
      </c>
      <c r="G117" s="758" t="s">
        <v>365</v>
      </c>
      <c r="H117" s="758">
        <v>3.05</v>
      </c>
      <c r="I117" s="758">
        <v>120</v>
      </c>
      <c r="J117" s="764"/>
      <c r="K117" s="764">
        <v>165.46788990825689</v>
      </c>
      <c r="L117" s="764">
        <v>8.2733944954128447</v>
      </c>
      <c r="M117" s="758">
        <v>50</v>
      </c>
      <c r="N117" s="765">
        <v>5.7913761467889913</v>
      </c>
      <c r="O117" s="764">
        <v>0.18</v>
      </c>
      <c r="P117" s="725">
        <v>5.971376146788991</v>
      </c>
      <c r="Q117" s="726">
        <v>8.5305373525557027</v>
      </c>
      <c r="R117" s="726">
        <v>9.1867325335215249</v>
      </c>
      <c r="S117" s="726">
        <v>9.9522935779816528</v>
      </c>
      <c r="T117" s="727">
        <v>10.857047539616346</v>
      </c>
    </row>
    <row r="118" spans="1:21" ht="27.95" customHeight="1" x14ac:dyDescent="0.25">
      <c r="A118" s="698"/>
      <c r="B118" s="756" t="s">
        <v>362</v>
      </c>
      <c r="C118" s="757" t="s">
        <v>625</v>
      </c>
      <c r="D118" s="757" t="s">
        <v>626</v>
      </c>
      <c r="E118" s="758"/>
      <c r="F118" s="757"/>
      <c r="G118" s="757" t="s">
        <v>365</v>
      </c>
      <c r="H118" s="757">
        <v>3.05</v>
      </c>
      <c r="I118" s="757">
        <v>120</v>
      </c>
      <c r="J118" s="759">
        <v>241.7</v>
      </c>
      <c r="K118" s="759"/>
      <c r="L118" s="759"/>
      <c r="M118" s="757"/>
      <c r="N118" s="760"/>
      <c r="O118" s="759"/>
      <c r="P118" s="761"/>
      <c r="Q118" s="726"/>
      <c r="R118" s="726"/>
      <c r="S118" s="726"/>
      <c r="T118" s="727"/>
      <c r="U118" s="712"/>
    </row>
    <row r="119" spans="1:21" ht="27.95" customHeight="1" thickBot="1" x14ac:dyDescent="0.3">
      <c r="B119" s="766" t="s">
        <v>362</v>
      </c>
      <c r="C119" s="767" t="s">
        <v>625</v>
      </c>
      <c r="D119" s="767" t="s">
        <v>628</v>
      </c>
      <c r="E119" s="767"/>
      <c r="F119" s="767" t="s">
        <v>460</v>
      </c>
      <c r="G119" s="767" t="s">
        <v>365</v>
      </c>
      <c r="H119" s="767">
        <v>3.05</v>
      </c>
      <c r="I119" s="767">
        <v>120</v>
      </c>
      <c r="J119" s="768"/>
      <c r="K119" s="768">
        <v>221.74311926605503</v>
      </c>
      <c r="L119" s="768">
        <v>11.087155963302752</v>
      </c>
      <c r="M119" s="767">
        <v>50</v>
      </c>
      <c r="N119" s="769">
        <v>7.7610091743119263</v>
      </c>
      <c r="O119" s="768">
        <v>0.18</v>
      </c>
      <c r="P119" s="732">
        <v>7.941009174311926</v>
      </c>
      <c r="Q119" s="733">
        <v>11.344298820445609</v>
      </c>
      <c r="R119" s="733">
        <v>12.216937191249116</v>
      </c>
      <c r="S119" s="733">
        <v>13.235015290519877</v>
      </c>
      <c r="T119" s="734">
        <v>14.438198498748955</v>
      </c>
    </row>
    <row r="120" spans="1:21" s="712" customFormat="1" ht="27.95" customHeight="1" x14ac:dyDescent="0.25">
      <c r="A120" s="697"/>
      <c r="B120" s="770" t="s">
        <v>362</v>
      </c>
      <c r="C120" s="771" t="s">
        <v>625</v>
      </c>
      <c r="D120" s="771" t="s">
        <v>629</v>
      </c>
      <c r="E120" s="771"/>
      <c r="F120" s="771" t="s">
        <v>416</v>
      </c>
      <c r="G120" s="771" t="s">
        <v>365</v>
      </c>
      <c r="H120" s="771">
        <v>3.05</v>
      </c>
      <c r="I120" s="771">
        <v>120</v>
      </c>
      <c r="J120" s="772"/>
      <c r="K120" s="772">
        <v>221.74311926605503</v>
      </c>
      <c r="L120" s="772">
        <v>11.087155963302752</v>
      </c>
      <c r="M120" s="771">
        <v>50</v>
      </c>
      <c r="N120" s="773">
        <v>7.7610091743119263</v>
      </c>
      <c r="O120" s="772">
        <v>0.18</v>
      </c>
      <c r="P120" s="717">
        <v>7.941009174311926</v>
      </c>
      <c r="Q120" s="735">
        <v>11.344298820445609</v>
      </c>
      <c r="R120" s="735">
        <v>12.216937191249116</v>
      </c>
      <c r="S120" s="735">
        <v>13.235015290519877</v>
      </c>
      <c r="T120" s="736">
        <v>14.438198498748955</v>
      </c>
      <c r="U120" s="701"/>
    </row>
    <row r="121" spans="1:21" ht="27.95" customHeight="1" x14ac:dyDescent="0.25">
      <c r="B121" s="763" t="s">
        <v>362</v>
      </c>
      <c r="C121" s="758" t="s">
        <v>625</v>
      </c>
      <c r="D121" s="758" t="s">
        <v>630</v>
      </c>
      <c r="E121" s="758"/>
      <c r="F121" s="758" t="s">
        <v>371</v>
      </c>
      <c r="G121" s="758" t="s">
        <v>365</v>
      </c>
      <c r="H121" s="758">
        <v>3.05</v>
      </c>
      <c r="I121" s="758">
        <v>120</v>
      </c>
      <c r="J121" s="764"/>
      <c r="K121" s="764">
        <v>221.74311926605503</v>
      </c>
      <c r="L121" s="764">
        <v>11.087155963302752</v>
      </c>
      <c r="M121" s="758">
        <v>50</v>
      </c>
      <c r="N121" s="765">
        <v>7.7610091743119263</v>
      </c>
      <c r="O121" s="764">
        <v>0.18</v>
      </c>
      <c r="P121" s="725">
        <v>7.941009174311926</v>
      </c>
      <c r="Q121" s="726">
        <v>11.344298820445609</v>
      </c>
      <c r="R121" s="726">
        <v>12.216937191249116</v>
      </c>
      <c r="S121" s="726">
        <v>13.235015290519877</v>
      </c>
      <c r="T121" s="727">
        <v>14.438198498748955</v>
      </c>
    </row>
    <row r="122" spans="1:21" ht="27.95" customHeight="1" x14ac:dyDescent="0.25">
      <c r="A122" s="698"/>
      <c r="B122" s="756" t="s">
        <v>362</v>
      </c>
      <c r="C122" s="757" t="s">
        <v>631</v>
      </c>
      <c r="D122" s="757" t="s">
        <v>632</v>
      </c>
      <c r="E122" s="758"/>
      <c r="F122" s="757"/>
      <c r="G122" s="757" t="s">
        <v>365</v>
      </c>
      <c r="H122" s="757">
        <v>3.05</v>
      </c>
      <c r="I122" s="757">
        <v>120</v>
      </c>
      <c r="J122" s="759">
        <v>212.11</v>
      </c>
      <c r="K122" s="759"/>
      <c r="L122" s="759"/>
      <c r="M122" s="757"/>
      <c r="N122" s="760"/>
      <c r="O122" s="759"/>
      <c r="P122" s="761"/>
      <c r="Q122" s="726"/>
      <c r="R122" s="726"/>
      <c r="S122" s="726"/>
      <c r="T122" s="727"/>
      <c r="U122" s="712"/>
    </row>
    <row r="123" spans="1:21" ht="27.95" customHeight="1" x14ac:dyDescent="0.25">
      <c r="B123" s="763" t="s">
        <v>362</v>
      </c>
      <c r="C123" s="758" t="s">
        <v>635</v>
      </c>
      <c r="D123" s="758" t="s">
        <v>636</v>
      </c>
      <c r="E123" s="758"/>
      <c r="F123" s="758" t="s">
        <v>436</v>
      </c>
      <c r="G123" s="758" t="s">
        <v>365</v>
      </c>
      <c r="H123" s="758">
        <v>3.05</v>
      </c>
      <c r="I123" s="758">
        <v>120</v>
      </c>
      <c r="J123" s="764"/>
      <c r="K123" s="764">
        <v>194.59633027522935</v>
      </c>
      <c r="L123" s="764">
        <v>9.7298165137614667</v>
      </c>
      <c r="M123" s="758">
        <v>50</v>
      </c>
      <c r="N123" s="765">
        <v>6.8108715596330258</v>
      </c>
      <c r="O123" s="764">
        <v>0.18</v>
      </c>
      <c r="P123" s="725">
        <v>6.9908715596330255</v>
      </c>
      <c r="Q123" s="726">
        <v>9.986959370904323</v>
      </c>
      <c r="R123" s="726">
        <v>10.75518701482004</v>
      </c>
      <c r="S123" s="726">
        <v>11.651452599388376</v>
      </c>
      <c r="T123" s="727">
        <v>12.710675562969136</v>
      </c>
    </row>
    <row r="124" spans="1:21" ht="27.95" customHeight="1" x14ac:dyDescent="0.25">
      <c r="B124" s="763" t="s">
        <v>362</v>
      </c>
      <c r="C124" s="758" t="s">
        <v>637</v>
      </c>
      <c r="D124" s="758" t="s">
        <v>638</v>
      </c>
      <c r="E124" s="758"/>
      <c r="F124" s="758" t="s">
        <v>416</v>
      </c>
      <c r="G124" s="758" t="s">
        <v>365</v>
      </c>
      <c r="H124" s="758">
        <v>3.05</v>
      </c>
      <c r="I124" s="758">
        <v>120</v>
      </c>
      <c r="J124" s="764"/>
      <c r="K124" s="764">
        <v>194.59633027522935</v>
      </c>
      <c r="L124" s="764">
        <v>9.7298165137614667</v>
      </c>
      <c r="M124" s="758">
        <v>50</v>
      </c>
      <c r="N124" s="765">
        <v>6.8108715596330258</v>
      </c>
      <c r="O124" s="764">
        <v>0.18</v>
      </c>
      <c r="P124" s="725">
        <v>6.9908715596330255</v>
      </c>
      <c r="Q124" s="726">
        <v>9.986959370904323</v>
      </c>
      <c r="R124" s="726">
        <v>10.75518701482004</v>
      </c>
      <c r="S124" s="726">
        <v>11.651452599388376</v>
      </c>
      <c r="T124" s="727">
        <v>12.710675562969136</v>
      </c>
    </row>
    <row r="125" spans="1:21" ht="27.95" customHeight="1" thickBot="1" x14ac:dyDescent="0.3">
      <c r="B125" s="766" t="s">
        <v>362</v>
      </c>
      <c r="C125" s="767" t="s">
        <v>639</v>
      </c>
      <c r="D125" s="767" t="s">
        <v>640</v>
      </c>
      <c r="E125" s="767"/>
      <c r="F125" s="767" t="s">
        <v>448</v>
      </c>
      <c r="G125" s="767" t="s">
        <v>365</v>
      </c>
      <c r="H125" s="767">
        <v>3.05</v>
      </c>
      <c r="I125" s="767">
        <v>120</v>
      </c>
      <c r="J125" s="768"/>
      <c r="K125" s="768">
        <v>194.59633027522935</v>
      </c>
      <c r="L125" s="768">
        <v>9.7298165137614667</v>
      </c>
      <c r="M125" s="767">
        <v>50</v>
      </c>
      <c r="N125" s="769">
        <v>6.8108715596330258</v>
      </c>
      <c r="O125" s="768">
        <v>0.18</v>
      </c>
      <c r="P125" s="732">
        <v>6.9908715596330255</v>
      </c>
      <c r="Q125" s="733">
        <v>9.986959370904323</v>
      </c>
      <c r="R125" s="733">
        <v>10.75518701482004</v>
      </c>
      <c r="S125" s="733">
        <v>11.651452599388376</v>
      </c>
      <c r="T125" s="734">
        <v>12.710675562969136</v>
      </c>
    </row>
    <row r="126" spans="1:21" s="712" customFormat="1" ht="27.95" customHeight="1" x14ac:dyDescent="0.25">
      <c r="A126" s="697"/>
      <c r="B126" s="770" t="s">
        <v>362</v>
      </c>
      <c r="C126" s="771" t="s">
        <v>641</v>
      </c>
      <c r="D126" s="771" t="s">
        <v>642</v>
      </c>
      <c r="E126" s="771"/>
      <c r="F126" s="771" t="s">
        <v>425</v>
      </c>
      <c r="G126" s="771" t="s">
        <v>365</v>
      </c>
      <c r="H126" s="771">
        <v>3.05</v>
      </c>
      <c r="I126" s="771">
        <v>120</v>
      </c>
      <c r="J126" s="772"/>
      <c r="K126" s="772">
        <v>194.59633027522935</v>
      </c>
      <c r="L126" s="772">
        <v>9.7298165137614667</v>
      </c>
      <c r="M126" s="771">
        <v>50</v>
      </c>
      <c r="N126" s="773">
        <v>6.8108715596330258</v>
      </c>
      <c r="O126" s="772">
        <v>0.18</v>
      </c>
      <c r="P126" s="717">
        <v>6.9908715596330255</v>
      </c>
      <c r="Q126" s="735">
        <v>9.986959370904323</v>
      </c>
      <c r="R126" s="735">
        <v>10.75518701482004</v>
      </c>
      <c r="S126" s="735">
        <v>11.651452599388376</v>
      </c>
      <c r="T126" s="736">
        <v>12.710675562969136</v>
      </c>
      <c r="U126" s="701"/>
    </row>
    <row r="127" spans="1:21" ht="27.95" customHeight="1" x14ac:dyDescent="0.25">
      <c r="A127" s="698"/>
      <c r="B127" s="756" t="s">
        <v>362</v>
      </c>
      <c r="C127" s="757" t="s">
        <v>643</v>
      </c>
      <c r="D127" s="757" t="s">
        <v>644</v>
      </c>
      <c r="E127" s="758"/>
      <c r="F127" s="757"/>
      <c r="G127" s="757" t="s">
        <v>645</v>
      </c>
      <c r="H127" s="757">
        <v>3.2</v>
      </c>
      <c r="I127" s="757">
        <v>126</v>
      </c>
      <c r="J127" s="759">
        <v>234.14</v>
      </c>
      <c r="K127" s="759"/>
      <c r="L127" s="759"/>
      <c r="M127" s="757"/>
      <c r="N127" s="760"/>
      <c r="O127" s="759"/>
      <c r="P127" s="761"/>
      <c r="Q127" s="726"/>
      <c r="R127" s="726"/>
      <c r="S127" s="726"/>
      <c r="T127" s="727"/>
      <c r="U127" s="712"/>
    </row>
    <row r="128" spans="1:21" ht="27.95" customHeight="1" x14ac:dyDescent="0.25">
      <c r="B128" s="763" t="s">
        <v>362</v>
      </c>
      <c r="C128" s="758" t="s">
        <v>648</v>
      </c>
      <c r="D128" s="758" t="s">
        <v>649</v>
      </c>
      <c r="E128" s="758"/>
      <c r="F128" s="758" t="s">
        <v>650</v>
      </c>
      <c r="G128" s="758" t="s">
        <v>645</v>
      </c>
      <c r="H128" s="758">
        <v>3.2</v>
      </c>
      <c r="I128" s="758">
        <v>126</v>
      </c>
      <c r="J128" s="764"/>
      <c r="K128" s="764">
        <v>214.80733944954125</v>
      </c>
      <c r="L128" s="764">
        <v>10.740366972477062</v>
      </c>
      <c r="M128" s="758">
        <v>50</v>
      </c>
      <c r="N128" s="765">
        <v>7.5182568807339427</v>
      </c>
      <c r="O128" s="764">
        <v>0.18</v>
      </c>
      <c r="P128" s="725">
        <v>7.6982568807339424</v>
      </c>
      <c r="Q128" s="726">
        <v>10.997509829619919</v>
      </c>
      <c r="R128" s="726">
        <v>11.843472124206064</v>
      </c>
      <c r="S128" s="726">
        <v>12.830428134556572</v>
      </c>
      <c r="T128" s="727">
        <v>13.996830692243531</v>
      </c>
    </row>
    <row r="129" spans="2:20" ht="27.95" customHeight="1" x14ac:dyDescent="0.25">
      <c r="B129" s="763" t="s">
        <v>362</v>
      </c>
      <c r="C129" s="758" t="s">
        <v>651</v>
      </c>
      <c r="D129" s="758" t="s">
        <v>652</v>
      </c>
      <c r="E129" s="758"/>
      <c r="F129" s="758" t="s">
        <v>445</v>
      </c>
      <c r="G129" s="758" t="s">
        <v>645</v>
      </c>
      <c r="H129" s="758">
        <v>3.2</v>
      </c>
      <c r="I129" s="758">
        <v>126</v>
      </c>
      <c r="J129" s="764"/>
      <c r="K129" s="764">
        <v>214.80733944954125</v>
      </c>
      <c r="L129" s="764">
        <v>10.740366972477062</v>
      </c>
      <c r="M129" s="758">
        <v>50</v>
      </c>
      <c r="N129" s="765">
        <v>7.5182568807339427</v>
      </c>
      <c r="O129" s="764">
        <v>0.18</v>
      </c>
      <c r="P129" s="725">
        <v>7.6982568807339424</v>
      </c>
      <c r="Q129" s="726">
        <v>10.997509829619919</v>
      </c>
      <c r="R129" s="726">
        <v>11.843472124206064</v>
      </c>
      <c r="S129" s="726">
        <v>12.830428134556572</v>
      </c>
      <c r="T129" s="727">
        <v>13.996830692243531</v>
      </c>
    </row>
    <row r="130" spans="2:20" ht="27.95" customHeight="1" thickBot="1" x14ac:dyDescent="0.3">
      <c r="B130" s="766" t="s">
        <v>362</v>
      </c>
      <c r="C130" s="767" t="s">
        <v>653</v>
      </c>
      <c r="D130" s="767" t="s">
        <v>654</v>
      </c>
      <c r="E130" s="767"/>
      <c r="F130" s="767" t="s">
        <v>618</v>
      </c>
      <c r="G130" s="767" t="s">
        <v>645</v>
      </c>
      <c r="H130" s="767">
        <v>3.2</v>
      </c>
      <c r="I130" s="767">
        <v>126</v>
      </c>
      <c r="J130" s="768"/>
      <c r="K130" s="768">
        <v>214.80733944954125</v>
      </c>
      <c r="L130" s="768">
        <v>10.740366972477062</v>
      </c>
      <c r="M130" s="767">
        <v>50</v>
      </c>
      <c r="N130" s="769">
        <v>7.5182568807339427</v>
      </c>
      <c r="O130" s="768">
        <v>0.18</v>
      </c>
      <c r="P130" s="732">
        <v>7.6982568807339424</v>
      </c>
      <c r="Q130" s="733">
        <v>10.997509829619919</v>
      </c>
      <c r="R130" s="733">
        <v>11.843472124206064</v>
      </c>
      <c r="S130" s="733">
        <v>12.830428134556572</v>
      </c>
      <c r="T130" s="734">
        <v>13.996830692243531</v>
      </c>
    </row>
  </sheetData>
  <sheetProtection algorithmName="SHA-512" hashValue="qHbU1UAW4ZaIW7sb6f9BiF8v8+Gbp4ef3o8Sp10sgeNOVXIBhFrtwOSKL/w/ivh0YNxH1ApJoPjtYN8BWwRVYA==" saltValue="hf6oaRsyLUbnu7ywClG4ug==" spinCount="100000" sheet="1" objects="1" scenarios="1"/>
  <autoFilter ref="B4:N130" xr:uid="{00000000-0009-0000-0000-000007000000}"/>
  <sortState xmlns:xlrd2="http://schemas.microsoft.com/office/spreadsheetml/2017/richdata2" ref="A5:U130">
    <sortCondition ref="A5:A130"/>
  </sortState>
  <mergeCells count="1">
    <mergeCell ref="Q3:T3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>
    <tabColor theme="0" tint="-0.14999847407452621"/>
    <pageSetUpPr fitToPage="1"/>
  </sheetPr>
  <dimension ref="B1:R55"/>
  <sheetViews>
    <sheetView workbookViewId="0">
      <selection activeCell="D20" sqref="D20"/>
    </sheetView>
  </sheetViews>
  <sheetFormatPr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4" t="s">
        <v>17</v>
      </c>
      <c r="C4" s="980" t="s">
        <v>18</v>
      </c>
      <c r="D4" s="980"/>
      <c r="E4" s="980"/>
      <c r="F4" s="980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4"/>
      <c r="C5" s="980"/>
      <c r="D5" s="980"/>
      <c r="E5" s="980"/>
      <c r="F5" s="980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13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7" t="s">
        <v>97</v>
      </c>
      <c r="D17" s="978"/>
      <c r="E17" s="978"/>
      <c r="F17" s="978"/>
      <c r="G17" s="978"/>
      <c r="H17" s="978"/>
      <c r="I17" s="979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'FILL QUOTE-CALCULATIONS'!BF15</f>
        <v>587.25</v>
      </c>
      <c r="D19" s="109">
        <f>'FILL QUOTE-CALCULATIONS'!BF16</f>
        <v>325.45000000000005</v>
      </c>
      <c r="E19" s="109">
        <f>'FILL QUOTE-CALCULATIONS'!BF17</f>
        <v>783</v>
      </c>
      <c r="F19" s="109">
        <f>'FILL QUOTE-CALCULATIONS'!BF18</f>
        <v>447.5</v>
      </c>
      <c r="G19" s="109">
        <f>'FILL QUOTE-CALCULATIONS'!BF19</f>
        <v>305.8</v>
      </c>
      <c r="H19" s="109">
        <f>'FILL QUOTE-CALCULATIONS'!BF20</f>
        <v>255.8</v>
      </c>
      <c r="I19" s="106">
        <f>'FILL QUOTE-CALCULATIONS'!BF21</f>
        <v>587.25</v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 t="e">
        <f>'FILL QUOTE-CALCULATIONS'!#REF!</f>
        <v>#REF!</v>
      </c>
      <c r="D20" s="110" t="e">
        <f>'FILL QUOTE-CALCULATIONS'!#REF!</f>
        <v>#REF!</v>
      </c>
      <c r="E20" s="110" t="e">
        <f>'FILL QUOTE-CALCULATIONS'!#REF!</f>
        <v>#REF!</v>
      </c>
      <c r="F20" s="110" t="e">
        <f>'FILL QUOTE-CALCULATIONS'!#REF!</f>
        <v>#REF!</v>
      </c>
      <c r="G20" s="110" t="e">
        <f>'FILL QUOTE-CALCULATIONS'!#REF!</f>
        <v>#REF!</v>
      </c>
      <c r="H20" s="110" t="e">
        <f>'FILL QUOTE-CALCULATIONS'!#REF!</f>
        <v>#REF!</v>
      </c>
      <c r="I20" s="107" t="e">
        <f>'FILL QUOTE-CALCULATIONS'!#REF!</f>
        <v>#REF!</v>
      </c>
      <c r="J20" s="91"/>
      <c r="K20" s="112"/>
    </row>
    <row r="21" spans="2:18" ht="21" x14ac:dyDescent="0.25">
      <c r="B21" s="99" t="e">
        <f>'FILL QUOTE-CALCULATIONS'!#REF!</f>
        <v>#REF!</v>
      </c>
      <c r="C21" s="110" t="e">
        <f>'FILL QUOTE-CALCULATIONS'!#REF!</f>
        <v>#REF!</v>
      </c>
      <c r="D21" s="110" t="e">
        <f>'FILL QUOTE-CALCULATIONS'!#REF!</f>
        <v>#REF!</v>
      </c>
      <c r="E21" s="110" t="e">
        <f>'FILL QUOTE-CALCULATIONS'!#REF!</f>
        <v>#REF!</v>
      </c>
      <c r="F21" s="110" t="e">
        <f>'FILL QUOTE-CALCULATIONS'!#REF!</f>
        <v>#REF!</v>
      </c>
      <c r="G21" s="110" t="e">
        <f>'FILL QUOTE-CALCULATIONS'!#REF!</f>
        <v>#REF!</v>
      </c>
      <c r="H21" s="110" t="e">
        <f>'FILL QUOTE-CALCULATIONS'!#REF!</f>
        <v>#REF!</v>
      </c>
      <c r="I21" s="107" t="e">
        <f>'FILL QUOTE-CALCULATIONS'!#REF!</f>
        <v>#REF!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 t="e">
        <f>'FILL QUOTE-CALCULATIONS'!#REF!</f>
        <v>#REF!</v>
      </c>
      <c r="D22" s="110" t="e">
        <f>'FILL QUOTE-CALCULATIONS'!#REF!</f>
        <v>#REF!</v>
      </c>
      <c r="E22" s="110" t="e">
        <f>'FILL QUOTE-CALCULATIONS'!#REF!</f>
        <v>#REF!</v>
      </c>
      <c r="F22" s="110" t="e">
        <f>'FILL QUOTE-CALCULATIONS'!#REF!</f>
        <v>#REF!</v>
      </c>
      <c r="G22" s="110" t="e">
        <f>'FILL QUOTE-CALCULATIONS'!#REF!</f>
        <v>#REF!</v>
      </c>
      <c r="H22" s="110" t="e">
        <f>'FILL QUOTE-CALCULATIONS'!#REF!</f>
        <v>#REF!</v>
      </c>
      <c r="I22" s="107" t="e">
        <f>'FILL QUOTE-CALCULATIONS'!#REF!</f>
        <v>#REF!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 t="e">
        <f>'FILL QUOTE-CALCULATIONS'!#REF!</f>
        <v>#REF!</v>
      </c>
      <c r="D23" s="111" t="e">
        <f>'FILL QUOTE-CALCULATIONS'!#REF!</f>
        <v>#REF!</v>
      </c>
      <c r="E23" s="111" t="e">
        <f>'FILL QUOTE-CALCULATIONS'!#REF!</f>
        <v>#REF!</v>
      </c>
      <c r="F23" s="111" t="e">
        <f>'FILL QUOTE-CALCULATIONS'!#REF!</f>
        <v>#REF!</v>
      </c>
      <c r="G23" s="111" t="e">
        <f>'FILL QUOTE-CALCULATIONS'!#REF!</f>
        <v>#REF!</v>
      </c>
      <c r="H23" s="111" t="e">
        <f>'FILL QUOTE-CALCULATIONS'!#REF!</f>
        <v>#REF!</v>
      </c>
      <c r="I23" s="108" t="e">
        <f>'FILL QUOTE-CALCULATIONS'!#REF!</f>
        <v>#REF!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93</v>
      </c>
      <c r="C24" s="73">
        <f>'FILL QUOTE-CALCULATIONS'!AN15</f>
        <v>4.5</v>
      </c>
      <c r="D24" s="73">
        <f>'FILL QUOTE-CALCULATIONS'!AN16</f>
        <v>2</v>
      </c>
      <c r="E24" s="73">
        <f>'FILL QUOTE-CALCULATIONS'!AN17</f>
        <v>6</v>
      </c>
      <c r="F24" s="73">
        <f>'FILL QUOTE-CALCULATIONS'!AN18</f>
        <v>2.75</v>
      </c>
      <c r="G24" s="73">
        <f>'FILL QUOTE-CALCULATIONS'!AN19</f>
        <v>4</v>
      </c>
      <c r="H24" s="73" t="str">
        <f>'FILL QUOTE-CALCULATIONS'!AN20</f>
        <v>N/A</v>
      </c>
      <c r="I24" s="103">
        <f>'FILL QUOTE-CALCULATIONS'!AN21</f>
        <v>4.5</v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7" t="s">
        <v>98</v>
      </c>
      <c r="D27" s="978"/>
      <c r="E27" s="978"/>
      <c r="F27" s="978"/>
      <c r="G27" s="978"/>
      <c r="H27" s="978"/>
      <c r="I27" s="979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19">
        <f>C19*2</f>
        <v>1174.5</v>
      </c>
      <c r="D29" s="119">
        <f>E19</f>
        <v>783</v>
      </c>
      <c r="E29" s="119">
        <f>E19</f>
        <v>783</v>
      </c>
      <c r="F29" s="119">
        <f>D19*2</f>
        <v>650.90000000000009</v>
      </c>
      <c r="G29" s="119">
        <f>G19</f>
        <v>305.8</v>
      </c>
      <c r="H29" s="119">
        <f>E19*2</f>
        <v>1566</v>
      </c>
      <c r="I29" s="120">
        <f>I19</f>
        <v>587.25</v>
      </c>
      <c r="K29" s="112"/>
      <c r="L29" s="112"/>
    </row>
    <row r="30" spans="2:18" ht="21" customHeight="1" x14ac:dyDescent="0.25">
      <c r="B30" s="99" t="e">
        <f>B20</f>
        <v>#REF!</v>
      </c>
      <c r="C30" s="110" t="e">
        <f>C20*2</f>
        <v>#REF!</v>
      </c>
      <c r="D30" s="110" t="e">
        <f>E20</f>
        <v>#REF!</v>
      </c>
      <c r="E30" s="110" t="e">
        <f>E20</f>
        <v>#REF!</v>
      </c>
      <c r="F30" s="110" t="e">
        <f>D20*2</f>
        <v>#REF!</v>
      </c>
      <c r="G30" s="110" t="e">
        <f>G20</f>
        <v>#REF!</v>
      </c>
      <c r="H30" s="110" t="e">
        <f>E20*2</f>
        <v>#REF!</v>
      </c>
      <c r="I30" s="107" t="e">
        <f>I20</f>
        <v>#REF!</v>
      </c>
      <c r="K30" s="112"/>
      <c r="L30" s="112"/>
    </row>
    <row r="31" spans="2:18" ht="21" customHeight="1" x14ac:dyDescent="0.25">
      <c r="B31" s="99" t="e">
        <f>B21</f>
        <v>#REF!</v>
      </c>
      <c r="C31" s="110" t="e">
        <f>C21*2</f>
        <v>#REF!</v>
      </c>
      <c r="D31" s="110" t="e">
        <f>E21</f>
        <v>#REF!</v>
      </c>
      <c r="E31" s="110" t="e">
        <f>E21</f>
        <v>#REF!</v>
      </c>
      <c r="F31" s="110" t="e">
        <f>D21*2</f>
        <v>#REF!</v>
      </c>
      <c r="G31" s="110" t="e">
        <f>G21</f>
        <v>#REF!</v>
      </c>
      <c r="H31" s="110" t="e">
        <f>E21*2</f>
        <v>#REF!</v>
      </c>
      <c r="I31" s="107" t="e">
        <f>I21</f>
        <v>#REF!</v>
      </c>
      <c r="K31" s="112"/>
      <c r="L31" s="112"/>
    </row>
    <row r="32" spans="2:18" ht="21" customHeight="1" x14ac:dyDescent="0.25">
      <c r="B32" s="99" t="e">
        <f>B22</f>
        <v>#REF!</v>
      </c>
      <c r="C32" s="110" t="e">
        <f>C22*2</f>
        <v>#REF!</v>
      </c>
      <c r="D32" s="110" t="e">
        <f>E22</f>
        <v>#REF!</v>
      </c>
      <c r="E32" s="110" t="e">
        <f>E22</f>
        <v>#REF!</v>
      </c>
      <c r="F32" s="110" t="e">
        <f>D22*2</f>
        <v>#REF!</v>
      </c>
      <c r="G32" s="110" t="e">
        <f>G22</f>
        <v>#REF!</v>
      </c>
      <c r="H32" s="110" t="e">
        <f>E22*2</f>
        <v>#REF!</v>
      </c>
      <c r="I32" s="107" t="e">
        <f>I22</f>
        <v>#REF!</v>
      </c>
      <c r="K32" s="112"/>
      <c r="L32" s="112"/>
    </row>
    <row r="33" spans="2:18" ht="21" customHeight="1" thickBot="1" x14ac:dyDescent="0.3">
      <c r="B33" s="117" t="e">
        <f>B23</f>
        <v>#REF!</v>
      </c>
      <c r="C33" s="110" t="e">
        <f>C23*2</f>
        <v>#REF!</v>
      </c>
      <c r="D33" s="121" t="e">
        <f>E23</f>
        <v>#REF!</v>
      </c>
      <c r="E33" s="121" t="e">
        <f>E23</f>
        <v>#REF!</v>
      </c>
      <c r="F33" s="121" t="e">
        <f>D23*2</f>
        <v>#REF!</v>
      </c>
      <c r="G33" s="121" t="e">
        <f>G23</f>
        <v>#REF!</v>
      </c>
      <c r="H33" s="121" t="e">
        <f>E23*2</f>
        <v>#REF!</v>
      </c>
      <c r="I33" s="122" t="e">
        <f>I23</f>
        <v>#REF!</v>
      </c>
      <c r="K33" s="112"/>
      <c r="L33" s="112"/>
    </row>
    <row r="34" spans="2:18" ht="21" customHeight="1" thickBot="1" x14ac:dyDescent="0.35">
      <c r="B34" s="72" t="s">
        <v>93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5" t="s">
        <v>91</v>
      </c>
      <c r="D38" s="976"/>
      <c r="F38" s="975" t="s">
        <v>92</v>
      </c>
      <c r="G38" s="976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38:D38"/>
    <mergeCell ref="F38:G38"/>
    <mergeCell ref="C17:I17"/>
    <mergeCell ref="C27:I27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>
    <tabColor theme="0" tint="-0.14999847407452621"/>
    <pageSetUpPr fitToPage="1"/>
  </sheetPr>
  <dimension ref="B1:R55"/>
  <sheetViews>
    <sheetView workbookViewId="0">
      <selection activeCell="D20" sqref="D20"/>
    </sheetView>
  </sheetViews>
  <sheetFormatPr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4" t="s">
        <v>17</v>
      </c>
      <c r="C4" s="980" t="s">
        <v>106</v>
      </c>
      <c r="D4" s="980"/>
      <c r="E4" s="980"/>
      <c r="F4" s="980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4"/>
      <c r="C5" s="980"/>
      <c r="D5" s="980"/>
      <c r="E5" s="980"/>
      <c r="F5" s="980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117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7" t="s">
        <v>97</v>
      </c>
      <c r="D17" s="978"/>
      <c r="E17" s="978"/>
      <c r="F17" s="978"/>
      <c r="G17" s="978"/>
      <c r="H17" s="978"/>
      <c r="I17" s="979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'CALCUL. (SHEER TOP GROMMET)'!$U19</f>
        <v>12.75</v>
      </c>
      <c r="D19" s="109">
        <f>'CALCUL. (SHEER TOP GROMMET)'!$U20</f>
        <v>19.100000000000001</v>
      </c>
      <c r="E19" s="109">
        <f>'CALCUL. (SHEER TOP GROMMET)'!$U21</f>
        <v>25.450000000000003</v>
      </c>
      <c r="F19" s="109">
        <f>'CALCUL. (SHEER TOP GROMMET)'!$U22</f>
        <v>31.8</v>
      </c>
      <c r="G19" s="109">
        <f>'CALCUL. (SHEER TOP GROMMET)'!$U23</f>
        <v>38.15</v>
      </c>
      <c r="H19" s="109">
        <f>'CALCUL. (SHEER TOP GROMMET)'!$U24</f>
        <v>44.5</v>
      </c>
      <c r="I19" s="109">
        <f>'CALCUL. (SHEER TOP GROMMET)'!$U25</f>
        <v>50.85</v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>
        <f>'CALCUL. (SHEER TOP GROMMET)'!$U26</f>
        <v>12.75</v>
      </c>
      <c r="D20" s="110">
        <f>'CALCUL. (SHEER TOP GROMMET)'!$U27</f>
        <v>19.100000000000001</v>
      </c>
      <c r="E20" s="110">
        <f>'CALCUL. (SHEER TOP GROMMET)'!$U28</f>
        <v>25.450000000000003</v>
      </c>
      <c r="F20" s="110">
        <f>'CALCUL. (SHEER TOP GROMMET)'!$U29</f>
        <v>31.8</v>
      </c>
      <c r="G20" s="110">
        <f>'CALCUL. (SHEER TOP GROMMET)'!$U30</f>
        <v>38.15</v>
      </c>
      <c r="H20" s="110">
        <f>'CALCUL. (SHEER TOP GROMMET)'!$U31</f>
        <v>44.5</v>
      </c>
      <c r="I20" s="110">
        <f>'CALCUL. (SHEER TOP GROMMET)'!$U32</f>
        <v>50.85</v>
      </c>
      <c r="J20" s="91"/>
      <c r="K20" s="112"/>
    </row>
    <row r="21" spans="2:18" ht="21" x14ac:dyDescent="0.25">
      <c r="B21" s="99" t="e">
        <f>'FILL QUOTE-CALCULATIONS'!#REF!</f>
        <v>#REF!</v>
      </c>
      <c r="C21" s="110">
        <f>'CALCUL. (SHEER TOP GROMMET)'!$U33</f>
        <v>12.75</v>
      </c>
      <c r="D21" s="110">
        <f>'CALCUL. (SHEER TOP GROMMET)'!$U34</f>
        <v>19.100000000000001</v>
      </c>
      <c r="E21" s="110">
        <f>'CALCUL. (SHEER TOP GROMMET)'!$U35</f>
        <v>25.450000000000003</v>
      </c>
      <c r="F21" s="110">
        <f>'CALCUL. (SHEER TOP GROMMET)'!$U36</f>
        <v>31.8</v>
      </c>
      <c r="G21" s="110">
        <f>'CALCUL. (SHEER TOP GROMMET)'!$U37</f>
        <v>38.15</v>
      </c>
      <c r="H21" s="110">
        <f>'CALCUL. (SHEER TOP GROMMET)'!$U38</f>
        <v>44.5</v>
      </c>
      <c r="I21" s="110">
        <f>'CALCUL. (SHEER TOP GROMMET)'!$U39</f>
        <v>50.85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>
        <f>'CALCUL. (SHEER TOP GROMMET)'!$U40</f>
        <v>12.75</v>
      </c>
      <c r="D22" s="110">
        <f>'CALCUL. (SHEER TOP GROMMET)'!$U41</f>
        <v>19.100000000000001</v>
      </c>
      <c r="E22" s="110">
        <f>'CALCUL. (SHEER TOP GROMMET)'!$U42</f>
        <v>25.450000000000003</v>
      </c>
      <c r="F22" s="110">
        <f>'CALCUL. (SHEER TOP GROMMET)'!$U43</f>
        <v>31.8</v>
      </c>
      <c r="G22" s="110">
        <f>'CALCUL. (SHEER TOP GROMMET)'!$U44</f>
        <v>38.15</v>
      </c>
      <c r="H22" s="110">
        <f>'CALCUL. (SHEER TOP GROMMET)'!$U45</f>
        <v>44.5</v>
      </c>
      <c r="I22" s="110">
        <f>'CALCUL. (SHEER TOP GROMMET)'!$U46</f>
        <v>50.85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>
        <f>'CALCUL. (SHEER TOP GROMMET)'!$U47</f>
        <v>13.5</v>
      </c>
      <c r="D23" s="111">
        <f>'CALCUL. (SHEER TOP GROMMET)'!$U48</f>
        <v>20.150000000000002</v>
      </c>
      <c r="E23" s="111">
        <f>'CALCUL. (SHEER TOP GROMMET)'!$U49</f>
        <v>26.950000000000003</v>
      </c>
      <c r="F23" s="111">
        <f>'CALCUL. (SHEER TOP GROMMET)'!$U50</f>
        <v>33.6</v>
      </c>
      <c r="G23" s="111">
        <f>'CALCUL. (SHEER TOP GROMMET)'!$U51</f>
        <v>40.25</v>
      </c>
      <c r="H23" s="111">
        <f>'CALCUL. (SHEER TOP GROMMET)'!$U52</f>
        <v>46.900000000000006</v>
      </c>
      <c r="I23" s="111">
        <f>'CALCUL. (SHEER TOP GROMMET)'!$U53</f>
        <v>53.75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118</v>
      </c>
      <c r="C24" s="73">
        <f>'FILL QUOTE-CALCULATIONS'!AN15</f>
        <v>4.5</v>
      </c>
      <c r="D24" s="73">
        <f>'FILL QUOTE-CALCULATIONS'!AN16</f>
        <v>2</v>
      </c>
      <c r="E24" s="73">
        <f>'FILL QUOTE-CALCULATIONS'!AN17</f>
        <v>6</v>
      </c>
      <c r="F24" s="73">
        <f>'FILL QUOTE-CALCULATIONS'!AN18</f>
        <v>2.75</v>
      </c>
      <c r="G24" s="73">
        <f>'FILL QUOTE-CALCULATIONS'!AN19</f>
        <v>4</v>
      </c>
      <c r="H24" s="73" t="str">
        <f>'FILL QUOTE-CALCULATIONS'!AN20</f>
        <v>N/A</v>
      </c>
      <c r="I24" s="103">
        <f>'FILL QUOTE-CALCULATIONS'!AN21</f>
        <v>4.5</v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7" t="s">
        <v>98</v>
      </c>
      <c r="D27" s="978"/>
      <c r="E27" s="978"/>
      <c r="F27" s="978"/>
      <c r="G27" s="978"/>
      <c r="H27" s="978"/>
      <c r="I27" s="979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09">
        <f>E19</f>
        <v>25.450000000000003</v>
      </c>
      <c r="D29" s="119">
        <f>E19</f>
        <v>25.450000000000003</v>
      </c>
      <c r="E29" s="119">
        <f>E19</f>
        <v>25.450000000000003</v>
      </c>
      <c r="F29" s="119">
        <f>G19</f>
        <v>38.15</v>
      </c>
      <c r="G29" s="119">
        <f>G19</f>
        <v>38.15</v>
      </c>
      <c r="H29" s="120">
        <f>I19</f>
        <v>50.85</v>
      </c>
      <c r="I29" s="120">
        <f>I19</f>
        <v>50.85</v>
      </c>
      <c r="K29" s="112"/>
      <c r="L29" s="112"/>
    </row>
    <row r="30" spans="2:18" ht="21" customHeight="1" x14ac:dyDescent="0.25">
      <c r="B30" s="99" t="e">
        <f>B20</f>
        <v>#REF!</v>
      </c>
      <c r="C30" s="110">
        <f>E20</f>
        <v>25.450000000000003</v>
      </c>
      <c r="D30" s="110">
        <f>E20</f>
        <v>25.450000000000003</v>
      </c>
      <c r="E30" s="110">
        <f>E20</f>
        <v>25.450000000000003</v>
      </c>
      <c r="F30" s="110">
        <f>G20</f>
        <v>38.15</v>
      </c>
      <c r="G30" s="110">
        <f>G20</f>
        <v>38.15</v>
      </c>
      <c r="H30" s="107">
        <f>I20</f>
        <v>50.85</v>
      </c>
      <c r="I30" s="107">
        <f>I20</f>
        <v>50.85</v>
      </c>
      <c r="K30" s="112"/>
      <c r="L30" s="112"/>
    </row>
    <row r="31" spans="2:18" ht="21" customHeight="1" x14ac:dyDescent="0.25">
      <c r="B31" s="99" t="e">
        <f>B21</f>
        <v>#REF!</v>
      </c>
      <c r="C31" s="110">
        <f>E21</f>
        <v>25.450000000000003</v>
      </c>
      <c r="D31" s="110">
        <f>E21</f>
        <v>25.450000000000003</v>
      </c>
      <c r="E31" s="110">
        <f>E21</f>
        <v>25.450000000000003</v>
      </c>
      <c r="F31" s="110">
        <f>G21</f>
        <v>38.15</v>
      </c>
      <c r="G31" s="110">
        <f>G21</f>
        <v>38.15</v>
      </c>
      <c r="H31" s="107">
        <f>I21</f>
        <v>50.85</v>
      </c>
      <c r="I31" s="107">
        <f>I21</f>
        <v>50.85</v>
      </c>
      <c r="K31" s="112"/>
      <c r="L31" s="112"/>
    </row>
    <row r="32" spans="2:18" ht="21" customHeight="1" x14ac:dyDescent="0.25">
      <c r="B32" s="99" t="e">
        <f>B22</f>
        <v>#REF!</v>
      </c>
      <c r="C32" s="110">
        <f>E22</f>
        <v>25.450000000000003</v>
      </c>
      <c r="D32" s="110">
        <f>E22</f>
        <v>25.450000000000003</v>
      </c>
      <c r="E32" s="110">
        <f>E22</f>
        <v>25.450000000000003</v>
      </c>
      <c r="F32" s="110">
        <f>G22</f>
        <v>38.15</v>
      </c>
      <c r="G32" s="110">
        <f>G22</f>
        <v>38.15</v>
      </c>
      <c r="H32" s="107">
        <f>I22</f>
        <v>50.85</v>
      </c>
      <c r="I32" s="107">
        <f>I22</f>
        <v>50.85</v>
      </c>
      <c r="K32" s="112"/>
      <c r="L32" s="112"/>
    </row>
    <row r="33" spans="2:18" ht="21" customHeight="1" thickBot="1" x14ac:dyDescent="0.3">
      <c r="B33" s="117" t="e">
        <f>B23</f>
        <v>#REF!</v>
      </c>
      <c r="C33" s="111">
        <f>E23</f>
        <v>26.950000000000003</v>
      </c>
      <c r="D33" s="121">
        <f>E23</f>
        <v>26.950000000000003</v>
      </c>
      <c r="E33" s="121">
        <f>E23</f>
        <v>26.950000000000003</v>
      </c>
      <c r="F33" s="121">
        <f>G23</f>
        <v>40.25</v>
      </c>
      <c r="G33" s="121">
        <f>G23</f>
        <v>40.25</v>
      </c>
      <c r="H33" s="122">
        <f>I23</f>
        <v>53.75</v>
      </c>
      <c r="I33" s="122">
        <f>I23</f>
        <v>53.75</v>
      </c>
      <c r="K33" s="112"/>
      <c r="L33" s="112"/>
    </row>
    <row r="34" spans="2:18" ht="21" customHeight="1" thickBot="1" x14ac:dyDescent="0.35">
      <c r="B34" s="78" t="s">
        <v>118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5" t="s">
        <v>91</v>
      </c>
      <c r="D38" s="976"/>
      <c r="F38" s="975" t="s">
        <v>92</v>
      </c>
      <c r="G38" s="976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17:I17"/>
    <mergeCell ref="C27:I27"/>
    <mergeCell ref="C38:D38"/>
    <mergeCell ref="F38:G38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>
    <tabColor theme="0" tint="-0.14999847407452621"/>
  </sheetPr>
  <dimension ref="A2:Z76"/>
  <sheetViews>
    <sheetView zoomScale="130" zoomScaleNormal="130" workbookViewId="0">
      <selection activeCell="D20" sqref="D20"/>
    </sheetView>
  </sheetViews>
  <sheetFormatPr defaultRowHeight="15" x14ac:dyDescent="0.25"/>
  <cols>
    <col min="1" max="1" width="2.7109375" customWidth="1"/>
    <col min="2" max="18" width="12.7109375" customWidth="1"/>
    <col min="19" max="19" width="14.28515625" customWidth="1"/>
    <col min="20" max="20" width="14.140625" customWidth="1"/>
    <col min="21" max="21" width="12.7109375" bestFit="1" customWidth="1"/>
    <col min="22" max="22" width="12.7109375" customWidth="1"/>
    <col min="23" max="23" width="2.7109375" customWidth="1"/>
    <col min="24" max="24" width="11.28515625" customWidth="1"/>
  </cols>
  <sheetData>
    <row r="2" spans="2:22" ht="46.5" x14ac:dyDescent="0.7">
      <c r="B2" s="3" t="s">
        <v>0</v>
      </c>
      <c r="C2" s="3"/>
    </row>
    <row r="4" spans="2:22" ht="15.75" customHeight="1" x14ac:dyDescent="0.25">
      <c r="B4" s="981" t="s">
        <v>17</v>
      </c>
      <c r="C4" s="981"/>
      <c r="D4" s="982" t="s">
        <v>106</v>
      </c>
      <c r="E4" s="982"/>
      <c r="F4" s="982"/>
      <c r="G4" s="982"/>
      <c r="H4" s="982"/>
      <c r="I4" s="129"/>
      <c r="M4" s="1" t="s">
        <v>1</v>
      </c>
      <c r="N4" s="68">
        <v>1.6</v>
      </c>
      <c r="T4" s="127" t="s">
        <v>104</v>
      </c>
      <c r="U4" s="126">
        <v>44242</v>
      </c>
    </row>
    <row r="5" spans="2:22" ht="15.75" customHeight="1" x14ac:dyDescent="0.25">
      <c r="B5" s="981"/>
      <c r="C5" s="981"/>
      <c r="D5" s="982"/>
      <c r="E5" s="982"/>
      <c r="F5" s="982"/>
      <c r="G5" s="982"/>
      <c r="H5" s="982"/>
      <c r="I5" s="129"/>
      <c r="M5" s="1" t="s">
        <v>5</v>
      </c>
      <c r="N5" s="69">
        <v>4</v>
      </c>
    </row>
    <row r="6" spans="2:22" ht="15.75" customHeight="1" x14ac:dyDescent="0.25">
      <c r="M6" s="1" t="s">
        <v>6</v>
      </c>
      <c r="N6" s="69">
        <v>4</v>
      </c>
    </row>
    <row r="7" spans="2:22" ht="15.75" customHeight="1" x14ac:dyDescent="0.25">
      <c r="C7" s="4">
        <f>N7*2*2</f>
        <v>6</v>
      </c>
      <c r="D7" t="s">
        <v>36</v>
      </c>
      <c r="M7" s="1" t="s">
        <v>7</v>
      </c>
      <c r="N7" s="69">
        <v>1.5</v>
      </c>
    </row>
    <row r="8" spans="2:22" ht="15.75" x14ac:dyDescent="0.25">
      <c r="C8" s="4">
        <f>(N5*2)+1</f>
        <v>9</v>
      </c>
      <c r="D8" t="s">
        <v>37</v>
      </c>
      <c r="M8" s="1" t="s">
        <v>3</v>
      </c>
      <c r="N8" s="2" t="s">
        <v>4</v>
      </c>
    </row>
    <row r="9" spans="2:22" ht="15.75" x14ac:dyDescent="0.25">
      <c r="C9" s="4">
        <f>N6*2</f>
        <v>8</v>
      </c>
      <c r="D9" t="s">
        <v>38</v>
      </c>
      <c r="M9" s="1" t="s">
        <v>8</v>
      </c>
      <c r="N9" s="2" t="s">
        <v>9</v>
      </c>
    </row>
    <row r="10" spans="2:22" ht="15.75" x14ac:dyDescent="0.25">
      <c r="C10" s="6">
        <v>118</v>
      </c>
      <c r="D10" t="s">
        <v>39</v>
      </c>
      <c r="M10" s="1" t="s">
        <v>10</v>
      </c>
      <c r="N10" s="2" t="s">
        <v>11</v>
      </c>
    </row>
    <row r="11" spans="2:22" ht="15.75" x14ac:dyDescent="0.25">
      <c r="M11" s="1" t="s">
        <v>12</v>
      </c>
      <c r="N11" s="2" t="s">
        <v>13</v>
      </c>
    </row>
    <row r="12" spans="2:22" ht="15.75" x14ac:dyDescent="0.25">
      <c r="C12" s="5" t="s">
        <v>47</v>
      </c>
      <c r="D12" t="s">
        <v>44</v>
      </c>
      <c r="M12" s="1" t="s">
        <v>2</v>
      </c>
      <c r="N12" s="2" t="s">
        <v>16</v>
      </c>
    </row>
    <row r="13" spans="2:22" ht="15.75" x14ac:dyDescent="0.25">
      <c r="D13" t="s">
        <v>45</v>
      </c>
      <c r="M13" s="1" t="s">
        <v>14</v>
      </c>
      <c r="N13" s="2" t="s">
        <v>15</v>
      </c>
    </row>
    <row r="14" spans="2:22" ht="15.75" thickBot="1" x14ac:dyDescent="0.3"/>
    <row r="15" spans="2:22" ht="19.5" thickBot="1" x14ac:dyDescent="0.35">
      <c r="D15" s="983" t="s">
        <v>48</v>
      </c>
      <c r="E15" s="984"/>
      <c r="F15" s="984"/>
      <c r="G15" s="984"/>
      <c r="H15" s="984"/>
      <c r="I15" s="984"/>
      <c r="J15" s="984"/>
      <c r="K15" s="984"/>
      <c r="L15" s="984"/>
      <c r="M15" s="984"/>
      <c r="N15" s="984"/>
      <c r="O15" s="984"/>
      <c r="P15" s="984"/>
      <c r="Q15" s="985"/>
      <c r="R15" s="165">
        <v>3.5</v>
      </c>
      <c r="T15" s="165">
        <f>5+2</f>
        <v>7</v>
      </c>
      <c r="U15" s="25"/>
    </row>
    <row r="16" spans="2:22" x14ac:dyDescent="0.25">
      <c r="B16" s="15"/>
      <c r="C16" s="16"/>
      <c r="D16" s="21" t="s">
        <v>23</v>
      </c>
      <c r="E16" s="17"/>
      <c r="F16" s="17" t="s">
        <v>107</v>
      </c>
      <c r="G16" s="17" t="s">
        <v>25</v>
      </c>
      <c r="H16" s="82" t="s">
        <v>25</v>
      </c>
      <c r="I16" s="82" t="s">
        <v>114</v>
      </c>
      <c r="J16" s="17"/>
      <c r="K16" s="17" t="s">
        <v>19</v>
      </c>
      <c r="L16" s="17" t="s">
        <v>31</v>
      </c>
      <c r="M16" s="17" t="s">
        <v>29</v>
      </c>
      <c r="N16" s="17" t="s">
        <v>31</v>
      </c>
      <c r="O16" s="17"/>
      <c r="P16" s="17" t="s">
        <v>31</v>
      </c>
      <c r="Q16" s="56">
        <v>4.5</v>
      </c>
      <c r="R16" s="21" t="s">
        <v>55</v>
      </c>
      <c r="S16" s="17" t="s">
        <v>55</v>
      </c>
      <c r="T16" s="17" t="s">
        <v>53</v>
      </c>
      <c r="U16" s="45" t="s">
        <v>53</v>
      </c>
      <c r="V16" s="23"/>
    </row>
    <row r="17" spans="1:26" x14ac:dyDescent="0.25">
      <c r="B17" s="18" t="s">
        <v>19</v>
      </c>
      <c r="C17" s="19" t="s">
        <v>21</v>
      </c>
      <c r="D17" s="22" t="s">
        <v>32</v>
      </c>
      <c r="E17" s="20" t="s">
        <v>23</v>
      </c>
      <c r="F17" s="20" t="s">
        <v>108</v>
      </c>
      <c r="G17" s="20" t="s">
        <v>27</v>
      </c>
      <c r="H17" s="83" t="s">
        <v>110</v>
      </c>
      <c r="I17" s="83" t="s">
        <v>113</v>
      </c>
      <c r="J17" s="20" t="s">
        <v>46</v>
      </c>
      <c r="K17" s="20" t="s">
        <v>40</v>
      </c>
      <c r="L17" s="20" t="s">
        <v>42</v>
      </c>
      <c r="M17" s="20" t="s">
        <v>28</v>
      </c>
      <c r="N17" s="20" t="s">
        <v>32</v>
      </c>
      <c r="O17" s="20" t="s">
        <v>43</v>
      </c>
      <c r="P17" s="20" t="s">
        <v>33</v>
      </c>
      <c r="Q17" s="57" t="s">
        <v>34</v>
      </c>
      <c r="R17" s="22" t="s">
        <v>26</v>
      </c>
      <c r="S17" s="20" t="s">
        <v>26</v>
      </c>
      <c r="T17" s="20" t="s">
        <v>86</v>
      </c>
      <c r="U17" s="46" t="s">
        <v>67</v>
      </c>
      <c r="V17" s="23"/>
    </row>
    <row r="18" spans="1:26" ht="15.75" thickBot="1" x14ac:dyDescent="0.3">
      <c r="B18" s="18" t="s">
        <v>20</v>
      </c>
      <c r="C18" s="19" t="s">
        <v>22</v>
      </c>
      <c r="D18" s="22" t="s">
        <v>19</v>
      </c>
      <c r="E18" s="20" t="s">
        <v>24</v>
      </c>
      <c r="F18" s="20" t="s">
        <v>109</v>
      </c>
      <c r="G18" s="20" t="s">
        <v>112</v>
      </c>
      <c r="H18" s="83" t="s">
        <v>111</v>
      </c>
      <c r="I18" s="83" t="s">
        <v>19</v>
      </c>
      <c r="J18" s="20"/>
      <c r="K18" s="20" t="s">
        <v>41</v>
      </c>
      <c r="L18" s="20" t="s">
        <v>28</v>
      </c>
      <c r="M18" s="20" t="s">
        <v>30</v>
      </c>
      <c r="N18" s="20" t="s">
        <v>28</v>
      </c>
      <c r="O18" s="20" t="s">
        <v>28</v>
      </c>
      <c r="P18" s="20" t="s">
        <v>28</v>
      </c>
      <c r="Q18" s="57" t="s">
        <v>35</v>
      </c>
      <c r="R18" s="22" t="s">
        <v>84</v>
      </c>
      <c r="S18" s="20" t="s">
        <v>85</v>
      </c>
      <c r="T18" s="20" t="s">
        <v>88</v>
      </c>
      <c r="U18" s="46" t="s">
        <v>87</v>
      </c>
      <c r="V18" s="23"/>
    </row>
    <row r="19" spans="1:26" x14ac:dyDescent="0.25">
      <c r="A19" s="23"/>
      <c r="B19" s="132">
        <v>24</v>
      </c>
      <c r="C19" s="133">
        <v>60</v>
      </c>
      <c r="D19" s="62">
        <f t="shared" ref="D19:D53" si="0">B19*$N$4+$C$7</f>
        <v>44.400000000000006</v>
      </c>
      <c r="E19" s="63">
        <f t="shared" ref="E19:E53" si="1">C19+$C$8+$C$9</f>
        <v>77</v>
      </c>
      <c r="F19" s="63" t="str">
        <f>IF(E19&lt;$C$10,"RAILROAD","VERTICAL")</f>
        <v>RAILROAD</v>
      </c>
      <c r="G19" s="64">
        <f>D19/54</f>
        <v>0.8222222222222223</v>
      </c>
      <c r="H19" s="84">
        <f t="shared" ref="H19:H53" si="2">CEILING(G19,0.5)</f>
        <v>1</v>
      </c>
      <c r="I19" s="164">
        <f t="shared" ref="I19:I53" si="3">IF(H19=1,(H19*54)-4,(H19*54))</f>
        <v>50</v>
      </c>
      <c r="J19" s="64">
        <f t="shared" ref="J19:J46" si="4">IF(F19="VERTICAL",CEILING((I19/$C$10)*E19/36/0.95,0.05),IF(H19=1,(I19+4)/36/0.92,I19/36/0.92))</f>
        <v>1.6304347826086956</v>
      </c>
      <c r="K19" s="64">
        <f>I19-$C$7</f>
        <v>44</v>
      </c>
      <c r="L19" s="65">
        <v>7</v>
      </c>
      <c r="M19" s="65">
        <v>3</v>
      </c>
      <c r="N19" s="64">
        <f t="shared" ref="N19:N53" si="5">(K19-M19-M19)/L19</f>
        <v>5.4285714285714288</v>
      </c>
      <c r="O19" s="66">
        <f t="shared" ref="O19:O53" si="6">EVEN(ROUND(N19,0.5))</f>
        <v>6</v>
      </c>
      <c r="P19" s="64">
        <f t="shared" ref="P19:P53" si="7">(K19-M19-M19)/(O19-1)</f>
        <v>7.6</v>
      </c>
      <c r="Q19" s="67">
        <f>($Q$16*(O19-1))+1+1</f>
        <v>24.5</v>
      </c>
      <c r="R19" s="166">
        <f>$R$15</f>
        <v>3.5</v>
      </c>
      <c r="S19" s="36">
        <f>J19*R19</f>
        <v>5.7065217391304346</v>
      </c>
      <c r="T19" s="172">
        <f>$T$15</f>
        <v>7</v>
      </c>
      <c r="U19" s="58">
        <f>CEILING(S19+T19*H19,0.05)</f>
        <v>12.75</v>
      </c>
      <c r="V19" s="24"/>
      <c r="Z19" s="24"/>
    </row>
    <row r="20" spans="1:26" x14ac:dyDescent="0.25">
      <c r="A20" s="23"/>
      <c r="B20" s="134">
        <f t="shared" ref="B20:B25" si="8">B19+16</f>
        <v>40</v>
      </c>
      <c r="C20" s="13">
        <v>60</v>
      </c>
      <c r="D20" s="37">
        <f t="shared" si="0"/>
        <v>70</v>
      </c>
      <c r="E20" s="10">
        <f t="shared" si="1"/>
        <v>77</v>
      </c>
      <c r="F20" s="10" t="str">
        <f t="shared" ref="F20:F53" si="9">IF(E20&lt;$C$10,"RAILROAD","VERTICAL")</f>
        <v>RAILROAD</v>
      </c>
      <c r="G20" s="9">
        <f t="shared" ref="G20:G25" si="10">D20/54</f>
        <v>1.2962962962962963</v>
      </c>
      <c r="H20" s="85">
        <f t="shared" si="2"/>
        <v>1.5</v>
      </c>
      <c r="I20" s="85">
        <f t="shared" si="3"/>
        <v>81</v>
      </c>
      <c r="J20" s="9">
        <f t="shared" si="4"/>
        <v>2.4456521739130435</v>
      </c>
      <c r="K20" s="9">
        <f t="shared" ref="K20:K25" si="11">I20-$C$7</f>
        <v>75</v>
      </c>
      <c r="L20" s="11">
        <v>7</v>
      </c>
      <c r="M20" s="11">
        <v>3</v>
      </c>
      <c r="N20" s="9">
        <f t="shared" si="5"/>
        <v>9.8571428571428577</v>
      </c>
      <c r="O20" s="12">
        <f t="shared" si="6"/>
        <v>10</v>
      </c>
      <c r="P20" s="9">
        <f t="shared" si="7"/>
        <v>7.666666666666667</v>
      </c>
      <c r="Q20" s="14">
        <f t="shared" ref="Q20:Q25" si="12">($Q$16*(O20-1))+1+1</f>
        <v>42.5</v>
      </c>
      <c r="R20" s="167">
        <f t="shared" ref="R20:R53" si="13">$R$15</f>
        <v>3.5</v>
      </c>
      <c r="S20" s="31">
        <f t="shared" ref="S20:S25" si="14">J20*R20</f>
        <v>8.5597826086956523</v>
      </c>
      <c r="T20" s="173">
        <f t="shared" ref="T20:T53" si="15">$T$15</f>
        <v>7</v>
      </c>
      <c r="U20" s="59">
        <f t="shared" ref="U20:U53" si="16">CEILING(S20+T20*H20,0.05)</f>
        <v>19.100000000000001</v>
      </c>
      <c r="V20" s="24"/>
      <c r="Z20" s="24"/>
    </row>
    <row r="21" spans="1:26" x14ac:dyDescent="0.25">
      <c r="A21" s="23"/>
      <c r="B21" s="134">
        <f t="shared" si="8"/>
        <v>56</v>
      </c>
      <c r="C21" s="7">
        <v>60</v>
      </c>
      <c r="D21" s="37">
        <f t="shared" si="0"/>
        <v>95.600000000000009</v>
      </c>
      <c r="E21" s="10">
        <f t="shared" si="1"/>
        <v>77</v>
      </c>
      <c r="F21" s="10" t="str">
        <f t="shared" si="9"/>
        <v>RAILROAD</v>
      </c>
      <c r="G21" s="9">
        <f t="shared" si="10"/>
        <v>1.7703703703703706</v>
      </c>
      <c r="H21" s="85">
        <f t="shared" si="2"/>
        <v>2</v>
      </c>
      <c r="I21" s="85">
        <f t="shared" si="3"/>
        <v>108</v>
      </c>
      <c r="J21" s="9">
        <f t="shared" si="4"/>
        <v>3.2608695652173911</v>
      </c>
      <c r="K21" s="9">
        <f t="shared" si="11"/>
        <v>102</v>
      </c>
      <c r="L21" s="11">
        <v>7</v>
      </c>
      <c r="M21" s="11">
        <v>3</v>
      </c>
      <c r="N21" s="9">
        <f t="shared" si="5"/>
        <v>13.714285714285714</v>
      </c>
      <c r="O21" s="12">
        <f t="shared" si="6"/>
        <v>14</v>
      </c>
      <c r="P21" s="9">
        <f t="shared" si="7"/>
        <v>7.384615384615385</v>
      </c>
      <c r="Q21" s="14">
        <f t="shared" si="12"/>
        <v>60.5</v>
      </c>
      <c r="R21" s="167">
        <f t="shared" si="13"/>
        <v>3.5</v>
      </c>
      <c r="S21" s="31">
        <f t="shared" si="14"/>
        <v>11.413043478260869</v>
      </c>
      <c r="T21" s="173">
        <f t="shared" si="15"/>
        <v>7</v>
      </c>
      <c r="U21" s="59">
        <f t="shared" si="16"/>
        <v>25.450000000000003</v>
      </c>
      <c r="V21" s="24"/>
      <c r="Z21" s="24"/>
    </row>
    <row r="22" spans="1:26" x14ac:dyDescent="0.25">
      <c r="A22" s="23"/>
      <c r="B22" s="134">
        <f t="shared" si="8"/>
        <v>72</v>
      </c>
      <c r="C22" s="7">
        <v>60</v>
      </c>
      <c r="D22" s="37">
        <f t="shared" si="0"/>
        <v>121.2</v>
      </c>
      <c r="E22" s="10">
        <f t="shared" si="1"/>
        <v>77</v>
      </c>
      <c r="F22" s="10" t="str">
        <f t="shared" si="9"/>
        <v>RAILROAD</v>
      </c>
      <c r="G22" s="9">
        <f t="shared" si="10"/>
        <v>2.2444444444444445</v>
      </c>
      <c r="H22" s="85">
        <f t="shared" si="2"/>
        <v>2.5</v>
      </c>
      <c r="I22" s="85">
        <f t="shared" si="3"/>
        <v>135</v>
      </c>
      <c r="J22" s="9">
        <f t="shared" si="4"/>
        <v>4.0760869565217392</v>
      </c>
      <c r="K22" s="9">
        <f t="shared" si="11"/>
        <v>129</v>
      </c>
      <c r="L22" s="11">
        <v>7</v>
      </c>
      <c r="M22" s="11">
        <v>3</v>
      </c>
      <c r="N22" s="9">
        <f t="shared" si="5"/>
        <v>17.571428571428573</v>
      </c>
      <c r="O22" s="12">
        <f t="shared" si="6"/>
        <v>18</v>
      </c>
      <c r="P22" s="9">
        <f t="shared" si="7"/>
        <v>7.2352941176470589</v>
      </c>
      <c r="Q22" s="14">
        <f t="shared" si="12"/>
        <v>78.5</v>
      </c>
      <c r="R22" s="167">
        <f t="shared" si="13"/>
        <v>3.5</v>
      </c>
      <c r="S22" s="31">
        <f t="shared" si="14"/>
        <v>14.266304347826088</v>
      </c>
      <c r="T22" s="173">
        <f t="shared" si="15"/>
        <v>7</v>
      </c>
      <c r="U22" s="59">
        <f t="shared" si="16"/>
        <v>31.8</v>
      </c>
      <c r="V22" s="24"/>
      <c r="Z22" s="24"/>
    </row>
    <row r="23" spans="1:26" x14ac:dyDescent="0.25">
      <c r="A23" s="23"/>
      <c r="B23" s="134">
        <f t="shared" si="8"/>
        <v>88</v>
      </c>
      <c r="C23" s="7">
        <v>60</v>
      </c>
      <c r="D23" s="37">
        <f t="shared" si="0"/>
        <v>146.80000000000001</v>
      </c>
      <c r="E23" s="10">
        <f t="shared" si="1"/>
        <v>77</v>
      </c>
      <c r="F23" s="10" t="str">
        <f t="shared" si="9"/>
        <v>RAILROAD</v>
      </c>
      <c r="G23" s="9">
        <f t="shared" si="10"/>
        <v>2.7185185185185188</v>
      </c>
      <c r="H23" s="85">
        <f t="shared" si="2"/>
        <v>3</v>
      </c>
      <c r="I23" s="85">
        <f t="shared" si="3"/>
        <v>162</v>
      </c>
      <c r="J23" s="9">
        <f t="shared" si="4"/>
        <v>4.8913043478260869</v>
      </c>
      <c r="K23" s="9">
        <f t="shared" si="11"/>
        <v>156</v>
      </c>
      <c r="L23" s="11">
        <v>7</v>
      </c>
      <c r="M23" s="11">
        <v>3</v>
      </c>
      <c r="N23" s="9">
        <f t="shared" si="5"/>
        <v>21.428571428571427</v>
      </c>
      <c r="O23" s="12">
        <f t="shared" si="6"/>
        <v>22</v>
      </c>
      <c r="P23" s="9">
        <f t="shared" si="7"/>
        <v>7.1428571428571432</v>
      </c>
      <c r="Q23" s="14">
        <f t="shared" si="12"/>
        <v>96.5</v>
      </c>
      <c r="R23" s="167">
        <f t="shared" si="13"/>
        <v>3.5</v>
      </c>
      <c r="S23" s="31">
        <f t="shared" si="14"/>
        <v>17.119565217391305</v>
      </c>
      <c r="T23" s="173">
        <f t="shared" si="15"/>
        <v>7</v>
      </c>
      <c r="U23" s="59">
        <f t="shared" si="16"/>
        <v>38.15</v>
      </c>
      <c r="V23" s="24"/>
      <c r="Z23" s="24"/>
    </row>
    <row r="24" spans="1:26" x14ac:dyDescent="0.25">
      <c r="A24" s="23"/>
      <c r="B24" s="134">
        <f t="shared" si="8"/>
        <v>104</v>
      </c>
      <c r="C24" s="7">
        <v>60</v>
      </c>
      <c r="D24" s="37">
        <f t="shared" si="0"/>
        <v>172.4</v>
      </c>
      <c r="E24" s="10">
        <f t="shared" si="1"/>
        <v>77</v>
      </c>
      <c r="F24" s="10" t="str">
        <f t="shared" si="9"/>
        <v>RAILROAD</v>
      </c>
      <c r="G24" s="9">
        <f t="shared" si="10"/>
        <v>3.1925925925925926</v>
      </c>
      <c r="H24" s="85">
        <f t="shared" si="2"/>
        <v>3.5</v>
      </c>
      <c r="I24" s="85">
        <f t="shared" si="3"/>
        <v>189</v>
      </c>
      <c r="J24" s="9">
        <f t="shared" si="4"/>
        <v>5.7065217391304346</v>
      </c>
      <c r="K24" s="9">
        <f t="shared" si="11"/>
        <v>183</v>
      </c>
      <c r="L24" s="11">
        <v>7</v>
      </c>
      <c r="M24" s="11">
        <v>3</v>
      </c>
      <c r="N24" s="9">
        <f t="shared" si="5"/>
        <v>25.285714285714285</v>
      </c>
      <c r="O24" s="12">
        <f t="shared" si="6"/>
        <v>26</v>
      </c>
      <c r="P24" s="9">
        <f t="shared" si="7"/>
        <v>7.08</v>
      </c>
      <c r="Q24" s="14">
        <f t="shared" si="12"/>
        <v>114.5</v>
      </c>
      <c r="R24" s="167">
        <f t="shared" si="13"/>
        <v>3.5</v>
      </c>
      <c r="S24" s="31">
        <f t="shared" si="14"/>
        <v>19.97282608695652</v>
      </c>
      <c r="T24" s="173">
        <f t="shared" si="15"/>
        <v>7</v>
      </c>
      <c r="U24" s="59">
        <f t="shared" si="16"/>
        <v>44.5</v>
      </c>
      <c r="V24" s="24"/>
      <c r="Z24" s="24"/>
    </row>
    <row r="25" spans="1:26" ht="15.75" thickBot="1" x14ac:dyDescent="0.3">
      <c r="A25" s="23"/>
      <c r="B25" s="135">
        <f t="shared" si="8"/>
        <v>120</v>
      </c>
      <c r="C25" s="136">
        <v>60</v>
      </c>
      <c r="D25" s="137">
        <f t="shared" si="0"/>
        <v>198</v>
      </c>
      <c r="E25" s="131">
        <f t="shared" si="1"/>
        <v>77</v>
      </c>
      <c r="F25" s="131" t="str">
        <f t="shared" si="9"/>
        <v>RAILROAD</v>
      </c>
      <c r="G25" s="61">
        <f t="shared" si="10"/>
        <v>3.6666666666666665</v>
      </c>
      <c r="H25" s="130">
        <f t="shared" si="2"/>
        <v>4</v>
      </c>
      <c r="I25" s="130">
        <f t="shared" si="3"/>
        <v>216</v>
      </c>
      <c r="J25" s="61">
        <f t="shared" si="4"/>
        <v>6.5217391304347823</v>
      </c>
      <c r="K25" s="61">
        <f t="shared" si="11"/>
        <v>210</v>
      </c>
      <c r="L25" s="138">
        <v>7</v>
      </c>
      <c r="M25" s="138">
        <v>3</v>
      </c>
      <c r="N25" s="61">
        <f t="shared" si="5"/>
        <v>29.142857142857142</v>
      </c>
      <c r="O25" s="60">
        <f t="shared" si="6"/>
        <v>30</v>
      </c>
      <c r="P25" s="61">
        <f t="shared" si="7"/>
        <v>7.0344827586206895</v>
      </c>
      <c r="Q25" s="139">
        <f t="shared" si="12"/>
        <v>132.5</v>
      </c>
      <c r="R25" s="168">
        <f t="shared" si="13"/>
        <v>3.5</v>
      </c>
      <c r="S25" s="54">
        <f t="shared" si="14"/>
        <v>22.826086956521738</v>
      </c>
      <c r="T25" s="174">
        <f t="shared" si="15"/>
        <v>7</v>
      </c>
      <c r="U25" s="140">
        <f t="shared" si="16"/>
        <v>50.85</v>
      </c>
      <c r="V25" s="24"/>
      <c r="Z25" s="24"/>
    </row>
    <row r="26" spans="1:26" x14ac:dyDescent="0.25">
      <c r="A26" s="23"/>
      <c r="B26" s="141">
        <v>24</v>
      </c>
      <c r="C26" s="142">
        <f>C19+12</f>
        <v>72</v>
      </c>
      <c r="D26" s="62">
        <f t="shared" si="0"/>
        <v>44.400000000000006</v>
      </c>
      <c r="E26" s="63">
        <f t="shared" si="1"/>
        <v>89</v>
      </c>
      <c r="F26" s="63" t="str">
        <f>IF(E26&lt;$C$10,"RAILROAD","VERTICAL")</f>
        <v>RAILROAD</v>
      </c>
      <c r="G26" s="64">
        <f>D26/54</f>
        <v>0.8222222222222223</v>
      </c>
      <c r="H26" s="84">
        <f t="shared" si="2"/>
        <v>1</v>
      </c>
      <c r="I26" s="164">
        <f t="shared" si="3"/>
        <v>50</v>
      </c>
      <c r="J26" s="64">
        <f t="shared" si="4"/>
        <v>1.6304347826086956</v>
      </c>
      <c r="K26" s="64">
        <f>I26-$C$7</f>
        <v>44</v>
      </c>
      <c r="L26" s="65">
        <v>7</v>
      </c>
      <c r="M26" s="65">
        <v>3</v>
      </c>
      <c r="N26" s="64">
        <f t="shared" si="5"/>
        <v>5.4285714285714288</v>
      </c>
      <c r="O26" s="66">
        <f t="shared" si="6"/>
        <v>6</v>
      </c>
      <c r="P26" s="64">
        <f t="shared" si="7"/>
        <v>7.6</v>
      </c>
      <c r="Q26" s="67">
        <f>($Q$16*(O26-1))+1+1</f>
        <v>24.5</v>
      </c>
      <c r="R26" s="166">
        <f>$R$15</f>
        <v>3.5</v>
      </c>
      <c r="S26" s="36">
        <f>J26*R26</f>
        <v>5.7065217391304346</v>
      </c>
      <c r="T26" s="172">
        <f>$T$15</f>
        <v>7</v>
      </c>
      <c r="U26" s="58">
        <f>CEILING(S26+T26*H26,0.05)</f>
        <v>12.75</v>
      </c>
      <c r="V26" s="24"/>
    </row>
    <row r="27" spans="1:26" x14ac:dyDescent="0.25">
      <c r="A27" s="23"/>
      <c r="B27" s="143">
        <f t="shared" ref="B27:B32" si="17">B26+16</f>
        <v>40</v>
      </c>
      <c r="C27" s="79">
        <f t="shared" ref="C27:C32" si="18">C20+12</f>
        <v>72</v>
      </c>
      <c r="D27" s="37">
        <f t="shared" si="0"/>
        <v>70</v>
      </c>
      <c r="E27" s="10">
        <f t="shared" si="1"/>
        <v>89</v>
      </c>
      <c r="F27" s="10" t="str">
        <f t="shared" si="9"/>
        <v>RAILROAD</v>
      </c>
      <c r="G27" s="9">
        <f t="shared" ref="G27:G32" si="19">D27/54</f>
        <v>1.2962962962962963</v>
      </c>
      <c r="H27" s="85">
        <f t="shared" si="2"/>
        <v>1.5</v>
      </c>
      <c r="I27" s="85">
        <f t="shared" si="3"/>
        <v>81</v>
      </c>
      <c r="J27" s="9">
        <f t="shared" si="4"/>
        <v>2.4456521739130435</v>
      </c>
      <c r="K27" s="9">
        <f t="shared" ref="K27:K32" si="20">I27-$C$7</f>
        <v>75</v>
      </c>
      <c r="L27" s="11">
        <v>7</v>
      </c>
      <c r="M27" s="11">
        <v>3</v>
      </c>
      <c r="N27" s="9">
        <f t="shared" si="5"/>
        <v>9.8571428571428577</v>
      </c>
      <c r="O27" s="12">
        <f t="shared" si="6"/>
        <v>10</v>
      </c>
      <c r="P27" s="9">
        <f t="shared" si="7"/>
        <v>7.666666666666667</v>
      </c>
      <c r="Q27" s="14">
        <f t="shared" ref="Q27:Q32" si="21">($Q$16*(O27-1))+1+1</f>
        <v>42.5</v>
      </c>
      <c r="R27" s="167">
        <f t="shared" si="13"/>
        <v>3.5</v>
      </c>
      <c r="S27" s="31">
        <f t="shared" ref="S27:S32" si="22">J27*R27</f>
        <v>8.5597826086956523</v>
      </c>
      <c r="T27" s="173">
        <f t="shared" si="15"/>
        <v>7</v>
      </c>
      <c r="U27" s="59">
        <f t="shared" si="16"/>
        <v>19.100000000000001</v>
      </c>
      <c r="V27" s="24"/>
    </row>
    <row r="28" spans="1:26" x14ac:dyDescent="0.25">
      <c r="A28" s="23"/>
      <c r="B28" s="143">
        <f t="shared" si="17"/>
        <v>56</v>
      </c>
      <c r="C28" s="79">
        <f t="shared" si="18"/>
        <v>72</v>
      </c>
      <c r="D28" s="37">
        <f t="shared" si="0"/>
        <v>95.600000000000009</v>
      </c>
      <c r="E28" s="10">
        <f t="shared" si="1"/>
        <v>89</v>
      </c>
      <c r="F28" s="10" t="str">
        <f t="shared" si="9"/>
        <v>RAILROAD</v>
      </c>
      <c r="G28" s="9">
        <f t="shared" si="19"/>
        <v>1.7703703703703706</v>
      </c>
      <c r="H28" s="85">
        <f t="shared" si="2"/>
        <v>2</v>
      </c>
      <c r="I28" s="85">
        <f t="shared" si="3"/>
        <v>108</v>
      </c>
      <c r="J28" s="9">
        <f t="shared" si="4"/>
        <v>3.2608695652173911</v>
      </c>
      <c r="K28" s="9">
        <f t="shared" si="20"/>
        <v>102</v>
      </c>
      <c r="L28" s="11">
        <v>7</v>
      </c>
      <c r="M28" s="11">
        <v>3</v>
      </c>
      <c r="N28" s="9">
        <f t="shared" si="5"/>
        <v>13.714285714285714</v>
      </c>
      <c r="O28" s="12">
        <f t="shared" si="6"/>
        <v>14</v>
      </c>
      <c r="P28" s="9">
        <f t="shared" si="7"/>
        <v>7.384615384615385</v>
      </c>
      <c r="Q28" s="14">
        <f t="shared" si="21"/>
        <v>60.5</v>
      </c>
      <c r="R28" s="167">
        <f t="shared" si="13"/>
        <v>3.5</v>
      </c>
      <c r="S28" s="31">
        <f t="shared" si="22"/>
        <v>11.413043478260869</v>
      </c>
      <c r="T28" s="173">
        <f t="shared" si="15"/>
        <v>7</v>
      </c>
      <c r="U28" s="59">
        <f t="shared" si="16"/>
        <v>25.450000000000003</v>
      </c>
      <c r="V28" s="24"/>
    </row>
    <row r="29" spans="1:26" x14ac:dyDescent="0.25">
      <c r="A29" s="23"/>
      <c r="B29" s="143">
        <f t="shared" si="17"/>
        <v>72</v>
      </c>
      <c r="C29" s="79">
        <f t="shared" si="18"/>
        <v>72</v>
      </c>
      <c r="D29" s="37">
        <f t="shared" si="0"/>
        <v>121.2</v>
      </c>
      <c r="E29" s="10">
        <f t="shared" si="1"/>
        <v>89</v>
      </c>
      <c r="F29" s="10" t="str">
        <f t="shared" si="9"/>
        <v>RAILROAD</v>
      </c>
      <c r="G29" s="9">
        <f t="shared" si="19"/>
        <v>2.2444444444444445</v>
      </c>
      <c r="H29" s="85">
        <f t="shared" si="2"/>
        <v>2.5</v>
      </c>
      <c r="I29" s="85">
        <f t="shared" si="3"/>
        <v>135</v>
      </c>
      <c r="J29" s="9">
        <f t="shared" si="4"/>
        <v>4.0760869565217392</v>
      </c>
      <c r="K29" s="9">
        <f t="shared" si="20"/>
        <v>129</v>
      </c>
      <c r="L29" s="11">
        <v>7</v>
      </c>
      <c r="M29" s="11">
        <v>3</v>
      </c>
      <c r="N29" s="9">
        <f t="shared" si="5"/>
        <v>17.571428571428573</v>
      </c>
      <c r="O29" s="12">
        <f t="shared" si="6"/>
        <v>18</v>
      </c>
      <c r="P29" s="9">
        <f t="shared" si="7"/>
        <v>7.2352941176470589</v>
      </c>
      <c r="Q29" s="14">
        <f t="shared" si="21"/>
        <v>78.5</v>
      </c>
      <c r="R29" s="167">
        <f t="shared" si="13"/>
        <v>3.5</v>
      </c>
      <c r="S29" s="31">
        <f t="shared" si="22"/>
        <v>14.266304347826088</v>
      </c>
      <c r="T29" s="173">
        <f t="shared" si="15"/>
        <v>7</v>
      </c>
      <c r="U29" s="59">
        <f t="shared" si="16"/>
        <v>31.8</v>
      </c>
      <c r="V29" s="24"/>
    </row>
    <row r="30" spans="1:26" x14ac:dyDescent="0.25">
      <c r="A30" s="23"/>
      <c r="B30" s="143">
        <f t="shared" si="17"/>
        <v>88</v>
      </c>
      <c r="C30" s="79">
        <f t="shared" si="18"/>
        <v>72</v>
      </c>
      <c r="D30" s="37">
        <f t="shared" si="0"/>
        <v>146.80000000000001</v>
      </c>
      <c r="E30" s="10">
        <f t="shared" si="1"/>
        <v>89</v>
      </c>
      <c r="F30" s="10" t="str">
        <f t="shared" si="9"/>
        <v>RAILROAD</v>
      </c>
      <c r="G30" s="9">
        <f t="shared" si="19"/>
        <v>2.7185185185185188</v>
      </c>
      <c r="H30" s="85">
        <f t="shared" si="2"/>
        <v>3</v>
      </c>
      <c r="I30" s="85">
        <f t="shared" si="3"/>
        <v>162</v>
      </c>
      <c r="J30" s="9">
        <f t="shared" si="4"/>
        <v>4.8913043478260869</v>
      </c>
      <c r="K30" s="9">
        <f t="shared" si="20"/>
        <v>156</v>
      </c>
      <c r="L30" s="11">
        <v>7</v>
      </c>
      <c r="M30" s="11">
        <v>3</v>
      </c>
      <c r="N30" s="9">
        <f t="shared" si="5"/>
        <v>21.428571428571427</v>
      </c>
      <c r="O30" s="12">
        <f t="shared" si="6"/>
        <v>22</v>
      </c>
      <c r="P30" s="9">
        <f t="shared" si="7"/>
        <v>7.1428571428571432</v>
      </c>
      <c r="Q30" s="14">
        <f t="shared" si="21"/>
        <v>96.5</v>
      </c>
      <c r="R30" s="167">
        <f t="shared" si="13"/>
        <v>3.5</v>
      </c>
      <c r="S30" s="31">
        <f t="shared" si="22"/>
        <v>17.119565217391305</v>
      </c>
      <c r="T30" s="173">
        <f t="shared" si="15"/>
        <v>7</v>
      </c>
      <c r="U30" s="59">
        <f t="shared" si="16"/>
        <v>38.15</v>
      </c>
      <c r="V30" s="24"/>
    </row>
    <row r="31" spans="1:26" x14ac:dyDescent="0.25">
      <c r="A31" s="23"/>
      <c r="B31" s="143">
        <f t="shared" si="17"/>
        <v>104</v>
      </c>
      <c r="C31" s="79">
        <f t="shared" si="18"/>
        <v>72</v>
      </c>
      <c r="D31" s="37">
        <f t="shared" si="0"/>
        <v>172.4</v>
      </c>
      <c r="E31" s="10">
        <f t="shared" si="1"/>
        <v>89</v>
      </c>
      <c r="F31" s="10" t="str">
        <f t="shared" si="9"/>
        <v>RAILROAD</v>
      </c>
      <c r="G31" s="9">
        <f t="shared" si="19"/>
        <v>3.1925925925925926</v>
      </c>
      <c r="H31" s="85">
        <f t="shared" si="2"/>
        <v>3.5</v>
      </c>
      <c r="I31" s="85">
        <f t="shared" si="3"/>
        <v>189</v>
      </c>
      <c r="J31" s="9">
        <f t="shared" si="4"/>
        <v>5.7065217391304346</v>
      </c>
      <c r="K31" s="9">
        <f t="shared" si="20"/>
        <v>183</v>
      </c>
      <c r="L31" s="11">
        <v>7</v>
      </c>
      <c r="M31" s="11">
        <v>3</v>
      </c>
      <c r="N31" s="9">
        <f t="shared" si="5"/>
        <v>25.285714285714285</v>
      </c>
      <c r="O31" s="12">
        <f t="shared" si="6"/>
        <v>26</v>
      </c>
      <c r="P31" s="9">
        <f t="shared" si="7"/>
        <v>7.08</v>
      </c>
      <c r="Q31" s="14">
        <f t="shared" si="21"/>
        <v>114.5</v>
      </c>
      <c r="R31" s="167">
        <f t="shared" si="13"/>
        <v>3.5</v>
      </c>
      <c r="S31" s="31">
        <f t="shared" si="22"/>
        <v>19.97282608695652</v>
      </c>
      <c r="T31" s="173">
        <f t="shared" si="15"/>
        <v>7</v>
      </c>
      <c r="U31" s="59">
        <f t="shared" si="16"/>
        <v>44.5</v>
      </c>
      <c r="V31" s="24"/>
    </row>
    <row r="32" spans="1:26" ht="15.75" thickBot="1" x14ac:dyDescent="0.3">
      <c r="A32" s="23"/>
      <c r="B32" s="144">
        <f t="shared" si="17"/>
        <v>120</v>
      </c>
      <c r="C32" s="145">
        <f t="shared" si="18"/>
        <v>72</v>
      </c>
      <c r="D32" s="137">
        <f t="shared" si="0"/>
        <v>198</v>
      </c>
      <c r="E32" s="131">
        <f t="shared" si="1"/>
        <v>89</v>
      </c>
      <c r="F32" s="131" t="str">
        <f t="shared" si="9"/>
        <v>RAILROAD</v>
      </c>
      <c r="G32" s="61">
        <f t="shared" si="19"/>
        <v>3.6666666666666665</v>
      </c>
      <c r="H32" s="130">
        <f t="shared" si="2"/>
        <v>4</v>
      </c>
      <c r="I32" s="130">
        <f t="shared" si="3"/>
        <v>216</v>
      </c>
      <c r="J32" s="61">
        <f t="shared" si="4"/>
        <v>6.5217391304347823</v>
      </c>
      <c r="K32" s="61">
        <f t="shared" si="20"/>
        <v>210</v>
      </c>
      <c r="L32" s="138">
        <v>7</v>
      </c>
      <c r="M32" s="138">
        <v>3</v>
      </c>
      <c r="N32" s="61">
        <f t="shared" si="5"/>
        <v>29.142857142857142</v>
      </c>
      <c r="O32" s="60">
        <f t="shared" si="6"/>
        <v>30</v>
      </c>
      <c r="P32" s="61">
        <f t="shared" si="7"/>
        <v>7.0344827586206895</v>
      </c>
      <c r="Q32" s="139">
        <f t="shared" si="21"/>
        <v>132.5</v>
      </c>
      <c r="R32" s="168">
        <f t="shared" si="13"/>
        <v>3.5</v>
      </c>
      <c r="S32" s="54">
        <f t="shared" si="22"/>
        <v>22.826086956521738</v>
      </c>
      <c r="T32" s="174">
        <f t="shared" si="15"/>
        <v>7</v>
      </c>
      <c r="U32" s="140">
        <f t="shared" si="16"/>
        <v>50.85</v>
      </c>
      <c r="V32" s="24"/>
      <c r="X32" s="24"/>
    </row>
    <row r="33" spans="1:22" x14ac:dyDescent="0.25">
      <c r="A33" s="23"/>
      <c r="B33" s="146">
        <v>24</v>
      </c>
      <c r="C33" s="147">
        <f>C26+12</f>
        <v>84</v>
      </c>
      <c r="D33" s="62">
        <f t="shared" si="0"/>
        <v>44.400000000000006</v>
      </c>
      <c r="E33" s="63">
        <f t="shared" si="1"/>
        <v>101</v>
      </c>
      <c r="F33" s="63" t="str">
        <f>IF(E33&lt;$C$10,"RAILROAD","VERTICAL")</f>
        <v>RAILROAD</v>
      </c>
      <c r="G33" s="64">
        <f>D33/54</f>
        <v>0.8222222222222223</v>
      </c>
      <c r="H33" s="84">
        <f t="shared" si="2"/>
        <v>1</v>
      </c>
      <c r="I33" s="164">
        <f t="shared" si="3"/>
        <v>50</v>
      </c>
      <c r="J33" s="64">
        <f t="shared" si="4"/>
        <v>1.6304347826086956</v>
      </c>
      <c r="K33" s="64">
        <f>I33-$C$7</f>
        <v>44</v>
      </c>
      <c r="L33" s="65">
        <v>7</v>
      </c>
      <c r="M33" s="65">
        <v>3</v>
      </c>
      <c r="N33" s="64">
        <f t="shared" si="5"/>
        <v>5.4285714285714288</v>
      </c>
      <c r="O33" s="66">
        <f t="shared" si="6"/>
        <v>6</v>
      </c>
      <c r="P33" s="64">
        <f t="shared" si="7"/>
        <v>7.6</v>
      </c>
      <c r="Q33" s="67">
        <f>($Q$16*(O33-1))+1+1</f>
        <v>24.5</v>
      </c>
      <c r="R33" s="166">
        <f>$R$15</f>
        <v>3.5</v>
      </c>
      <c r="S33" s="36">
        <f>J33*R33</f>
        <v>5.7065217391304346</v>
      </c>
      <c r="T33" s="172">
        <f>$T$15</f>
        <v>7</v>
      </c>
      <c r="U33" s="58">
        <f>CEILING(S33+T33*H33,0.05)</f>
        <v>12.75</v>
      </c>
      <c r="V33" s="24"/>
    </row>
    <row r="34" spans="1:22" x14ac:dyDescent="0.25">
      <c r="B34" s="148">
        <f t="shared" ref="B34:B39" si="23">B33+16</f>
        <v>40</v>
      </c>
      <c r="C34" s="80">
        <f t="shared" ref="C34:C39" si="24">C27+12</f>
        <v>84</v>
      </c>
      <c r="D34" s="37">
        <f t="shared" si="0"/>
        <v>70</v>
      </c>
      <c r="E34" s="10">
        <f t="shared" si="1"/>
        <v>101</v>
      </c>
      <c r="F34" s="10" t="str">
        <f t="shared" si="9"/>
        <v>RAILROAD</v>
      </c>
      <c r="G34" s="9">
        <f t="shared" ref="G34:G39" si="25">D34/54</f>
        <v>1.2962962962962963</v>
      </c>
      <c r="H34" s="85">
        <f t="shared" si="2"/>
        <v>1.5</v>
      </c>
      <c r="I34" s="85">
        <f t="shared" si="3"/>
        <v>81</v>
      </c>
      <c r="J34" s="9">
        <f t="shared" si="4"/>
        <v>2.4456521739130435</v>
      </c>
      <c r="K34" s="9">
        <f t="shared" ref="K34:K39" si="26">I34-$C$7</f>
        <v>75</v>
      </c>
      <c r="L34" s="11">
        <v>7</v>
      </c>
      <c r="M34" s="11">
        <v>3</v>
      </c>
      <c r="N34" s="9">
        <f t="shared" si="5"/>
        <v>9.8571428571428577</v>
      </c>
      <c r="O34" s="12">
        <f t="shared" si="6"/>
        <v>10</v>
      </c>
      <c r="P34" s="9">
        <f t="shared" si="7"/>
        <v>7.666666666666667</v>
      </c>
      <c r="Q34" s="14">
        <f t="shared" ref="Q34:Q39" si="27">($Q$16*(O34-1))+1+1</f>
        <v>42.5</v>
      </c>
      <c r="R34" s="167">
        <f t="shared" si="13"/>
        <v>3.5</v>
      </c>
      <c r="S34" s="31">
        <f t="shared" ref="S34:S39" si="28">J34*R34</f>
        <v>8.5597826086956523</v>
      </c>
      <c r="T34" s="173">
        <f t="shared" si="15"/>
        <v>7</v>
      </c>
      <c r="U34" s="59">
        <f t="shared" si="16"/>
        <v>19.100000000000001</v>
      </c>
      <c r="V34" s="24"/>
    </row>
    <row r="35" spans="1:22" x14ac:dyDescent="0.25">
      <c r="B35" s="148">
        <f t="shared" si="23"/>
        <v>56</v>
      </c>
      <c r="C35" s="80">
        <f t="shared" si="24"/>
        <v>84</v>
      </c>
      <c r="D35" s="37">
        <f t="shared" si="0"/>
        <v>95.600000000000009</v>
      </c>
      <c r="E35" s="10">
        <f t="shared" si="1"/>
        <v>101</v>
      </c>
      <c r="F35" s="10" t="str">
        <f t="shared" si="9"/>
        <v>RAILROAD</v>
      </c>
      <c r="G35" s="9">
        <f t="shared" si="25"/>
        <v>1.7703703703703706</v>
      </c>
      <c r="H35" s="85">
        <f t="shared" si="2"/>
        <v>2</v>
      </c>
      <c r="I35" s="85">
        <f t="shared" si="3"/>
        <v>108</v>
      </c>
      <c r="J35" s="9">
        <f t="shared" si="4"/>
        <v>3.2608695652173911</v>
      </c>
      <c r="K35" s="9">
        <f t="shared" si="26"/>
        <v>102</v>
      </c>
      <c r="L35" s="11">
        <v>7</v>
      </c>
      <c r="M35" s="11">
        <v>3</v>
      </c>
      <c r="N35" s="9">
        <f t="shared" si="5"/>
        <v>13.714285714285714</v>
      </c>
      <c r="O35" s="12">
        <f t="shared" si="6"/>
        <v>14</v>
      </c>
      <c r="P35" s="9">
        <f t="shared" si="7"/>
        <v>7.384615384615385</v>
      </c>
      <c r="Q35" s="14">
        <f t="shared" si="27"/>
        <v>60.5</v>
      </c>
      <c r="R35" s="167">
        <f t="shared" si="13"/>
        <v>3.5</v>
      </c>
      <c r="S35" s="31">
        <f t="shared" si="28"/>
        <v>11.413043478260869</v>
      </c>
      <c r="T35" s="173">
        <f t="shared" si="15"/>
        <v>7</v>
      </c>
      <c r="U35" s="59">
        <f t="shared" si="16"/>
        <v>25.450000000000003</v>
      </c>
      <c r="V35" s="24"/>
    </row>
    <row r="36" spans="1:22" x14ac:dyDescent="0.25">
      <c r="B36" s="148">
        <f t="shared" si="23"/>
        <v>72</v>
      </c>
      <c r="C36" s="80">
        <f t="shared" si="24"/>
        <v>84</v>
      </c>
      <c r="D36" s="37">
        <f t="shared" si="0"/>
        <v>121.2</v>
      </c>
      <c r="E36" s="10">
        <f t="shared" si="1"/>
        <v>101</v>
      </c>
      <c r="F36" s="10" t="str">
        <f t="shared" si="9"/>
        <v>RAILROAD</v>
      </c>
      <c r="G36" s="9">
        <f t="shared" si="25"/>
        <v>2.2444444444444445</v>
      </c>
      <c r="H36" s="85">
        <f t="shared" si="2"/>
        <v>2.5</v>
      </c>
      <c r="I36" s="85">
        <f t="shared" si="3"/>
        <v>135</v>
      </c>
      <c r="J36" s="9">
        <f t="shared" si="4"/>
        <v>4.0760869565217392</v>
      </c>
      <c r="K36" s="9">
        <f t="shared" si="26"/>
        <v>129</v>
      </c>
      <c r="L36" s="11">
        <v>7</v>
      </c>
      <c r="M36" s="11">
        <v>3</v>
      </c>
      <c r="N36" s="9">
        <f t="shared" si="5"/>
        <v>17.571428571428573</v>
      </c>
      <c r="O36" s="12">
        <f t="shared" si="6"/>
        <v>18</v>
      </c>
      <c r="P36" s="9">
        <f t="shared" si="7"/>
        <v>7.2352941176470589</v>
      </c>
      <c r="Q36" s="14">
        <f t="shared" si="27"/>
        <v>78.5</v>
      </c>
      <c r="R36" s="167">
        <f t="shared" si="13"/>
        <v>3.5</v>
      </c>
      <c r="S36" s="31">
        <f t="shared" si="28"/>
        <v>14.266304347826088</v>
      </c>
      <c r="T36" s="173">
        <f t="shared" si="15"/>
        <v>7</v>
      </c>
      <c r="U36" s="59">
        <f t="shared" si="16"/>
        <v>31.8</v>
      </c>
      <c r="V36" s="24"/>
    </row>
    <row r="37" spans="1:22" x14ac:dyDescent="0.25">
      <c r="B37" s="148">
        <f t="shared" si="23"/>
        <v>88</v>
      </c>
      <c r="C37" s="80">
        <f t="shared" si="24"/>
        <v>84</v>
      </c>
      <c r="D37" s="37">
        <f t="shared" si="0"/>
        <v>146.80000000000001</v>
      </c>
      <c r="E37" s="10">
        <f t="shared" si="1"/>
        <v>101</v>
      </c>
      <c r="F37" s="10" t="str">
        <f t="shared" si="9"/>
        <v>RAILROAD</v>
      </c>
      <c r="G37" s="9">
        <f t="shared" si="25"/>
        <v>2.7185185185185188</v>
      </c>
      <c r="H37" s="85">
        <f t="shared" si="2"/>
        <v>3</v>
      </c>
      <c r="I37" s="85">
        <f t="shared" si="3"/>
        <v>162</v>
      </c>
      <c r="J37" s="9">
        <f t="shared" si="4"/>
        <v>4.8913043478260869</v>
      </c>
      <c r="K37" s="9">
        <f t="shared" si="26"/>
        <v>156</v>
      </c>
      <c r="L37" s="11">
        <v>7</v>
      </c>
      <c r="M37" s="11">
        <v>3</v>
      </c>
      <c r="N37" s="9">
        <f t="shared" si="5"/>
        <v>21.428571428571427</v>
      </c>
      <c r="O37" s="12">
        <f t="shared" si="6"/>
        <v>22</v>
      </c>
      <c r="P37" s="9">
        <f t="shared" si="7"/>
        <v>7.1428571428571432</v>
      </c>
      <c r="Q37" s="14">
        <f t="shared" si="27"/>
        <v>96.5</v>
      </c>
      <c r="R37" s="167">
        <f t="shared" si="13"/>
        <v>3.5</v>
      </c>
      <c r="S37" s="31">
        <f t="shared" si="28"/>
        <v>17.119565217391305</v>
      </c>
      <c r="T37" s="173">
        <f t="shared" si="15"/>
        <v>7</v>
      </c>
      <c r="U37" s="59">
        <f t="shared" si="16"/>
        <v>38.15</v>
      </c>
      <c r="V37" s="24"/>
    </row>
    <row r="38" spans="1:22" x14ac:dyDescent="0.25">
      <c r="B38" s="148">
        <f t="shared" si="23"/>
        <v>104</v>
      </c>
      <c r="C38" s="80">
        <f t="shared" si="24"/>
        <v>84</v>
      </c>
      <c r="D38" s="37">
        <f t="shared" si="0"/>
        <v>172.4</v>
      </c>
      <c r="E38" s="10">
        <f t="shared" si="1"/>
        <v>101</v>
      </c>
      <c r="F38" s="10" t="str">
        <f t="shared" si="9"/>
        <v>RAILROAD</v>
      </c>
      <c r="G38" s="9">
        <f t="shared" si="25"/>
        <v>3.1925925925925926</v>
      </c>
      <c r="H38" s="85">
        <f t="shared" si="2"/>
        <v>3.5</v>
      </c>
      <c r="I38" s="85">
        <f t="shared" si="3"/>
        <v>189</v>
      </c>
      <c r="J38" s="9">
        <f t="shared" si="4"/>
        <v>5.7065217391304346</v>
      </c>
      <c r="K38" s="9">
        <f t="shared" si="26"/>
        <v>183</v>
      </c>
      <c r="L38" s="11">
        <v>7</v>
      </c>
      <c r="M38" s="11">
        <v>3</v>
      </c>
      <c r="N38" s="9">
        <f t="shared" si="5"/>
        <v>25.285714285714285</v>
      </c>
      <c r="O38" s="12">
        <f t="shared" si="6"/>
        <v>26</v>
      </c>
      <c r="P38" s="9">
        <f t="shared" si="7"/>
        <v>7.08</v>
      </c>
      <c r="Q38" s="14">
        <f t="shared" si="27"/>
        <v>114.5</v>
      </c>
      <c r="R38" s="167">
        <f t="shared" si="13"/>
        <v>3.5</v>
      </c>
      <c r="S38" s="31">
        <f t="shared" si="28"/>
        <v>19.97282608695652</v>
      </c>
      <c r="T38" s="173">
        <f t="shared" si="15"/>
        <v>7</v>
      </c>
      <c r="U38" s="59">
        <f t="shared" si="16"/>
        <v>44.5</v>
      </c>
      <c r="V38" s="24"/>
    </row>
    <row r="39" spans="1:22" ht="15.75" thickBot="1" x14ac:dyDescent="0.3">
      <c r="B39" s="149">
        <f t="shared" si="23"/>
        <v>120</v>
      </c>
      <c r="C39" s="150">
        <f t="shared" si="24"/>
        <v>84</v>
      </c>
      <c r="D39" s="137">
        <f t="shared" si="0"/>
        <v>198</v>
      </c>
      <c r="E39" s="131">
        <f t="shared" si="1"/>
        <v>101</v>
      </c>
      <c r="F39" s="131" t="str">
        <f t="shared" si="9"/>
        <v>RAILROAD</v>
      </c>
      <c r="G39" s="61">
        <f t="shared" si="25"/>
        <v>3.6666666666666665</v>
      </c>
      <c r="H39" s="130">
        <f t="shared" si="2"/>
        <v>4</v>
      </c>
      <c r="I39" s="130">
        <f t="shared" si="3"/>
        <v>216</v>
      </c>
      <c r="J39" s="61">
        <f t="shared" si="4"/>
        <v>6.5217391304347823</v>
      </c>
      <c r="K39" s="61">
        <f t="shared" si="26"/>
        <v>210</v>
      </c>
      <c r="L39" s="138">
        <v>7</v>
      </c>
      <c r="M39" s="138">
        <v>3</v>
      </c>
      <c r="N39" s="61">
        <f t="shared" si="5"/>
        <v>29.142857142857142</v>
      </c>
      <c r="O39" s="60">
        <f t="shared" si="6"/>
        <v>30</v>
      </c>
      <c r="P39" s="61">
        <f t="shared" si="7"/>
        <v>7.0344827586206895</v>
      </c>
      <c r="Q39" s="139">
        <f t="shared" si="27"/>
        <v>132.5</v>
      </c>
      <c r="R39" s="168">
        <f t="shared" si="13"/>
        <v>3.5</v>
      </c>
      <c r="S39" s="54">
        <f t="shared" si="28"/>
        <v>22.826086956521738</v>
      </c>
      <c r="T39" s="174">
        <f t="shared" si="15"/>
        <v>7</v>
      </c>
      <c r="U39" s="140">
        <f t="shared" si="16"/>
        <v>50.85</v>
      </c>
      <c r="V39" s="24"/>
    </row>
    <row r="40" spans="1:22" x14ac:dyDescent="0.25">
      <c r="B40" s="151">
        <v>24</v>
      </c>
      <c r="C40" s="152">
        <f>C33+12</f>
        <v>96</v>
      </c>
      <c r="D40" s="62">
        <f t="shared" si="0"/>
        <v>44.400000000000006</v>
      </c>
      <c r="E40" s="63">
        <f t="shared" si="1"/>
        <v>113</v>
      </c>
      <c r="F40" s="63" t="str">
        <f>IF(E40&lt;$C$10,"RAILROAD","VERTICAL")</f>
        <v>RAILROAD</v>
      </c>
      <c r="G40" s="64">
        <f>D40/54</f>
        <v>0.8222222222222223</v>
      </c>
      <c r="H40" s="84">
        <f t="shared" si="2"/>
        <v>1</v>
      </c>
      <c r="I40" s="164">
        <f t="shared" si="3"/>
        <v>50</v>
      </c>
      <c r="J40" s="64">
        <f t="shared" si="4"/>
        <v>1.6304347826086956</v>
      </c>
      <c r="K40" s="64">
        <f>I40-$C$7</f>
        <v>44</v>
      </c>
      <c r="L40" s="65">
        <v>7</v>
      </c>
      <c r="M40" s="65">
        <v>3</v>
      </c>
      <c r="N40" s="64">
        <f t="shared" si="5"/>
        <v>5.4285714285714288</v>
      </c>
      <c r="O40" s="66">
        <f t="shared" si="6"/>
        <v>6</v>
      </c>
      <c r="P40" s="64">
        <f t="shared" si="7"/>
        <v>7.6</v>
      </c>
      <c r="Q40" s="67">
        <f>($Q$16*(O40-1))+1+1</f>
        <v>24.5</v>
      </c>
      <c r="R40" s="166">
        <f>$R$15</f>
        <v>3.5</v>
      </c>
      <c r="S40" s="36">
        <f>J40*R40</f>
        <v>5.7065217391304346</v>
      </c>
      <c r="T40" s="172">
        <f>$T$15</f>
        <v>7</v>
      </c>
      <c r="U40" s="58">
        <f>CEILING(S40+T40*H40,0.05)</f>
        <v>12.75</v>
      </c>
      <c r="V40" s="24"/>
    </row>
    <row r="41" spans="1:22" x14ac:dyDescent="0.25">
      <c r="B41" s="153">
        <f t="shared" ref="B41:B46" si="29">B40+16</f>
        <v>40</v>
      </c>
      <c r="C41" s="81">
        <f t="shared" ref="C41:C46" si="30">C34+12</f>
        <v>96</v>
      </c>
      <c r="D41" s="37">
        <f t="shared" si="0"/>
        <v>70</v>
      </c>
      <c r="E41" s="10">
        <f t="shared" si="1"/>
        <v>113</v>
      </c>
      <c r="F41" s="10" t="str">
        <f t="shared" si="9"/>
        <v>RAILROAD</v>
      </c>
      <c r="G41" s="9">
        <f t="shared" ref="G41:G46" si="31">D41/54</f>
        <v>1.2962962962962963</v>
      </c>
      <c r="H41" s="85">
        <f t="shared" si="2"/>
        <v>1.5</v>
      </c>
      <c r="I41" s="85">
        <f t="shared" si="3"/>
        <v>81</v>
      </c>
      <c r="J41" s="9">
        <f t="shared" si="4"/>
        <v>2.4456521739130435</v>
      </c>
      <c r="K41" s="9">
        <f t="shared" ref="K41:K46" si="32">I41-$C$7</f>
        <v>75</v>
      </c>
      <c r="L41" s="11">
        <v>7</v>
      </c>
      <c r="M41" s="11">
        <v>3</v>
      </c>
      <c r="N41" s="9">
        <f t="shared" si="5"/>
        <v>9.8571428571428577</v>
      </c>
      <c r="O41" s="12">
        <f t="shared" si="6"/>
        <v>10</v>
      </c>
      <c r="P41" s="9">
        <f t="shared" si="7"/>
        <v>7.666666666666667</v>
      </c>
      <c r="Q41" s="14">
        <f t="shared" ref="Q41:Q46" si="33">($Q$16*(O41-1))+1+1</f>
        <v>42.5</v>
      </c>
      <c r="R41" s="167">
        <f t="shared" si="13"/>
        <v>3.5</v>
      </c>
      <c r="S41" s="31">
        <f t="shared" ref="S41:S46" si="34">J41*R41</f>
        <v>8.5597826086956523</v>
      </c>
      <c r="T41" s="173">
        <f t="shared" si="15"/>
        <v>7</v>
      </c>
      <c r="U41" s="59">
        <f t="shared" si="16"/>
        <v>19.100000000000001</v>
      </c>
      <c r="V41" s="24"/>
    </row>
    <row r="42" spans="1:22" x14ac:dyDescent="0.25">
      <c r="B42" s="153">
        <f t="shared" si="29"/>
        <v>56</v>
      </c>
      <c r="C42" s="81">
        <f t="shared" si="30"/>
        <v>96</v>
      </c>
      <c r="D42" s="37">
        <f t="shared" si="0"/>
        <v>95.600000000000009</v>
      </c>
      <c r="E42" s="10">
        <f t="shared" si="1"/>
        <v>113</v>
      </c>
      <c r="F42" s="10" t="str">
        <f t="shared" si="9"/>
        <v>RAILROAD</v>
      </c>
      <c r="G42" s="9">
        <f t="shared" si="31"/>
        <v>1.7703703703703706</v>
      </c>
      <c r="H42" s="85">
        <f t="shared" si="2"/>
        <v>2</v>
      </c>
      <c r="I42" s="85">
        <f t="shared" si="3"/>
        <v>108</v>
      </c>
      <c r="J42" s="9">
        <f t="shared" si="4"/>
        <v>3.2608695652173911</v>
      </c>
      <c r="K42" s="9">
        <f t="shared" si="32"/>
        <v>102</v>
      </c>
      <c r="L42" s="11">
        <v>7</v>
      </c>
      <c r="M42" s="11">
        <v>3</v>
      </c>
      <c r="N42" s="9">
        <f t="shared" si="5"/>
        <v>13.714285714285714</v>
      </c>
      <c r="O42" s="12">
        <f t="shared" si="6"/>
        <v>14</v>
      </c>
      <c r="P42" s="9">
        <f t="shared" si="7"/>
        <v>7.384615384615385</v>
      </c>
      <c r="Q42" s="14">
        <f t="shared" si="33"/>
        <v>60.5</v>
      </c>
      <c r="R42" s="167">
        <f t="shared" si="13"/>
        <v>3.5</v>
      </c>
      <c r="S42" s="31">
        <f t="shared" si="34"/>
        <v>11.413043478260869</v>
      </c>
      <c r="T42" s="173">
        <f t="shared" si="15"/>
        <v>7</v>
      </c>
      <c r="U42" s="59">
        <f t="shared" si="16"/>
        <v>25.450000000000003</v>
      </c>
      <c r="V42" s="24"/>
    </row>
    <row r="43" spans="1:22" x14ac:dyDescent="0.25">
      <c r="B43" s="153">
        <f t="shared" si="29"/>
        <v>72</v>
      </c>
      <c r="C43" s="81">
        <f t="shared" si="30"/>
        <v>96</v>
      </c>
      <c r="D43" s="37">
        <f t="shared" si="0"/>
        <v>121.2</v>
      </c>
      <c r="E43" s="10">
        <f t="shared" si="1"/>
        <v>113</v>
      </c>
      <c r="F43" s="10" t="str">
        <f t="shared" si="9"/>
        <v>RAILROAD</v>
      </c>
      <c r="G43" s="9">
        <f t="shared" si="31"/>
        <v>2.2444444444444445</v>
      </c>
      <c r="H43" s="85">
        <f t="shared" si="2"/>
        <v>2.5</v>
      </c>
      <c r="I43" s="85">
        <f t="shared" si="3"/>
        <v>135</v>
      </c>
      <c r="J43" s="9">
        <f t="shared" si="4"/>
        <v>4.0760869565217392</v>
      </c>
      <c r="K43" s="9">
        <f t="shared" si="32"/>
        <v>129</v>
      </c>
      <c r="L43" s="11">
        <v>7</v>
      </c>
      <c r="M43" s="11">
        <v>3</v>
      </c>
      <c r="N43" s="9">
        <f t="shared" si="5"/>
        <v>17.571428571428573</v>
      </c>
      <c r="O43" s="12">
        <f t="shared" si="6"/>
        <v>18</v>
      </c>
      <c r="P43" s="9">
        <f t="shared" si="7"/>
        <v>7.2352941176470589</v>
      </c>
      <c r="Q43" s="14">
        <f t="shared" si="33"/>
        <v>78.5</v>
      </c>
      <c r="R43" s="167">
        <f t="shared" si="13"/>
        <v>3.5</v>
      </c>
      <c r="S43" s="31">
        <f t="shared" si="34"/>
        <v>14.266304347826088</v>
      </c>
      <c r="T43" s="173">
        <f t="shared" si="15"/>
        <v>7</v>
      </c>
      <c r="U43" s="59">
        <f t="shared" si="16"/>
        <v>31.8</v>
      </c>
      <c r="V43" s="24"/>
    </row>
    <row r="44" spans="1:22" x14ac:dyDescent="0.25">
      <c r="B44" s="153">
        <f t="shared" si="29"/>
        <v>88</v>
      </c>
      <c r="C44" s="81">
        <f t="shared" si="30"/>
        <v>96</v>
      </c>
      <c r="D44" s="37">
        <f t="shared" si="0"/>
        <v>146.80000000000001</v>
      </c>
      <c r="E44" s="10">
        <f t="shared" si="1"/>
        <v>113</v>
      </c>
      <c r="F44" s="10" t="str">
        <f t="shared" si="9"/>
        <v>RAILROAD</v>
      </c>
      <c r="G44" s="9">
        <f t="shared" si="31"/>
        <v>2.7185185185185188</v>
      </c>
      <c r="H44" s="85">
        <f t="shared" si="2"/>
        <v>3</v>
      </c>
      <c r="I44" s="85">
        <f t="shared" si="3"/>
        <v>162</v>
      </c>
      <c r="J44" s="9">
        <f t="shared" si="4"/>
        <v>4.8913043478260869</v>
      </c>
      <c r="K44" s="9">
        <f t="shared" si="32"/>
        <v>156</v>
      </c>
      <c r="L44" s="11">
        <v>7</v>
      </c>
      <c r="M44" s="11">
        <v>3</v>
      </c>
      <c r="N44" s="9">
        <f t="shared" si="5"/>
        <v>21.428571428571427</v>
      </c>
      <c r="O44" s="12">
        <f t="shared" si="6"/>
        <v>22</v>
      </c>
      <c r="P44" s="9">
        <f t="shared" si="7"/>
        <v>7.1428571428571432</v>
      </c>
      <c r="Q44" s="14">
        <f t="shared" si="33"/>
        <v>96.5</v>
      </c>
      <c r="R44" s="167">
        <f t="shared" si="13"/>
        <v>3.5</v>
      </c>
      <c r="S44" s="31">
        <f t="shared" si="34"/>
        <v>17.119565217391305</v>
      </c>
      <c r="T44" s="173">
        <f t="shared" si="15"/>
        <v>7</v>
      </c>
      <c r="U44" s="59">
        <f t="shared" si="16"/>
        <v>38.15</v>
      </c>
      <c r="V44" s="24"/>
    </row>
    <row r="45" spans="1:22" x14ac:dyDescent="0.25">
      <c r="B45" s="153">
        <f t="shared" si="29"/>
        <v>104</v>
      </c>
      <c r="C45" s="81">
        <f t="shared" si="30"/>
        <v>96</v>
      </c>
      <c r="D45" s="37">
        <f t="shared" si="0"/>
        <v>172.4</v>
      </c>
      <c r="E45" s="10">
        <f t="shared" si="1"/>
        <v>113</v>
      </c>
      <c r="F45" s="10" t="str">
        <f t="shared" si="9"/>
        <v>RAILROAD</v>
      </c>
      <c r="G45" s="9">
        <f t="shared" si="31"/>
        <v>3.1925925925925926</v>
      </c>
      <c r="H45" s="85">
        <f t="shared" si="2"/>
        <v>3.5</v>
      </c>
      <c r="I45" s="85">
        <f t="shared" si="3"/>
        <v>189</v>
      </c>
      <c r="J45" s="9">
        <f t="shared" si="4"/>
        <v>5.7065217391304346</v>
      </c>
      <c r="K45" s="9">
        <f t="shared" si="32"/>
        <v>183</v>
      </c>
      <c r="L45" s="11">
        <v>7</v>
      </c>
      <c r="M45" s="11">
        <v>3</v>
      </c>
      <c r="N45" s="9">
        <f t="shared" si="5"/>
        <v>25.285714285714285</v>
      </c>
      <c r="O45" s="12">
        <f t="shared" si="6"/>
        <v>26</v>
      </c>
      <c r="P45" s="9">
        <f t="shared" si="7"/>
        <v>7.08</v>
      </c>
      <c r="Q45" s="14">
        <f t="shared" si="33"/>
        <v>114.5</v>
      </c>
      <c r="R45" s="167">
        <f t="shared" si="13"/>
        <v>3.5</v>
      </c>
      <c r="S45" s="31">
        <f t="shared" si="34"/>
        <v>19.97282608695652</v>
      </c>
      <c r="T45" s="173">
        <f t="shared" si="15"/>
        <v>7</v>
      </c>
      <c r="U45" s="59">
        <f t="shared" si="16"/>
        <v>44.5</v>
      </c>
      <c r="V45" s="24"/>
    </row>
    <row r="46" spans="1:22" ht="15.75" thickBot="1" x14ac:dyDescent="0.3">
      <c r="B46" s="154">
        <f t="shared" si="29"/>
        <v>120</v>
      </c>
      <c r="C46" s="155">
        <f t="shared" si="30"/>
        <v>96</v>
      </c>
      <c r="D46" s="137">
        <f t="shared" si="0"/>
        <v>198</v>
      </c>
      <c r="E46" s="131">
        <f t="shared" si="1"/>
        <v>113</v>
      </c>
      <c r="F46" s="131" t="str">
        <f t="shared" si="9"/>
        <v>RAILROAD</v>
      </c>
      <c r="G46" s="61">
        <f t="shared" si="31"/>
        <v>3.6666666666666665</v>
      </c>
      <c r="H46" s="130">
        <f t="shared" si="2"/>
        <v>4</v>
      </c>
      <c r="I46" s="130">
        <f t="shared" si="3"/>
        <v>216</v>
      </c>
      <c r="J46" s="61">
        <f t="shared" si="4"/>
        <v>6.5217391304347823</v>
      </c>
      <c r="K46" s="61">
        <f t="shared" si="32"/>
        <v>210</v>
      </c>
      <c r="L46" s="138">
        <v>7</v>
      </c>
      <c r="M46" s="138">
        <v>3</v>
      </c>
      <c r="N46" s="61">
        <f t="shared" si="5"/>
        <v>29.142857142857142</v>
      </c>
      <c r="O46" s="60">
        <f t="shared" si="6"/>
        <v>30</v>
      </c>
      <c r="P46" s="61">
        <f t="shared" si="7"/>
        <v>7.0344827586206895</v>
      </c>
      <c r="Q46" s="139">
        <f t="shared" si="33"/>
        <v>132.5</v>
      </c>
      <c r="R46" s="168">
        <f t="shared" si="13"/>
        <v>3.5</v>
      </c>
      <c r="S46" s="54">
        <f t="shared" si="34"/>
        <v>22.826086956521738</v>
      </c>
      <c r="T46" s="174">
        <f t="shared" si="15"/>
        <v>7</v>
      </c>
      <c r="U46" s="140">
        <f t="shared" si="16"/>
        <v>50.85</v>
      </c>
      <c r="V46" s="24"/>
    </row>
    <row r="47" spans="1:22" x14ac:dyDescent="0.25">
      <c r="B47" s="156">
        <v>24</v>
      </c>
      <c r="C47" s="157">
        <f>C40+12</f>
        <v>108</v>
      </c>
      <c r="D47" s="62">
        <f t="shared" si="0"/>
        <v>44.400000000000006</v>
      </c>
      <c r="E47" s="63">
        <f t="shared" si="1"/>
        <v>125</v>
      </c>
      <c r="F47" s="63" t="str">
        <f>IF(E47&lt;$C$10,"RAILROAD","VERTICAL")</f>
        <v>VERTICAL</v>
      </c>
      <c r="G47" s="64">
        <f>D47/54</f>
        <v>0.8222222222222223</v>
      </c>
      <c r="H47" s="84">
        <f t="shared" si="2"/>
        <v>1</v>
      </c>
      <c r="I47" s="164">
        <f t="shared" si="3"/>
        <v>50</v>
      </c>
      <c r="J47" s="169">
        <f t="shared" ref="J47:J53" si="35">IF(F47="VERTICAL",CEILING(CEILING((I47/$C$10),0.25)*E47/36/0.95,0.05),I47/36/0.92)</f>
        <v>1.85</v>
      </c>
      <c r="K47" s="64">
        <f>I47-$C$7</f>
        <v>44</v>
      </c>
      <c r="L47" s="65">
        <v>7</v>
      </c>
      <c r="M47" s="65">
        <v>3</v>
      </c>
      <c r="N47" s="64">
        <f t="shared" si="5"/>
        <v>5.4285714285714288</v>
      </c>
      <c r="O47" s="66">
        <f t="shared" si="6"/>
        <v>6</v>
      </c>
      <c r="P47" s="64">
        <f t="shared" si="7"/>
        <v>7.6</v>
      </c>
      <c r="Q47" s="67">
        <f>($Q$16*(O47-1))+1+1</f>
        <v>24.5</v>
      </c>
      <c r="R47" s="166">
        <f>$R$15</f>
        <v>3.5</v>
      </c>
      <c r="S47" s="36">
        <f>J47*R47</f>
        <v>6.4750000000000005</v>
      </c>
      <c r="T47" s="172">
        <f>$T$15</f>
        <v>7</v>
      </c>
      <c r="U47" s="58">
        <f>CEILING(S47+T47*H47,0.05)</f>
        <v>13.5</v>
      </c>
      <c r="V47" s="24"/>
    </row>
    <row r="48" spans="1:22" x14ac:dyDescent="0.25">
      <c r="B48" s="158">
        <f t="shared" ref="B48:B53" si="36">B47+16</f>
        <v>40</v>
      </c>
      <c r="C48" s="86">
        <f t="shared" ref="C48:C53" si="37">C41+12</f>
        <v>108</v>
      </c>
      <c r="D48" s="37">
        <f t="shared" si="0"/>
        <v>70</v>
      </c>
      <c r="E48" s="10">
        <f t="shared" si="1"/>
        <v>125</v>
      </c>
      <c r="F48" s="10" t="str">
        <f t="shared" si="9"/>
        <v>VERTICAL</v>
      </c>
      <c r="G48" s="9">
        <f t="shared" ref="G48:G53" si="38">D48/54</f>
        <v>1.2962962962962963</v>
      </c>
      <c r="H48" s="85">
        <f t="shared" si="2"/>
        <v>1.5</v>
      </c>
      <c r="I48" s="85">
        <f t="shared" si="3"/>
        <v>81</v>
      </c>
      <c r="J48" s="170">
        <f t="shared" si="35"/>
        <v>2.75</v>
      </c>
      <c r="K48" s="9">
        <f t="shared" ref="K48:K53" si="39">I48-$C$7</f>
        <v>75</v>
      </c>
      <c r="L48" s="11">
        <v>7</v>
      </c>
      <c r="M48" s="11">
        <v>3</v>
      </c>
      <c r="N48" s="9">
        <f t="shared" si="5"/>
        <v>9.8571428571428577</v>
      </c>
      <c r="O48" s="12">
        <f t="shared" si="6"/>
        <v>10</v>
      </c>
      <c r="P48" s="9">
        <f t="shared" si="7"/>
        <v>7.666666666666667</v>
      </c>
      <c r="Q48" s="14">
        <f t="shared" ref="Q48:Q53" si="40">($Q$16*(O48-1))+1+1</f>
        <v>42.5</v>
      </c>
      <c r="R48" s="167">
        <f t="shared" si="13"/>
        <v>3.5</v>
      </c>
      <c r="S48" s="31">
        <f t="shared" ref="S48:S53" si="41">J48*R48</f>
        <v>9.625</v>
      </c>
      <c r="T48" s="173">
        <f t="shared" si="15"/>
        <v>7</v>
      </c>
      <c r="U48" s="59">
        <f t="shared" si="16"/>
        <v>20.150000000000002</v>
      </c>
      <c r="V48" s="24"/>
    </row>
    <row r="49" spans="2:22" x14ac:dyDescent="0.25">
      <c r="B49" s="158">
        <f t="shared" si="36"/>
        <v>56</v>
      </c>
      <c r="C49" s="86">
        <f t="shared" si="37"/>
        <v>108</v>
      </c>
      <c r="D49" s="37">
        <f t="shared" si="0"/>
        <v>95.600000000000009</v>
      </c>
      <c r="E49" s="10">
        <f t="shared" si="1"/>
        <v>125</v>
      </c>
      <c r="F49" s="10" t="str">
        <f t="shared" si="9"/>
        <v>VERTICAL</v>
      </c>
      <c r="G49" s="9">
        <f t="shared" si="38"/>
        <v>1.7703703703703706</v>
      </c>
      <c r="H49" s="85">
        <f t="shared" si="2"/>
        <v>2</v>
      </c>
      <c r="I49" s="85">
        <f t="shared" si="3"/>
        <v>108</v>
      </c>
      <c r="J49" s="170">
        <f t="shared" si="35"/>
        <v>3.7</v>
      </c>
      <c r="K49" s="9">
        <f t="shared" si="39"/>
        <v>102</v>
      </c>
      <c r="L49" s="11">
        <v>7</v>
      </c>
      <c r="M49" s="11">
        <v>3</v>
      </c>
      <c r="N49" s="9">
        <f t="shared" si="5"/>
        <v>13.714285714285714</v>
      </c>
      <c r="O49" s="12">
        <f t="shared" si="6"/>
        <v>14</v>
      </c>
      <c r="P49" s="9">
        <f t="shared" si="7"/>
        <v>7.384615384615385</v>
      </c>
      <c r="Q49" s="14">
        <f t="shared" si="40"/>
        <v>60.5</v>
      </c>
      <c r="R49" s="167">
        <f t="shared" si="13"/>
        <v>3.5</v>
      </c>
      <c r="S49" s="31">
        <f t="shared" si="41"/>
        <v>12.950000000000001</v>
      </c>
      <c r="T49" s="173">
        <f t="shared" si="15"/>
        <v>7</v>
      </c>
      <c r="U49" s="59">
        <f t="shared" si="16"/>
        <v>26.950000000000003</v>
      </c>
      <c r="V49" s="24"/>
    </row>
    <row r="50" spans="2:22" x14ac:dyDescent="0.25">
      <c r="B50" s="158">
        <f t="shared" si="36"/>
        <v>72</v>
      </c>
      <c r="C50" s="86">
        <f t="shared" si="37"/>
        <v>108</v>
      </c>
      <c r="D50" s="37">
        <f t="shared" si="0"/>
        <v>121.2</v>
      </c>
      <c r="E50" s="10">
        <f t="shared" si="1"/>
        <v>125</v>
      </c>
      <c r="F50" s="10" t="str">
        <f t="shared" si="9"/>
        <v>VERTICAL</v>
      </c>
      <c r="G50" s="9">
        <f t="shared" si="38"/>
        <v>2.2444444444444445</v>
      </c>
      <c r="H50" s="85">
        <f t="shared" si="2"/>
        <v>2.5</v>
      </c>
      <c r="I50" s="85">
        <f t="shared" si="3"/>
        <v>135</v>
      </c>
      <c r="J50" s="170">
        <f t="shared" si="35"/>
        <v>4.6000000000000005</v>
      </c>
      <c r="K50" s="9">
        <f t="shared" si="39"/>
        <v>129</v>
      </c>
      <c r="L50" s="11">
        <v>7</v>
      </c>
      <c r="M50" s="11">
        <v>3</v>
      </c>
      <c r="N50" s="9">
        <f t="shared" si="5"/>
        <v>17.571428571428573</v>
      </c>
      <c r="O50" s="12">
        <f t="shared" si="6"/>
        <v>18</v>
      </c>
      <c r="P50" s="9">
        <f t="shared" si="7"/>
        <v>7.2352941176470589</v>
      </c>
      <c r="Q50" s="14">
        <f t="shared" si="40"/>
        <v>78.5</v>
      </c>
      <c r="R50" s="167">
        <f t="shared" si="13"/>
        <v>3.5</v>
      </c>
      <c r="S50" s="31">
        <f t="shared" si="41"/>
        <v>16.100000000000001</v>
      </c>
      <c r="T50" s="173">
        <f t="shared" si="15"/>
        <v>7</v>
      </c>
      <c r="U50" s="59">
        <f t="shared" si="16"/>
        <v>33.6</v>
      </c>
      <c r="V50" s="24"/>
    </row>
    <row r="51" spans="2:22" x14ac:dyDescent="0.25">
      <c r="B51" s="158">
        <f t="shared" si="36"/>
        <v>88</v>
      </c>
      <c r="C51" s="86">
        <f t="shared" si="37"/>
        <v>108</v>
      </c>
      <c r="D51" s="37">
        <f t="shared" si="0"/>
        <v>146.80000000000001</v>
      </c>
      <c r="E51" s="10">
        <f t="shared" si="1"/>
        <v>125</v>
      </c>
      <c r="F51" s="10" t="str">
        <f t="shared" si="9"/>
        <v>VERTICAL</v>
      </c>
      <c r="G51" s="9">
        <f t="shared" si="38"/>
        <v>2.7185185185185188</v>
      </c>
      <c r="H51" s="85">
        <f t="shared" si="2"/>
        <v>3</v>
      </c>
      <c r="I51" s="85">
        <f t="shared" si="3"/>
        <v>162</v>
      </c>
      <c r="J51" s="170">
        <f t="shared" si="35"/>
        <v>5.5</v>
      </c>
      <c r="K51" s="9">
        <f t="shared" si="39"/>
        <v>156</v>
      </c>
      <c r="L51" s="11">
        <v>7</v>
      </c>
      <c r="M51" s="11">
        <v>3</v>
      </c>
      <c r="N51" s="9">
        <f t="shared" si="5"/>
        <v>21.428571428571427</v>
      </c>
      <c r="O51" s="12">
        <f t="shared" si="6"/>
        <v>22</v>
      </c>
      <c r="P51" s="9">
        <f t="shared" si="7"/>
        <v>7.1428571428571432</v>
      </c>
      <c r="Q51" s="14">
        <f t="shared" si="40"/>
        <v>96.5</v>
      </c>
      <c r="R51" s="167">
        <f t="shared" si="13"/>
        <v>3.5</v>
      </c>
      <c r="S51" s="31">
        <f t="shared" si="41"/>
        <v>19.25</v>
      </c>
      <c r="T51" s="173">
        <f t="shared" si="15"/>
        <v>7</v>
      </c>
      <c r="U51" s="59">
        <f t="shared" si="16"/>
        <v>40.25</v>
      </c>
      <c r="V51" s="24"/>
    </row>
    <row r="52" spans="2:22" x14ac:dyDescent="0.25">
      <c r="B52" s="158">
        <f t="shared" si="36"/>
        <v>104</v>
      </c>
      <c r="C52" s="86">
        <f t="shared" si="37"/>
        <v>108</v>
      </c>
      <c r="D52" s="37">
        <f t="shared" si="0"/>
        <v>172.4</v>
      </c>
      <c r="E52" s="10">
        <f t="shared" si="1"/>
        <v>125</v>
      </c>
      <c r="F52" s="10" t="str">
        <f t="shared" si="9"/>
        <v>VERTICAL</v>
      </c>
      <c r="G52" s="9">
        <f t="shared" si="38"/>
        <v>3.1925925925925926</v>
      </c>
      <c r="H52" s="85">
        <f t="shared" si="2"/>
        <v>3.5</v>
      </c>
      <c r="I52" s="85">
        <f t="shared" si="3"/>
        <v>189</v>
      </c>
      <c r="J52" s="170">
        <f t="shared" si="35"/>
        <v>6.4</v>
      </c>
      <c r="K52" s="9">
        <f t="shared" si="39"/>
        <v>183</v>
      </c>
      <c r="L52" s="11">
        <v>7</v>
      </c>
      <c r="M52" s="11">
        <v>3</v>
      </c>
      <c r="N52" s="9">
        <f t="shared" si="5"/>
        <v>25.285714285714285</v>
      </c>
      <c r="O52" s="12">
        <f t="shared" si="6"/>
        <v>26</v>
      </c>
      <c r="P52" s="9">
        <f t="shared" si="7"/>
        <v>7.08</v>
      </c>
      <c r="Q52" s="14">
        <f t="shared" si="40"/>
        <v>114.5</v>
      </c>
      <c r="R52" s="167">
        <f t="shared" si="13"/>
        <v>3.5</v>
      </c>
      <c r="S52" s="31">
        <f t="shared" si="41"/>
        <v>22.400000000000002</v>
      </c>
      <c r="T52" s="173">
        <f t="shared" si="15"/>
        <v>7</v>
      </c>
      <c r="U52" s="59">
        <f t="shared" si="16"/>
        <v>46.900000000000006</v>
      </c>
      <c r="V52" s="24"/>
    </row>
    <row r="53" spans="2:22" ht="15.75" thickBot="1" x14ac:dyDescent="0.3">
      <c r="B53" s="159">
        <f t="shared" si="36"/>
        <v>120</v>
      </c>
      <c r="C53" s="160">
        <f t="shared" si="37"/>
        <v>108</v>
      </c>
      <c r="D53" s="137">
        <f t="shared" si="0"/>
        <v>198</v>
      </c>
      <c r="E53" s="131">
        <f t="shared" si="1"/>
        <v>125</v>
      </c>
      <c r="F53" s="131" t="str">
        <f t="shared" si="9"/>
        <v>VERTICAL</v>
      </c>
      <c r="G53" s="61">
        <f t="shared" si="38"/>
        <v>3.6666666666666665</v>
      </c>
      <c r="H53" s="130">
        <f t="shared" si="2"/>
        <v>4</v>
      </c>
      <c r="I53" s="130">
        <f t="shared" si="3"/>
        <v>216</v>
      </c>
      <c r="J53" s="171">
        <f t="shared" si="35"/>
        <v>7.3500000000000005</v>
      </c>
      <c r="K53" s="61">
        <f t="shared" si="39"/>
        <v>210</v>
      </c>
      <c r="L53" s="138">
        <v>7</v>
      </c>
      <c r="M53" s="138">
        <v>3</v>
      </c>
      <c r="N53" s="61">
        <f t="shared" si="5"/>
        <v>29.142857142857142</v>
      </c>
      <c r="O53" s="60">
        <f t="shared" si="6"/>
        <v>30</v>
      </c>
      <c r="P53" s="61">
        <f t="shared" si="7"/>
        <v>7.0344827586206895</v>
      </c>
      <c r="Q53" s="139">
        <f t="shared" si="40"/>
        <v>132.5</v>
      </c>
      <c r="R53" s="168">
        <f t="shared" si="13"/>
        <v>3.5</v>
      </c>
      <c r="S53" s="54">
        <f t="shared" si="41"/>
        <v>25.725000000000001</v>
      </c>
      <c r="T53" s="174">
        <f t="shared" si="15"/>
        <v>7</v>
      </c>
      <c r="U53" s="140">
        <f t="shared" si="16"/>
        <v>53.75</v>
      </c>
      <c r="V53" s="24"/>
    </row>
    <row r="54" spans="2:22" x14ac:dyDescent="0.25">
      <c r="J54" s="161"/>
    </row>
    <row r="55" spans="2:22" ht="15.75" thickBot="1" x14ac:dyDescent="0.3"/>
    <row r="56" spans="2:22" ht="29.25" thickBot="1" x14ac:dyDescent="0.3">
      <c r="B56" s="986" t="s">
        <v>83</v>
      </c>
      <c r="C56" s="987"/>
      <c r="D56" s="987"/>
      <c r="E56" s="987"/>
      <c r="F56" s="987"/>
      <c r="G56" s="987"/>
      <c r="H56" s="987"/>
      <c r="I56" s="987"/>
      <c r="J56" s="987"/>
      <c r="K56" s="987"/>
      <c r="L56" s="987"/>
      <c r="M56" s="987"/>
      <c r="N56" s="987"/>
      <c r="O56" s="987"/>
      <c r="P56" s="987"/>
      <c r="Q56" s="987"/>
      <c r="R56" s="987"/>
      <c r="S56" s="987"/>
      <c r="T56" s="987"/>
      <c r="U56" s="987"/>
      <c r="V56" s="988"/>
    </row>
    <row r="57" spans="2:22" x14ac:dyDescent="0.25">
      <c r="B57" s="15"/>
      <c r="C57" s="42"/>
      <c r="D57" s="43">
        <v>20</v>
      </c>
      <c r="E57" s="44">
        <v>0.25</v>
      </c>
      <c r="F57" s="17" t="s">
        <v>52</v>
      </c>
      <c r="G57" s="17"/>
      <c r="H57" s="17" t="s">
        <v>52</v>
      </c>
      <c r="I57" s="50">
        <v>0.4</v>
      </c>
      <c r="J57" s="50"/>
      <c r="K57" s="42"/>
      <c r="L57" s="42"/>
      <c r="M57" s="55">
        <v>0.4</v>
      </c>
      <c r="N57" s="44">
        <v>0.3</v>
      </c>
      <c r="O57" s="51">
        <f>I57</f>
        <v>0.4</v>
      </c>
      <c r="P57" s="42"/>
      <c r="Q57" s="42"/>
      <c r="R57" s="55">
        <v>0.4</v>
      </c>
      <c r="S57" s="44">
        <v>0.3</v>
      </c>
      <c r="T57" s="51">
        <f>O57</f>
        <v>0.4</v>
      </c>
      <c r="U57" s="17" t="s">
        <v>53</v>
      </c>
      <c r="V57" s="45" t="s">
        <v>53</v>
      </c>
    </row>
    <row r="58" spans="2:22" x14ac:dyDescent="0.25">
      <c r="B58" s="22"/>
      <c r="C58" s="20"/>
      <c r="D58" s="20" t="s">
        <v>51</v>
      </c>
      <c r="E58" s="20" t="s">
        <v>51</v>
      </c>
      <c r="F58" s="20" t="s">
        <v>78</v>
      </c>
      <c r="G58" s="20"/>
      <c r="H58" s="20" t="s">
        <v>68</v>
      </c>
      <c r="I58" s="41" t="s">
        <v>53</v>
      </c>
      <c r="J58" s="41"/>
      <c r="K58" s="20"/>
      <c r="L58" s="20" t="s">
        <v>53</v>
      </c>
      <c r="M58" s="20" t="s">
        <v>52</v>
      </c>
      <c r="N58" s="20" t="s">
        <v>52</v>
      </c>
      <c r="O58" s="41" t="s">
        <v>53</v>
      </c>
      <c r="P58" s="20"/>
      <c r="Q58" s="20" t="s">
        <v>53</v>
      </c>
      <c r="R58" s="20" t="s">
        <v>52</v>
      </c>
      <c r="S58" s="20" t="s">
        <v>52</v>
      </c>
      <c r="T58" s="41" t="s">
        <v>53</v>
      </c>
      <c r="U58" s="20" t="s">
        <v>73</v>
      </c>
      <c r="V58" s="46" t="s">
        <v>73</v>
      </c>
    </row>
    <row r="59" spans="2:22" x14ac:dyDescent="0.25">
      <c r="B59" s="22"/>
      <c r="C59" s="20"/>
      <c r="D59" s="20" t="s">
        <v>52</v>
      </c>
      <c r="E59" s="20" t="s">
        <v>52</v>
      </c>
      <c r="F59" s="20" t="s">
        <v>71</v>
      </c>
      <c r="G59" s="20"/>
      <c r="H59" s="20" t="s">
        <v>51</v>
      </c>
      <c r="I59" s="41" t="s">
        <v>51</v>
      </c>
      <c r="J59" s="41"/>
      <c r="K59" s="20" t="s">
        <v>43</v>
      </c>
      <c r="L59" s="20" t="s">
        <v>69</v>
      </c>
      <c r="M59" s="20" t="s">
        <v>63</v>
      </c>
      <c r="N59" s="20" t="s">
        <v>79</v>
      </c>
      <c r="O59" s="41" t="s">
        <v>80</v>
      </c>
      <c r="P59" s="20" t="s">
        <v>43</v>
      </c>
      <c r="Q59" s="20" t="s">
        <v>69</v>
      </c>
      <c r="R59" s="20" t="s">
        <v>63</v>
      </c>
      <c r="S59" s="20" t="s">
        <v>68</v>
      </c>
      <c r="T59" s="41" t="s">
        <v>76</v>
      </c>
      <c r="U59" s="20" t="s">
        <v>74</v>
      </c>
      <c r="V59" s="46" t="s">
        <v>74</v>
      </c>
    </row>
    <row r="60" spans="2:22" x14ac:dyDescent="0.25">
      <c r="B60" s="22" t="s">
        <v>59</v>
      </c>
      <c r="C60" s="20" t="s">
        <v>49</v>
      </c>
      <c r="D60" s="20" t="s">
        <v>76</v>
      </c>
      <c r="E60" s="20" t="s">
        <v>76</v>
      </c>
      <c r="F60" s="20" t="s">
        <v>72</v>
      </c>
      <c r="G60" s="20"/>
      <c r="H60" s="20" t="s">
        <v>54</v>
      </c>
      <c r="I60" s="41" t="s">
        <v>54</v>
      </c>
      <c r="J60" s="41"/>
      <c r="K60" s="20" t="s">
        <v>57</v>
      </c>
      <c r="L60" s="20" t="s">
        <v>61</v>
      </c>
      <c r="M60" s="20" t="s">
        <v>61</v>
      </c>
      <c r="N60" s="20" t="s">
        <v>61</v>
      </c>
      <c r="O60" s="41" t="s">
        <v>61</v>
      </c>
      <c r="P60" s="20" t="s">
        <v>64</v>
      </c>
      <c r="Q60" s="20" t="s">
        <v>65</v>
      </c>
      <c r="R60" s="20" t="s">
        <v>65</v>
      </c>
      <c r="S60" s="20" t="s">
        <v>65</v>
      </c>
      <c r="T60" s="41" t="s">
        <v>65</v>
      </c>
      <c r="U60" s="20" t="s">
        <v>75</v>
      </c>
      <c r="V60" s="46" t="s">
        <v>75</v>
      </c>
    </row>
    <row r="61" spans="2:22" ht="15.75" thickBot="1" x14ac:dyDescent="0.3">
      <c r="B61" s="47" t="s">
        <v>60</v>
      </c>
      <c r="C61" s="39" t="s">
        <v>50</v>
      </c>
      <c r="D61" s="39" t="s">
        <v>70</v>
      </c>
      <c r="E61" s="39" t="s">
        <v>77</v>
      </c>
      <c r="F61" s="39" t="s">
        <v>56</v>
      </c>
      <c r="G61" s="39"/>
      <c r="H61" s="39" t="s">
        <v>56</v>
      </c>
      <c r="I61" s="40" t="s">
        <v>56</v>
      </c>
      <c r="J61" s="40"/>
      <c r="K61" s="39" t="s">
        <v>58</v>
      </c>
      <c r="L61" s="39" t="s">
        <v>62</v>
      </c>
      <c r="M61" s="39" t="s">
        <v>62</v>
      </c>
      <c r="N61" s="39" t="s">
        <v>62</v>
      </c>
      <c r="O61" s="40" t="s">
        <v>62</v>
      </c>
      <c r="P61" s="39" t="s">
        <v>58</v>
      </c>
      <c r="Q61" s="39" t="s">
        <v>66</v>
      </c>
      <c r="R61" s="39" t="s">
        <v>66</v>
      </c>
      <c r="S61" s="39" t="s">
        <v>66</v>
      </c>
      <c r="T61" s="40" t="s">
        <v>66</v>
      </c>
      <c r="U61" s="48" t="s">
        <v>81</v>
      </c>
      <c r="V61" s="49" t="s">
        <v>82</v>
      </c>
    </row>
    <row r="62" spans="2:22" x14ac:dyDescent="0.25">
      <c r="B62" s="52">
        <v>24</v>
      </c>
      <c r="C62" s="30">
        <f>B62/12</f>
        <v>2</v>
      </c>
      <c r="D62" s="31">
        <f t="shared" ref="D62:D74" si="42">(260/$D$57)/(600/2.54/12)</f>
        <v>0.66039999999999999</v>
      </c>
      <c r="E62" s="31">
        <f t="shared" ref="E62:E74" si="43">D62/(1-$E$57)</f>
        <v>0.88053333333333328</v>
      </c>
      <c r="F62" s="32">
        <v>0.75</v>
      </c>
      <c r="G62" s="32"/>
      <c r="H62" s="31">
        <f>E62+F62</f>
        <v>1.6305333333333332</v>
      </c>
      <c r="I62" s="33">
        <f t="shared" ref="I62:I74" si="44">H62/(1-$I$57)</f>
        <v>2.7175555555555553</v>
      </c>
      <c r="J62" s="33"/>
      <c r="K62" s="34">
        <f t="shared" ref="K62:K72" si="45">IF(B62&lt;36.01,2,CEILING(B62/36,1))</f>
        <v>2</v>
      </c>
      <c r="L62" s="32">
        <v>7.5</v>
      </c>
      <c r="M62" s="31">
        <f t="shared" ref="M62:M74" si="46">L62*$M$57</f>
        <v>3</v>
      </c>
      <c r="N62" s="31">
        <f t="shared" ref="N62:N74" si="47">CEILING(M62/(1-$N$57),0.05)</f>
        <v>4.3</v>
      </c>
      <c r="O62" s="33">
        <f t="shared" ref="O62:O74" si="48">CEILING(N62/(1-$O$57),0.05)</f>
        <v>7.2</v>
      </c>
      <c r="P62" s="35">
        <v>2</v>
      </c>
      <c r="Q62" s="32">
        <v>4</v>
      </c>
      <c r="R62" s="31">
        <f t="shared" ref="R62:R74" si="49">Q62*$R$57</f>
        <v>1.6</v>
      </c>
      <c r="S62" s="31">
        <f t="shared" ref="S62:S74" si="50">CEILING(R62/(1-$S$57),0.05)</f>
        <v>2.3000000000000003</v>
      </c>
      <c r="T62" s="33">
        <f t="shared" ref="T62:T74" si="51">CEILING(S62/(1-$T$57),0.05)</f>
        <v>3.85</v>
      </c>
      <c r="U62" s="31">
        <f t="shared" ref="U62:U74" si="52">C62*I62+K62*O62+P62*T62</f>
        <v>27.53511111111111</v>
      </c>
      <c r="V62" s="53">
        <f t="shared" ref="V62:V74" si="53">U62/C62</f>
        <v>13.767555555555555</v>
      </c>
    </row>
    <row r="63" spans="2:22" x14ac:dyDescent="0.25">
      <c r="B63" s="37">
        <f>B62+8</f>
        <v>32</v>
      </c>
      <c r="C63" s="10">
        <f t="shared" ref="C63:C74" si="54">B63/12</f>
        <v>2.6666666666666665</v>
      </c>
      <c r="D63" s="26">
        <f t="shared" si="42"/>
        <v>0.66039999999999999</v>
      </c>
      <c r="E63" s="26">
        <f t="shared" si="43"/>
        <v>0.88053333333333328</v>
      </c>
      <c r="F63" s="27">
        <v>0.75</v>
      </c>
      <c r="G63" s="27"/>
      <c r="H63" s="26">
        <f t="shared" ref="H63:H74" si="55">E63+F63</f>
        <v>1.6305333333333332</v>
      </c>
      <c r="I63" s="28">
        <f t="shared" si="44"/>
        <v>2.7175555555555553</v>
      </c>
      <c r="J63" s="28"/>
      <c r="K63" s="8">
        <f t="shared" si="45"/>
        <v>2</v>
      </c>
      <c r="L63" s="27">
        <v>7.5</v>
      </c>
      <c r="M63" s="26">
        <f t="shared" si="46"/>
        <v>3</v>
      </c>
      <c r="N63" s="26">
        <f t="shared" si="47"/>
        <v>4.3</v>
      </c>
      <c r="O63" s="28">
        <f t="shared" si="48"/>
        <v>7.2</v>
      </c>
      <c r="P63" s="29">
        <v>2</v>
      </c>
      <c r="Q63" s="27">
        <v>4</v>
      </c>
      <c r="R63" s="26">
        <f t="shared" si="49"/>
        <v>1.6</v>
      </c>
      <c r="S63" s="26">
        <f t="shared" si="50"/>
        <v>2.3000000000000003</v>
      </c>
      <c r="T63" s="28">
        <f t="shared" si="51"/>
        <v>3.85</v>
      </c>
      <c r="U63" s="31">
        <f t="shared" si="52"/>
        <v>29.346814814814813</v>
      </c>
      <c r="V63" s="38">
        <f t="shared" si="53"/>
        <v>11.005055555555556</v>
      </c>
    </row>
    <row r="64" spans="2:22" x14ac:dyDescent="0.25">
      <c r="B64" s="37">
        <f t="shared" ref="B64:B74" si="56">B63+8</f>
        <v>40</v>
      </c>
      <c r="C64" s="10">
        <f t="shared" si="54"/>
        <v>3.3333333333333335</v>
      </c>
      <c r="D64" s="26">
        <f t="shared" si="42"/>
        <v>0.66039999999999999</v>
      </c>
      <c r="E64" s="26">
        <f t="shared" si="43"/>
        <v>0.88053333333333328</v>
      </c>
      <c r="F64" s="27">
        <v>0.75</v>
      </c>
      <c r="G64" s="27"/>
      <c r="H64" s="26">
        <f t="shared" si="55"/>
        <v>1.6305333333333332</v>
      </c>
      <c r="I64" s="28">
        <f t="shared" si="44"/>
        <v>2.7175555555555553</v>
      </c>
      <c r="J64" s="28"/>
      <c r="K64" s="8">
        <f t="shared" si="45"/>
        <v>2</v>
      </c>
      <c r="L64" s="27">
        <v>7.5</v>
      </c>
      <c r="M64" s="26">
        <f t="shared" si="46"/>
        <v>3</v>
      </c>
      <c r="N64" s="26">
        <f t="shared" si="47"/>
        <v>4.3</v>
      </c>
      <c r="O64" s="28">
        <f t="shared" si="48"/>
        <v>7.2</v>
      </c>
      <c r="P64" s="29">
        <v>2</v>
      </c>
      <c r="Q64" s="27">
        <v>4</v>
      </c>
      <c r="R64" s="26">
        <f t="shared" si="49"/>
        <v>1.6</v>
      </c>
      <c r="S64" s="26">
        <f t="shared" si="50"/>
        <v>2.3000000000000003</v>
      </c>
      <c r="T64" s="28">
        <f t="shared" si="51"/>
        <v>3.85</v>
      </c>
      <c r="U64" s="31">
        <f t="shared" si="52"/>
        <v>31.158518518518516</v>
      </c>
      <c r="V64" s="38">
        <f t="shared" si="53"/>
        <v>9.3475555555555552</v>
      </c>
    </row>
    <row r="65" spans="2:22" x14ac:dyDescent="0.25">
      <c r="B65" s="37">
        <f t="shared" si="56"/>
        <v>48</v>
      </c>
      <c r="C65" s="10">
        <f t="shared" si="54"/>
        <v>4</v>
      </c>
      <c r="D65" s="26">
        <f t="shared" si="42"/>
        <v>0.66039999999999999</v>
      </c>
      <c r="E65" s="26">
        <f t="shared" si="43"/>
        <v>0.88053333333333328</v>
      </c>
      <c r="F65" s="27">
        <v>0.75</v>
      </c>
      <c r="G65" s="27"/>
      <c r="H65" s="26">
        <f t="shared" si="55"/>
        <v>1.6305333333333332</v>
      </c>
      <c r="I65" s="28">
        <f t="shared" si="44"/>
        <v>2.7175555555555553</v>
      </c>
      <c r="J65" s="28"/>
      <c r="K65" s="8">
        <f t="shared" si="45"/>
        <v>2</v>
      </c>
      <c r="L65" s="27">
        <v>7.5</v>
      </c>
      <c r="M65" s="26">
        <f t="shared" si="46"/>
        <v>3</v>
      </c>
      <c r="N65" s="26">
        <f t="shared" si="47"/>
        <v>4.3</v>
      </c>
      <c r="O65" s="28">
        <f t="shared" si="48"/>
        <v>7.2</v>
      </c>
      <c r="P65" s="29">
        <v>2</v>
      </c>
      <c r="Q65" s="27">
        <v>4</v>
      </c>
      <c r="R65" s="26">
        <f t="shared" si="49"/>
        <v>1.6</v>
      </c>
      <c r="S65" s="26">
        <f t="shared" si="50"/>
        <v>2.3000000000000003</v>
      </c>
      <c r="T65" s="28">
        <f t="shared" si="51"/>
        <v>3.85</v>
      </c>
      <c r="U65" s="31">
        <f t="shared" si="52"/>
        <v>32.970222222222226</v>
      </c>
      <c r="V65" s="38">
        <f t="shared" si="53"/>
        <v>8.2425555555555565</v>
      </c>
    </row>
    <row r="66" spans="2:22" x14ac:dyDescent="0.25">
      <c r="B66" s="37">
        <f t="shared" si="56"/>
        <v>56</v>
      </c>
      <c r="C66" s="10">
        <f t="shared" si="54"/>
        <v>4.666666666666667</v>
      </c>
      <c r="D66" s="26">
        <f t="shared" si="42"/>
        <v>0.66039999999999999</v>
      </c>
      <c r="E66" s="26">
        <f t="shared" si="43"/>
        <v>0.88053333333333328</v>
      </c>
      <c r="F66" s="27">
        <v>0.75</v>
      </c>
      <c r="G66" s="27"/>
      <c r="H66" s="26">
        <f t="shared" si="55"/>
        <v>1.6305333333333332</v>
      </c>
      <c r="I66" s="28">
        <f t="shared" si="44"/>
        <v>2.7175555555555553</v>
      </c>
      <c r="J66" s="28"/>
      <c r="K66" s="8">
        <f t="shared" si="45"/>
        <v>2</v>
      </c>
      <c r="L66" s="27">
        <v>7.5</v>
      </c>
      <c r="M66" s="26">
        <f t="shared" si="46"/>
        <v>3</v>
      </c>
      <c r="N66" s="26">
        <f t="shared" si="47"/>
        <v>4.3</v>
      </c>
      <c r="O66" s="28">
        <f t="shared" si="48"/>
        <v>7.2</v>
      </c>
      <c r="P66" s="29">
        <v>2</v>
      </c>
      <c r="Q66" s="27">
        <v>4</v>
      </c>
      <c r="R66" s="26">
        <f t="shared" si="49"/>
        <v>1.6</v>
      </c>
      <c r="S66" s="26">
        <f t="shared" si="50"/>
        <v>2.3000000000000003</v>
      </c>
      <c r="T66" s="28">
        <f t="shared" si="51"/>
        <v>3.85</v>
      </c>
      <c r="U66" s="31">
        <f t="shared" si="52"/>
        <v>34.781925925925925</v>
      </c>
      <c r="V66" s="38">
        <f t="shared" si="53"/>
        <v>7.453269841269841</v>
      </c>
    </row>
    <row r="67" spans="2:22" x14ac:dyDescent="0.25">
      <c r="B67" s="37">
        <f t="shared" si="56"/>
        <v>64</v>
      </c>
      <c r="C67" s="10">
        <f t="shared" si="54"/>
        <v>5.333333333333333</v>
      </c>
      <c r="D67" s="26">
        <f t="shared" si="42"/>
        <v>0.66039999999999999</v>
      </c>
      <c r="E67" s="26">
        <f t="shared" si="43"/>
        <v>0.88053333333333328</v>
      </c>
      <c r="F67" s="27">
        <v>0.75</v>
      </c>
      <c r="G67" s="27"/>
      <c r="H67" s="26">
        <f t="shared" si="55"/>
        <v>1.6305333333333332</v>
      </c>
      <c r="I67" s="28">
        <f t="shared" si="44"/>
        <v>2.7175555555555553</v>
      </c>
      <c r="J67" s="28"/>
      <c r="K67" s="8">
        <f t="shared" si="45"/>
        <v>2</v>
      </c>
      <c r="L67" s="27">
        <v>7.5</v>
      </c>
      <c r="M67" s="26">
        <f t="shared" si="46"/>
        <v>3</v>
      </c>
      <c r="N67" s="26">
        <f t="shared" si="47"/>
        <v>4.3</v>
      </c>
      <c r="O67" s="28">
        <f t="shared" si="48"/>
        <v>7.2</v>
      </c>
      <c r="P67" s="29">
        <v>2</v>
      </c>
      <c r="Q67" s="27">
        <v>4</v>
      </c>
      <c r="R67" s="26">
        <f t="shared" si="49"/>
        <v>1.6</v>
      </c>
      <c r="S67" s="26">
        <f t="shared" si="50"/>
        <v>2.3000000000000003</v>
      </c>
      <c r="T67" s="28">
        <f t="shared" si="51"/>
        <v>3.85</v>
      </c>
      <c r="U67" s="31">
        <f t="shared" si="52"/>
        <v>36.593629629629632</v>
      </c>
      <c r="V67" s="38">
        <f t="shared" si="53"/>
        <v>6.861305555555556</v>
      </c>
    </row>
    <row r="68" spans="2:22" x14ac:dyDescent="0.25">
      <c r="B68" s="37">
        <f t="shared" si="56"/>
        <v>72</v>
      </c>
      <c r="C68" s="10">
        <f t="shared" si="54"/>
        <v>6</v>
      </c>
      <c r="D68" s="26">
        <f t="shared" si="42"/>
        <v>0.66039999999999999</v>
      </c>
      <c r="E68" s="26">
        <f t="shared" si="43"/>
        <v>0.88053333333333328</v>
      </c>
      <c r="F68" s="27">
        <v>0.75</v>
      </c>
      <c r="G68" s="27"/>
      <c r="H68" s="26">
        <f t="shared" si="55"/>
        <v>1.6305333333333332</v>
      </c>
      <c r="I68" s="28">
        <f t="shared" si="44"/>
        <v>2.7175555555555553</v>
      </c>
      <c r="J68" s="28"/>
      <c r="K68" s="8">
        <f t="shared" si="45"/>
        <v>2</v>
      </c>
      <c r="L68" s="27">
        <v>7.5</v>
      </c>
      <c r="M68" s="26">
        <f t="shared" si="46"/>
        <v>3</v>
      </c>
      <c r="N68" s="26">
        <f t="shared" si="47"/>
        <v>4.3</v>
      </c>
      <c r="O68" s="28">
        <f t="shared" si="48"/>
        <v>7.2</v>
      </c>
      <c r="P68" s="29">
        <v>2</v>
      </c>
      <c r="Q68" s="27">
        <v>4</v>
      </c>
      <c r="R68" s="26">
        <f t="shared" si="49"/>
        <v>1.6</v>
      </c>
      <c r="S68" s="26">
        <f t="shared" si="50"/>
        <v>2.3000000000000003</v>
      </c>
      <c r="T68" s="28">
        <f t="shared" si="51"/>
        <v>3.85</v>
      </c>
      <c r="U68" s="31">
        <f t="shared" si="52"/>
        <v>38.405333333333331</v>
      </c>
      <c r="V68" s="38">
        <f t="shared" si="53"/>
        <v>6.4008888888888889</v>
      </c>
    </row>
    <row r="69" spans="2:22" x14ac:dyDescent="0.25">
      <c r="B69" s="37">
        <f t="shared" si="56"/>
        <v>80</v>
      </c>
      <c r="C69" s="10">
        <f t="shared" si="54"/>
        <v>6.666666666666667</v>
      </c>
      <c r="D69" s="26">
        <f t="shared" si="42"/>
        <v>0.66039999999999999</v>
      </c>
      <c r="E69" s="26">
        <f t="shared" si="43"/>
        <v>0.88053333333333328</v>
      </c>
      <c r="F69" s="27">
        <v>0.75</v>
      </c>
      <c r="G69" s="27"/>
      <c r="H69" s="26">
        <f t="shared" si="55"/>
        <v>1.6305333333333332</v>
      </c>
      <c r="I69" s="28">
        <f t="shared" si="44"/>
        <v>2.7175555555555553</v>
      </c>
      <c r="J69" s="28"/>
      <c r="K69" s="8">
        <f t="shared" si="45"/>
        <v>3</v>
      </c>
      <c r="L69" s="27">
        <v>7.5</v>
      </c>
      <c r="M69" s="26">
        <f t="shared" si="46"/>
        <v>3</v>
      </c>
      <c r="N69" s="26">
        <f t="shared" si="47"/>
        <v>4.3</v>
      </c>
      <c r="O69" s="28">
        <f t="shared" si="48"/>
        <v>7.2</v>
      </c>
      <c r="P69" s="29">
        <v>2</v>
      </c>
      <c r="Q69" s="27">
        <v>4</v>
      </c>
      <c r="R69" s="26">
        <f t="shared" si="49"/>
        <v>1.6</v>
      </c>
      <c r="S69" s="26">
        <f t="shared" si="50"/>
        <v>2.3000000000000003</v>
      </c>
      <c r="T69" s="28">
        <f t="shared" si="51"/>
        <v>3.85</v>
      </c>
      <c r="U69" s="31">
        <f t="shared" si="52"/>
        <v>47.417037037037041</v>
      </c>
      <c r="V69" s="38">
        <f t="shared" si="53"/>
        <v>7.1125555555555557</v>
      </c>
    </row>
    <row r="70" spans="2:22" x14ac:dyDescent="0.25">
      <c r="B70" s="37">
        <f t="shared" si="56"/>
        <v>88</v>
      </c>
      <c r="C70" s="10">
        <f t="shared" si="54"/>
        <v>7.333333333333333</v>
      </c>
      <c r="D70" s="26">
        <f t="shared" si="42"/>
        <v>0.66039999999999999</v>
      </c>
      <c r="E70" s="26">
        <f t="shared" si="43"/>
        <v>0.88053333333333328</v>
      </c>
      <c r="F70" s="27">
        <v>0.75</v>
      </c>
      <c r="G70" s="27"/>
      <c r="H70" s="26">
        <f t="shared" si="55"/>
        <v>1.6305333333333332</v>
      </c>
      <c r="I70" s="28">
        <f t="shared" si="44"/>
        <v>2.7175555555555553</v>
      </c>
      <c r="J70" s="28"/>
      <c r="K70" s="8">
        <f t="shared" si="45"/>
        <v>3</v>
      </c>
      <c r="L70" s="27">
        <v>7.5</v>
      </c>
      <c r="M70" s="26">
        <f t="shared" si="46"/>
        <v>3</v>
      </c>
      <c r="N70" s="26">
        <f t="shared" si="47"/>
        <v>4.3</v>
      </c>
      <c r="O70" s="28">
        <f t="shared" si="48"/>
        <v>7.2</v>
      </c>
      <c r="P70" s="29">
        <v>2</v>
      </c>
      <c r="Q70" s="27">
        <v>4</v>
      </c>
      <c r="R70" s="26">
        <f t="shared" si="49"/>
        <v>1.6</v>
      </c>
      <c r="S70" s="26">
        <f t="shared" si="50"/>
        <v>2.3000000000000003</v>
      </c>
      <c r="T70" s="28">
        <f t="shared" si="51"/>
        <v>3.85</v>
      </c>
      <c r="U70" s="31">
        <f t="shared" si="52"/>
        <v>49.228740740740747</v>
      </c>
      <c r="V70" s="38">
        <f t="shared" si="53"/>
        <v>6.7130101010101022</v>
      </c>
    </row>
    <row r="71" spans="2:22" x14ac:dyDescent="0.25">
      <c r="B71" s="37">
        <f t="shared" si="56"/>
        <v>96</v>
      </c>
      <c r="C71" s="10">
        <f t="shared" si="54"/>
        <v>8</v>
      </c>
      <c r="D71" s="26">
        <f t="shared" si="42"/>
        <v>0.66039999999999999</v>
      </c>
      <c r="E71" s="26">
        <f t="shared" si="43"/>
        <v>0.88053333333333328</v>
      </c>
      <c r="F71" s="27">
        <v>0.75</v>
      </c>
      <c r="G71" s="27"/>
      <c r="H71" s="26">
        <f t="shared" si="55"/>
        <v>1.6305333333333332</v>
      </c>
      <c r="I71" s="28">
        <f t="shared" si="44"/>
        <v>2.7175555555555553</v>
      </c>
      <c r="J71" s="28"/>
      <c r="K71" s="8">
        <f t="shared" si="45"/>
        <v>3</v>
      </c>
      <c r="L71" s="27">
        <v>7.5</v>
      </c>
      <c r="M71" s="26">
        <f t="shared" si="46"/>
        <v>3</v>
      </c>
      <c r="N71" s="26">
        <f t="shared" si="47"/>
        <v>4.3</v>
      </c>
      <c r="O71" s="28">
        <f t="shared" si="48"/>
        <v>7.2</v>
      </c>
      <c r="P71" s="29">
        <v>2</v>
      </c>
      <c r="Q71" s="27">
        <v>4</v>
      </c>
      <c r="R71" s="26">
        <f t="shared" si="49"/>
        <v>1.6</v>
      </c>
      <c r="S71" s="26">
        <f t="shared" si="50"/>
        <v>2.3000000000000003</v>
      </c>
      <c r="T71" s="28">
        <f t="shared" si="51"/>
        <v>3.85</v>
      </c>
      <c r="U71" s="31">
        <f t="shared" si="52"/>
        <v>51.040444444444447</v>
      </c>
      <c r="V71" s="38">
        <f t="shared" si="53"/>
        <v>6.3800555555555558</v>
      </c>
    </row>
    <row r="72" spans="2:22" x14ac:dyDescent="0.25">
      <c r="B72" s="37">
        <f t="shared" si="56"/>
        <v>104</v>
      </c>
      <c r="C72" s="10">
        <f t="shared" si="54"/>
        <v>8.6666666666666661</v>
      </c>
      <c r="D72" s="26">
        <f t="shared" si="42"/>
        <v>0.66039999999999999</v>
      </c>
      <c r="E72" s="26">
        <f t="shared" si="43"/>
        <v>0.88053333333333328</v>
      </c>
      <c r="F72" s="27">
        <v>0.75</v>
      </c>
      <c r="G72" s="27"/>
      <c r="H72" s="26">
        <f t="shared" si="55"/>
        <v>1.6305333333333332</v>
      </c>
      <c r="I72" s="28">
        <f t="shared" si="44"/>
        <v>2.7175555555555553</v>
      </c>
      <c r="J72" s="28"/>
      <c r="K72" s="8">
        <f t="shared" si="45"/>
        <v>3</v>
      </c>
      <c r="L72" s="27">
        <v>7.5</v>
      </c>
      <c r="M72" s="26">
        <f t="shared" si="46"/>
        <v>3</v>
      </c>
      <c r="N72" s="26">
        <f t="shared" si="47"/>
        <v>4.3</v>
      </c>
      <c r="O72" s="28">
        <f t="shared" si="48"/>
        <v>7.2</v>
      </c>
      <c r="P72" s="29">
        <v>2</v>
      </c>
      <c r="Q72" s="27">
        <v>4</v>
      </c>
      <c r="R72" s="26">
        <f t="shared" si="49"/>
        <v>1.6</v>
      </c>
      <c r="S72" s="26">
        <f t="shared" si="50"/>
        <v>2.3000000000000003</v>
      </c>
      <c r="T72" s="28">
        <f t="shared" si="51"/>
        <v>3.85</v>
      </c>
      <c r="U72" s="31">
        <f t="shared" si="52"/>
        <v>52.852148148148146</v>
      </c>
      <c r="V72" s="38">
        <f t="shared" si="53"/>
        <v>6.0983247863247865</v>
      </c>
    </row>
    <row r="73" spans="2:22" x14ac:dyDescent="0.25">
      <c r="B73" s="37">
        <f t="shared" si="56"/>
        <v>112</v>
      </c>
      <c r="C73" s="10">
        <f t="shared" si="54"/>
        <v>9.3333333333333339</v>
      </c>
      <c r="D73" s="26">
        <f t="shared" si="42"/>
        <v>0.66039999999999999</v>
      </c>
      <c r="E73" s="26">
        <f t="shared" si="43"/>
        <v>0.88053333333333328</v>
      </c>
      <c r="F73" s="27">
        <v>0.75</v>
      </c>
      <c r="G73" s="27"/>
      <c r="H73" s="26">
        <f t="shared" si="55"/>
        <v>1.6305333333333332</v>
      </c>
      <c r="I73" s="28">
        <f t="shared" si="44"/>
        <v>2.7175555555555553</v>
      </c>
      <c r="J73" s="28"/>
      <c r="K73" s="87">
        <f>IF(B73&lt;40.01,2,CEILING(B73/40,1))</f>
        <v>3</v>
      </c>
      <c r="L73" s="27">
        <v>7.5</v>
      </c>
      <c r="M73" s="26">
        <f t="shared" si="46"/>
        <v>3</v>
      </c>
      <c r="N73" s="26">
        <f t="shared" si="47"/>
        <v>4.3</v>
      </c>
      <c r="O73" s="28">
        <f t="shared" si="48"/>
        <v>7.2</v>
      </c>
      <c r="P73" s="29">
        <v>2</v>
      </c>
      <c r="Q73" s="27">
        <v>4</v>
      </c>
      <c r="R73" s="26">
        <f t="shared" si="49"/>
        <v>1.6</v>
      </c>
      <c r="S73" s="26">
        <f t="shared" si="50"/>
        <v>2.3000000000000003</v>
      </c>
      <c r="T73" s="28">
        <f t="shared" si="51"/>
        <v>3.85</v>
      </c>
      <c r="U73" s="31">
        <f t="shared" si="52"/>
        <v>54.663851851851859</v>
      </c>
      <c r="V73" s="38">
        <f t="shared" si="53"/>
        <v>5.8568412698412704</v>
      </c>
    </row>
    <row r="74" spans="2:22" x14ac:dyDescent="0.25">
      <c r="B74" s="37">
        <f t="shared" si="56"/>
        <v>120</v>
      </c>
      <c r="C74" s="10">
        <f t="shared" si="54"/>
        <v>10</v>
      </c>
      <c r="D74" s="26">
        <f t="shared" si="42"/>
        <v>0.66039999999999999</v>
      </c>
      <c r="E74" s="26">
        <f t="shared" si="43"/>
        <v>0.88053333333333328</v>
      </c>
      <c r="F74" s="27">
        <v>0.75</v>
      </c>
      <c r="G74" s="27"/>
      <c r="H74" s="26">
        <f t="shared" si="55"/>
        <v>1.6305333333333332</v>
      </c>
      <c r="I74" s="28">
        <f t="shared" si="44"/>
        <v>2.7175555555555553</v>
      </c>
      <c r="J74" s="28"/>
      <c r="K74" s="87">
        <f>IF(B74&lt;40.01,2,CEILING(B74/40,1))</f>
        <v>3</v>
      </c>
      <c r="L74" s="27">
        <v>7.5</v>
      </c>
      <c r="M74" s="26">
        <f t="shared" si="46"/>
        <v>3</v>
      </c>
      <c r="N74" s="26">
        <f t="shared" si="47"/>
        <v>4.3</v>
      </c>
      <c r="O74" s="28">
        <f t="shared" si="48"/>
        <v>7.2</v>
      </c>
      <c r="P74" s="29">
        <v>2</v>
      </c>
      <c r="Q74" s="27">
        <v>4</v>
      </c>
      <c r="R74" s="26">
        <f t="shared" si="49"/>
        <v>1.6</v>
      </c>
      <c r="S74" s="26">
        <f t="shared" si="50"/>
        <v>2.3000000000000003</v>
      </c>
      <c r="T74" s="28">
        <f t="shared" si="51"/>
        <v>3.85</v>
      </c>
      <c r="U74" s="31">
        <f t="shared" si="52"/>
        <v>56.475555555555559</v>
      </c>
      <c r="V74" s="38">
        <f t="shared" si="53"/>
        <v>5.6475555555555559</v>
      </c>
    </row>
    <row r="76" spans="2:22" x14ac:dyDescent="0.25">
      <c r="L76" s="24"/>
    </row>
  </sheetData>
  <mergeCells count="4">
    <mergeCell ref="B4:C5"/>
    <mergeCell ref="D4:H5"/>
    <mergeCell ref="D15:Q15"/>
    <mergeCell ref="B56:V56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66FFFF"/>
  </sheetPr>
  <dimension ref="B1:BR105"/>
  <sheetViews>
    <sheetView topLeftCell="O1" zoomScaleNormal="100" workbookViewId="0">
      <pane ySplit="14" topLeftCell="A15" activePane="bottomLeft" state="frozen"/>
      <selection pane="bottomLeft" activeCell="AB65" sqref="AB65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customWidth="1"/>
    <col min="11" max="11" width="28.85546875" style="175" customWidth="1"/>
    <col min="12" max="12" width="19.28515625" style="175" customWidth="1"/>
    <col min="13" max="13" width="22.140625" style="175" customWidth="1"/>
    <col min="14" max="15" width="12.7109375" style="175" customWidth="1"/>
    <col min="16" max="16" width="14.7109375" style="175" customWidth="1"/>
    <col min="17" max="17" width="34.7109375" style="175" customWidth="1"/>
    <col min="18" max="18" width="19.28515625" style="175" customWidth="1"/>
    <col min="19" max="19" width="13.85546875" style="175" customWidth="1"/>
    <col min="20" max="20" width="19.28515625" style="175" customWidth="1"/>
    <col min="21" max="21" width="17.5703125" style="175" bestFit="1" customWidth="1"/>
    <col min="22" max="22" width="18.42578125" style="175" bestFit="1" customWidth="1"/>
    <col min="23" max="25" width="19.28515625" style="175" customWidth="1"/>
    <col min="26" max="27" width="19.28515625" style="175" hidden="1" customWidth="1"/>
    <col min="28" max="28" width="19.28515625" style="175" customWidth="1"/>
    <col min="29" max="29" width="21.28515625" style="175" bestFit="1" customWidth="1"/>
    <col min="30" max="30" width="1.7109375" style="175" customWidth="1"/>
    <col min="31" max="34" width="12.7109375" style="175" hidden="1" customWidth="1"/>
    <col min="35" max="52" width="12.7109375" style="265" hidden="1" customWidth="1"/>
    <col min="53" max="53" width="14.28515625" style="265" hidden="1" customWidth="1"/>
    <col min="54" max="55" width="12.7109375" style="265" hidden="1" customWidth="1"/>
    <col min="56" max="56" width="14.140625" style="265" hidden="1" customWidth="1"/>
    <col min="57" max="57" width="17.5703125" style="265" hidden="1" customWidth="1"/>
    <col min="58" max="59" width="12.7109375" style="265" hidden="1" customWidth="1"/>
    <col min="60" max="60" width="16.5703125" style="265" hidden="1" customWidth="1"/>
    <col min="61" max="62" width="12.7109375" style="265" hidden="1" customWidth="1"/>
    <col min="63" max="63" width="2.7109375" style="175" hidden="1" customWidth="1"/>
    <col min="64" max="78" width="0" style="175" hidden="1" customWidth="1"/>
    <col min="79" max="16384" width="9.140625" style="175"/>
  </cols>
  <sheetData>
    <row r="1" spans="2:70" ht="15.75" thickBot="1" x14ac:dyDescent="0.3"/>
    <row r="2" spans="2:70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3" t="str">
        <f>IF(S4="INGLES","QUOTE # ","COTIZACION # ")</f>
        <v xml:space="preserve">COTIZACION # </v>
      </c>
      <c r="AC2" s="204" t="s">
        <v>785</v>
      </c>
      <c r="AD2" s="205"/>
      <c r="AF2" s="869" t="s">
        <v>104</v>
      </c>
      <c r="AG2" s="870">
        <f>'COST - SELL'!C2</f>
        <v>44767</v>
      </c>
      <c r="AH2" s="205"/>
      <c r="AJ2" s="269" t="s">
        <v>208</v>
      </c>
      <c r="AK2" s="270"/>
      <c r="AL2" s="271"/>
      <c r="AM2" s="271"/>
      <c r="AN2" s="271"/>
      <c r="AO2" s="271"/>
      <c r="AP2" s="271"/>
      <c r="AQ2" s="269" t="s">
        <v>214</v>
      </c>
      <c r="AR2" s="272"/>
      <c r="AS2" s="272"/>
      <c r="AT2" s="273"/>
      <c r="AU2" s="272"/>
      <c r="AV2" s="272"/>
      <c r="AW2" s="272"/>
      <c r="AX2" s="272"/>
      <c r="AY2" s="272"/>
    </row>
    <row r="3" spans="2:70" ht="20.25" thickTop="1" thickBot="1" x14ac:dyDescent="0.3">
      <c r="B3" s="196"/>
      <c r="R3" s="208" t="str">
        <f>IF(S4="INGLES","CURRENCY TYPE:","TIPO DE MONEDA:")</f>
        <v>TIPO DE MONEDA:</v>
      </c>
      <c r="S3" s="209" t="s">
        <v>220</v>
      </c>
      <c r="AB3" s="188"/>
      <c r="AC3" s="206"/>
      <c r="AD3" s="188"/>
      <c r="AF3" s="871" t="s">
        <v>5</v>
      </c>
      <c r="AG3" s="872">
        <v>4</v>
      </c>
      <c r="AH3" s="188"/>
      <c r="AI3" s="276"/>
      <c r="AJ3" s="277" t="s">
        <v>209</v>
      </c>
      <c r="AK3" s="270"/>
      <c r="AL3" s="270"/>
      <c r="AM3" s="271"/>
      <c r="AN3" s="271"/>
      <c r="AO3" s="271"/>
      <c r="AP3" s="271"/>
      <c r="AQ3" s="277" t="s">
        <v>215</v>
      </c>
      <c r="AR3" s="271"/>
      <c r="AS3" s="271"/>
      <c r="AT3" s="271"/>
      <c r="AU3" s="271"/>
      <c r="AV3" s="271"/>
      <c r="AW3" s="271"/>
      <c r="AX3" s="271"/>
      <c r="AY3" s="271"/>
      <c r="BQ3" s="207"/>
      <c r="BR3" s="207"/>
    </row>
    <row r="4" spans="2:70" ht="15.75" customHeight="1" thickBot="1" x14ac:dyDescent="0.3">
      <c r="B4" s="196"/>
      <c r="K4" s="656" t="str">
        <f>IF(S4="INGLES","SALE TYPE:","TIPO DE VENTA:")</f>
        <v>TIPO DE VENTA:</v>
      </c>
      <c r="L4" s="657" t="s">
        <v>723</v>
      </c>
      <c r="R4" s="208" t="str">
        <f>IF(S4="INGLES","LANGUAJE:","IDIOMA:")</f>
        <v>IDIOMA:</v>
      </c>
      <c r="S4" s="209" t="s">
        <v>214</v>
      </c>
      <c r="T4" s="523"/>
      <c r="U4" s="523"/>
      <c r="V4" s="523"/>
      <c r="W4" s="523"/>
      <c r="X4" s="523"/>
      <c r="Y4" s="523"/>
      <c r="Z4" s="523"/>
      <c r="AA4" s="523"/>
      <c r="AB4" s="208" t="str">
        <f>IF(S4="INGLES","EXCHANGE RATE:","TIPO DE CAMBIO:")</f>
        <v>TIPO DE CAMBIO:</v>
      </c>
      <c r="AC4" s="210">
        <v>20</v>
      </c>
      <c r="AF4" s="871" t="s">
        <v>6</v>
      </c>
      <c r="AG4" s="872">
        <v>4</v>
      </c>
      <c r="AH4" s="873"/>
      <c r="AI4" s="276"/>
      <c r="AJ4" s="277" t="s">
        <v>262</v>
      </c>
      <c r="AK4" s="270"/>
      <c r="AL4" s="270"/>
      <c r="AM4" s="271"/>
      <c r="AN4" s="271"/>
      <c r="AO4" s="271"/>
      <c r="AP4" s="271"/>
      <c r="AQ4" s="277" t="s">
        <v>263</v>
      </c>
      <c r="AR4" s="271"/>
      <c r="AS4" s="271"/>
      <c r="AT4" s="270"/>
      <c r="AU4" s="271"/>
      <c r="AV4" s="271"/>
      <c r="AW4" s="271"/>
      <c r="AX4" s="271"/>
      <c r="AY4" s="271"/>
      <c r="BQ4" s="207"/>
      <c r="BR4" s="207"/>
    </row>
    <row r="5" spans="2:70" ht="15.75" customHeight="1" x14ac:dyDescent="0.25">
      <c r="B5" s="195" t="s">
        <v>119</v>
      </c>
      <c r="N5" s="211"/>
      <c r="R5" s="211"/>
      <c r="AB5" s="211"/>
      <c r="AC5" s="212"/>
      <c r="AF5" s="871" t="s">
        <v>7</v>
      </c>
      <c r="AG5" s="872">
        <v>1.5</v>
      </c>
      <c r="AH5" s="873"/>
      <c r="AI5" s="276"/>
      <c r="AJ5" s="277" t="s">
        <v>210</v>
      </c>
      <c r="AK5" s="270"/>
      <c r="AL5" s="270"/>
      <c r="AM5" s="271"/>
      <c r="AN5" s="271"/>
      <c r="AO5" s="271"/>
      <c r="AP5" s="271"/>
      <c r="AQ5" s="277" t="s">
        <v>216</v>
      </c>
      <c r="AR5" s="271"/>
      <c r="AS5" s="271"/>
      <c r="AT5" s="270"/>
      <c r="AU5" s="271"/>
      <c r="AV5" s="271"/>
      <c r="AW5" s="271"/>
      <c r="AX5" s="271"/>
      <c r="AY5" s="271"/>
      <c r="BQ5" s="207"/>
      <c r="BR5" s="207"/>
    </row>
    <row r="6" spans="2:70" ht="15.75" customHeight="1" thickBot="1" x14ac:dyDescent="0.3">
      <c r="B6" s="195" t="s">
        <v>120</v>
      </c>
      <c r="K6" s="213" t="s">
        <v>779</v>
      </c>
      <c r="L6" s="214"/>
      <c r="O6" s="907" t="s">
        <v>781</v>
      </c>
      <c r="P6" s="214"/>
      <c r="Q6" s="214"/>
      <c r="R6" s="211"/>
      <c r="S6" s="213" t="s">
        <v>202</v>
      </c>
      <c r="T6" s="214"/>
      <c r="AC6" s="215" t="s">
        <v>203</v>
      </c>
      <c r="AF6" s="874" t="s">
        <v>157</v>
      </c>
      <c r="AG6" s="872">
        <v>3.5</v>
      </c>
      <c r="AH6" s="873"/>
      <c r="AI6" s="276"/>
      <c r="AJ6" s="277" t="s">
        <v>211</v>
      </c>
      <c r="AK6" s="280"/>
      <c r="AL6" s="280"/>
      <c r="AM6" s="271"/>
      <c r="AN6" s="271"/>
      <c r="AO6" s="271"/>
      <c r="AP6" s="271"/>
      <c r="AQ6" s="277" t="s">
        <v>217</v>
      </c>
      <c r="AR6" s="271"/>
      <c r="AS6" s="271"/>
      <c r="AT6" s="270"/>
      <c r="AU6" s="271"/>
      <c r="AV6" s="271"/>
      <c r="AW6" s="271"/>
      <c r="AX6" s="271"/>
      <c r="AY6" s="271"/>
      <c r="BQ6" s="207"/>
      <c r="BR6" s="207"/>
    </row>
    <row r="7" spans="2:70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S7" s="192" t="str">
        <f>IF(S4="INGLES","TYPE OF PAYMENT (CASH/CHECK/DEPOSIT)","TIPO DE PAGO (EFECTIVO/CHEQUE/DEPOSITO)")</f>
        <v>TIPO DE PAGO (EFECTIVO/CHEQUE/DEPOSITO)</v>
      </c>
      <c r="T7" s="192"/>
      <c r="U7" s="192"/>
      <c r="V7" s="192"/>
      <c r="Z7" s="192"/>
      <c r="AA7" s="192"/>
      <c r="AB7" s="188"/>
      <c r="AC7" s="217" t="str">
        <f>IF(S4="INGLES","REQUIRES INVOICE?","REQUIERE FACTURA?")</f>
        <v>REQUIERE FACTURA?</v>
      </c>
      <c r="AF7" s="874" t="s">
        <v>158</v>
      </c>
      <c r="AG7" s="872">
        <v>6.5</v>
      </c>
      <c r="AH7" s="872"/>
      <c r="AI7" s="276"/>
      <c r="AJ7" s="277" t="s">
        <v>212</v>
      </c>
      <c r="AK7" s="271"/>
      <c r="AL7" s="271"/>
      <c r="AM7" s="271"/>
      <c r="AN7" s="271"/>
      <c r="AO7" s="271"/>
      <c r="AP7" s="271"/>
      <c r="AQ7" s="277" t="s">
        <v>218</v>
      </c>
      <c r="AR7" s="271"/>
      <c r="AS7" s="271"/>
      <c r="AT7" s="280"/>
      <c r="AU7" s="271"/>
      <c r="AV7" s="271"/>
      <c r="AW7" s="271"/>
      <c r="AX7" s="271"/>
      <c r="AY7" s="271"/>
      <c r="BQ7" s="207"/>
      <c r="BR7" s="207"/>
    </row>
    <row r="8" spans="2:70" ht="15.75" x14ac:dyDescent="0.25">
      <c r="B8" s="196"/>
      <c r="P8" s="211"/>
      <c r="Q8" s="211"/>
      <c r="R8" s="211"/>
      <c r="AB8" s="188"/>
      <c r="AC8" s="218"/>
      <c r="AF8" s="871" t="s">
        <v>159</v>
      </c>
      <c r="AG8" s="872">
        <v>2.5</v>
      </c>
      <c r="AH8" s="188"/>
      <c r="AI8" s="276"/>
      <c r="AJ8" s="277" t="s">
        <v>213</v>
      </c>
      <c r="AK8" s="281"/>
      <c r="AL8" s="281"/>
      <c r="AM8" s="271"/>
      <c r="AN8" s="271"/>
      <c r="AO8" s="271"/>
      <c r="AP8" s="271"/>
      <c r="AQ8" s="277" t="s">
        <v>219</v>
      </c>
      <c r="AR8" s="271"/>
      <c r="AS8" s="271"/>
      <c r="AT8" s="271"/>
      <c r="AU8" s="271"/>
      <c r="AV8" s="271"/>
      <c r="AW8" s="271"/>
      <c r="AX8" s="271"/>
      <c r="AY8" s="271"/>
      <c r="BH8" s="265" t="s">
        <v>267</v>
      </c>
      <c r="BI8" s="265">
        <v>36</v>
      </c>
      <c r="BQ8" s="207"/>
      <c r="BR8" s="207"/>
    </row>
    <row r="9" spans="2:70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780</v>
      </c>
      <c r="L9" s="214"/>
      <c r="O9" s="906" t="s">
        <v>782</v>
      </c>
      <c r="P9" s="214"/>
      <c r="Q9" s="214"/>
      <c r="R9" s="211"/>
      <c r="S9" s="213" t="s">
        <v>205</v>
      </c>
      <c r="T9" s="214"/>
      <c r="AC9" s="221">
        <v>45954</v>
      </c>
      <c r="AF9" s="875" t="s">
        <v>160</v>
      </c>
      <c r="AG9" s="876">
        <v>0.05</v>
      </c>
      <c r="AH9" s="871"/>
      <c r="AI9" s="276"/>
      <c r="AJ9" s="277" t="s">
        <v>225</v>
      </c>
      <c r="AK9" s="271"/>
      <c r="AL9" s="271"/>
      <c r="AM9" s="271"/>
      <c r="AN9" s="271"/>
      <c r="AO9" s="271"/>
      <c r="AP9" s="271"/>
      <c r="AQ9" s="277" t="s">
        <v>226</v>
      </c>
      <c r="AR9" s="271"/>
      <c r="AS9" s="271"/>
      <c r="AT9" s="281"/>
      <c r="AU9" s="271"/>
      <c r="AV9" s="271"/>
      <c r="AW9" s="271"/>
      <c r="AX9" s="271"/>
      <c r="AY9" s="271"/>
      <c r="BH9" s="265" t="s">
        <v>268</v>
      </c>
      <c r="BI9" s="265">
        <v>48</v>
      </c>
      <c r="BQ9" s="207"/>
      <c r="BR9" s="207"/>
    </row>
    <row r="10" spans="2:70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S10" s="216" t="str">
        <f>IF(S4="INGLES","SALESPERSON","VENDEDOR(A)")</f>
        <v>VENDEDOR(A)</v>
      </c>
      <c r="T10" s="216"/>
      <c r="U10" s="216"/>
      <c r="V10" s="216"/>
      <c r="Z10" s="216"/>
      <c r="AA10" s="216"/>
      <c r="AB10" s="191"/>
      <c r="AC10" s="217" t="str">
        <f>IF(S4="INGLES","DATE","FECHA")</f>
        <v>FECHA</v>
      </c>
      <c r="AF10" s="871" t="s">
        <v>188</v>
      </c>
      <c r="AG10" s="872">
        <v>0</v>
      </c>
      <c r="AH10" s="188"/>
      <c r="AI10" s="276"/>
      <c r="AR10" s="276"/>
      <c r="AS10" s="276"/>
      <c r="AT10" s="276"/>
      <c r="AU10" s="276"/>
      <c r="AV10" s="276"/>
      <c r="AW10" s="276"/>
      <c r="AX10" s="276"/>
      <c r="AY10" s="276"/>
      <c r="BD10" s="284"/>
      <c r="BE10" s="284"/>
      <c r="BF10" s="284"/>
      <c r="BH10" s="265" t="s">
        <v>269</v>
      </c>
      <c r="BI10" s="265">
        <v>60</v>
      </c>
      <c r="BP10" s="207"/>
      <c r="BQ10" s="207"/>
      <c r="BR10" s="207"/>
    </row>
    <row r="11" spans="2:70" ht="15.75" thickBot="1" x14ac:dyDescent="0.3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670" t="s">
        <v>732</v>
      </c>
      <c r="V11" s="670" t="s">
        <v>733</v>
      </c>
      <c r="W11" s="224"/>
      <c r="X11" s="670" t="s">
        <v>732</v>
      </c>
      <c r="Y11" s="670" t="s">
        <v>733</v>
      </c>
      <c r="Z11" s="224"/>
      <c r="AA11" s="224"/>
      <c r="AB11" s="224"/>
      <c r="AC11" s="225"/>
      <c r="AD11" s="181"/>
      <c r="BD11" s="284"/>
      <c r="BH11" s="265" t="s">
        <v>270</v>
      </c>
      <c r="BI11" s="265">
        <v>72</v>
      </c>
      <c r="BQ11" s="207"/>
      <c r="BR11" s="207"/>
    </row>
    <row r="12" spans="2:70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7"/>
      <c r="T12" s="888" t="str">
        <f>B12</f>
        <v>CORTINAS</v>
      </c>
      <c r="U12" s="528" t="str">
        <f>T12</f>
        <v>CORTINAS</v>
      </c>
      <c r="V12" s="664" t="str">
        <f>T12</f>
        <v>CORTINAS</v>
      </c>
      <c r="W12" s="889" t="str">
        <f>P12</f>
        <v>HERRAJE</v>
      </c>
      <c r="X12" s="187" t="str">
        <f>W12</f>
        <v>HERRAJE</v>
      </c>
      <c r="Y12" s="187" t="str">
        <f>W12</f>
        <v>HERRAJE</v>
      </c>
      <c r="Z12" s="528" t="s">
        <v>745</v>
      </c>
      <c r="AA12" s="528" t="str">
        <f>Z12</f>
        <v>DRAPES+HW</v>
      </c>
      <c r="AB12" s="920" t="str">
        <f>IF(S4="INGLES","TOTALS","TOTALES")</f>
        <v>TOTALES</v>
      </c>
      <c r="AC12" s="921"/>
      <c r="AD12" s="181"/>
      <c r="AE12" s="918" t="s">
        <v>256</v>
      </c>
      <c r="AF12" s="918"/>
      <c r="AG12" s="918"/>
      <c r="AH12" s="919"/>
      <c r="AI12" s="285" t="s">
        <v>257</v>
      </c>
      <c r="AJ12" s="286"/>
      <c r="AK12" s="286"/>
      <c r="AL12" s="286"/>
      <c r="AM12" s="286"/>
      <c r="AN12" s="286"/>
      <c r="AO12" s="286"/>
      <c r="AP12" s="286"/>
      <c r="AQ12" s="287"/>
      <c r="AR12" s="911" t="s">
        <v>258</v>
      </c>
      <c r="AS12" s="913"/>
      <c r="AT12" s="913"/>
      <c r="AU12" s="913"/>
      <c r="AV12" s="913"/>
      <c r="AW12" s="912"/>
      <c r="AX12" s="911" t="s">
        <v>189</v>
      </c>
      <c r="AY12" s="912"/>
      <c r="BA12" s="284"/>
      <c r="BQ12" s="207"/>
      <c r="BR12" s="207"/>
    </row>
    <row r="13" spans="2:70" x14ac:dyDescent="0.2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892"/>
      <c r="U13" s="658" t="s">
        <v>744</v>
      </c>
      <c r="V13" s="229" t="s">
        <v>744</v>
      </c>
      <c r="W13" s="890"/>
      <c r="X13" s="226" t="s">
        <v>744</v>
      </c>
      <c r="Y13" s="689" t="s">
        <v>744</v>
      </c>
      <c r="Z13" s="660" t="s">
        <v>727</v>
      </c>
      <c r="AA13" s="660" t="s">
        <v>727</v>
      </c>
      <c r="AB13" s="890"/>
      <c r="AC13" s="891"/>
      <c r="AD13" s="181"/>
      <c r="AE13" s="877"/>
      <c r="AF13" s="878">
        <f>AG9</f>
        <v>0.05</v>
      </c>
      <c r="AG13" s="879"/>
      <c r="AH13" s="879"/>
      <c r="AI13" s="291"/>
      <c r="AJ13" s="292"/>
      <c r="AK13" s="292"/>
      <c r="AL13" s="292"/>
      <c r="AM13" s="292"/>
      <c r="AN13" s="293"/>
      <c r="AO13" s="293"/>
      <c r="AP13" s="292"/>
      <c r="AQ13" s="294"/>
      <c r="AR13" s="291"/>
      <c r="AS13" s="292"/>
      <c r="AT13" s="292"/>
      <c r="AU13" s="292"/>
      <c r="AV13" s="292"/>
      <c r="AW13" s="294"/>
      <c r="AX13" s="295">
        <v>0.08</v>
      </c>
      <c r="AY13" s="294"/>
      <c r="AZ13" s="291"/>
      <c r="BA13" s="292"/>
      <c r="BB13" s="292"/>
      <c r="BC13" s="292"/>
      <c r="BD13" s="292"/>
      <c r="BE13" s="292"/>
      <c r="BF13" s="292"/>
      <c r="BG13" s="292"/>
      <c r="BH13" s="292"/>
      <c r="BI13" s="292"/>
      <c r="BJ13" s="294"/>
      <c r="BQ13" s="207"/>
      <c r="BR13" s="207"/>
    </row>
    <row r="14" spans="2:70" ht="64.5" thickBot="1" x14ac:dyDescent="0.3">
      <c r="B14" s="183" t="str">
        <f>IF('FILL QUOTE-CALCULATIONS'!$S$4="INGLES","ITEM","ART.")</f>
        <v>ART.</v>
      </c>
      <c r="C14" s="182" t="str">
        <f>IF('FILL QUOTE-CALCULATIONS'!$S$4="INGLES","QTY.","CANT.")</f>
        <v>CANT.</v>
      </c>
      <c r="D14" s="182" t="str">
        <f>IF('FILL QUOTE-CALCULATIONS'!$S$4="INGLES","DRAW DIRECTION","DIRECCION DE CORTINA")</f>
        <v>DIRECCION DE CORTINA</v>
      </c>
      <c r="E14" s="182" t="str">
        <f>IF('FILL QUOTE-CALCULATIONS'!$S$4="INGLES","DRAPERY STYLE","ESTILO DE CORTINA")</f>
        <v>ESTILO DE CORTINA</v>
      </c>
      <c r="F14" s="182" t="str">
        <f>IF('FILL QUOTE-CALCULATIONS'!$S$4="INGLES","DRAPERY TYPE","TIPO DE CORTINA")</f>
        <v>TIPO DE CORTINA</v>
      </c>
      <c r="G14" s="182" t="str">
        <f>IF('FILL QUOTE-CALCULATIONS'!$S$4="INGLES","FULLNESS","AMPLITUD")</f>
        <v>AMPLITUD</v>
      </c>
      <c r="H14" s="198" t="str">
        <f>IF('FILL QUOTE-CALCULATIONS'!$S$4="INGLES","'STOCK','LINE' or 'C.O.M.'  FABRICS","TELAS 'EN EXISTENCIA', 'POR ORDENAR' ó 'DEL CLIENTE'")</f>
        <v>TELAS 'EN EXISTENCIA', 'POR ORDENAR' ó 'DEL CLIENTE'</v>
      </c>
      <c r="I14" s="182" t="str">
        <f>IF('FILL QUOTE-CALCULATIONS'!$S$4="INGLES","FABRIC TYPE","TIPO DE TELA")</f>
        <v>TIPO DE TELA</v>
      </c>
      <c r="J14" s="182" t="str">
        <f>IF('FILL QUOTE-CALCULATIONS'!$S$4="INGLES","FABRIC YARDAGE PER QTY. REQUIRED","YARDAGE SEGUN CANTIDAD REQUERIDA")</f>
        <v>YARDAGE SEGUN CANTIDAD REQUERIDA</v>
      </c>
      <c r="K14" s="182" t="str">
        <f>IF('FILL QUOTE-CALCULATIONS'!$S$4="INGLES","FABRIC PATTERN AND COLOR NAME","NOMBRE y COLOR DE TELA")</f>
        <v>NOMBRE y COLOR DE TELA</v>
      </c>
      <c r="L14" s="182" t="str">
        <f>IF('FILL QUOTE-CALCULATIONS'!$S$4="INGLES","LINING TYPE","TIPO DE LINING")</f>
        <v>TIPO DE LINING</v>
      </c>
      <c r="M14" s="182" t="str">
        <f>IF('FILL QUOTE-CALCULATIONS'!$S$4="INGLES","ROOM / AREA NAME","NOMBRE DEL CUARTO ó AREA")</f>
        <v>NOMBRE DEL CUARTO ó AREA</v>
      </c>
      <c r="N14" s="182" t="str">
        <f>IF('FILL QUOTE-CALCULATIONS'!$S$4="INGLES","ROD SIZE","ANCHO DE RIEL")</f>
        <v>ANCHO DE RIEL</v>
      </c>
      <c r="O14" s="184" t="str">
        <f>IF('FILL QUOTE-CALCULATIONS'!$S$4="INGLES","DRAPERY FINISHED SIZE","ALTURA DE CORTINA")</f>
        <v>ALTURA DE CORTINA</v>
      </c>
      <c r="P14" s="183" t="str">
        <f>IF('FILL QUOTE-CALCULATIONS'!$S$4="INGLES","MOUNTING","MONTAJE")</f>
        <v>MONTAJE</v>
      </c>
      <c r="Q14" s="182" t="str">
        <f>IF('FILL QUOTE-CALCULATIONS'!$S$4="INGLES","HARDWARE TYPE","TIPO HERRAJE")</f>
        <v>TIPO HERRAJE</v>
      </c>
      <c r="R14" s="185" t="str">
        <f>IF('FILL QUOTE-CALCULATIONS'!$S$4="INGLES","HARDWARE COLOR","COLOR HERRAJE")</f>
        <v>COLOR HERRAJE</v>
      </c>
      <c r="S14" s="185" t="str">
        <f>IF('FILL QUOTE-CALCULATIONS'!$S$4="INGLES","BATON TYPE (in  the case that applies)","TIPO DE BASTON (en caso de que aplique)")</f>
        <v>TIPO DE BASTON (en caso de que aplique)</v>
      </c>
      <c r="T14" s="893" t="str">
        <f>IF('FILL QUOTE-CALCULATIONS'!$S$4="INGLES","UNIT PRICE","PRECIO UNITARIO")</f>
        <v>PRECIO UNITARIO</v>
      </c>
      <c r="U14" s="691" t="s">
        <v>723</v>
      </c>
      <c r="V14" s="184" t="s">
        <v>731</v>
      </c>
      <c r="W14" s="303" t="str">
        <f>IF('FILL QUOTE-CALCULATIONS'!$S4="INGLES","UNIT PRICE.","PRECIO UNITARIO")</f>
        <v>PRECIO UNITARIO</v>
      </c>
      <c r="X14" s="693" t="s">
        <v>723</v>
      </c>
      <c r="Y14" s="692" t="s">
        <v>731</v>
      </c>
      <c r="Z14" s="665" t="str">
        <f>IF('FILL QUOTE-CALCULATIONS'!$S$4="INGLES","UNIT PRICE.","PRECIO UNITARIO")</f>
        <v>PRECIO UNITARIO</v>
      </c>
      <c r="AA14" s="666" t="str">
        <f>IF('FILL QUOTE-CALCULATIONS'!$S$4="INGLES","EXTENDED PRICE","PRECIO EXTENDIDO")</f>
        <v>PRECIO EXTENDIDO</v>
      </c>
      <c r="AB14" s="893" t="str">
        <f>IF('FILL QUOTE-CALCULATIONS'!$S$4="INGLES","UNIT PRICE.","PRECIO UNITARIO")</f>
        <v>PRECIO UNITARIO</v>
      </c>
      <c r="AC14" s="303" t="str">
        <f>IF('FILL QUOTE-CALCULATIONS'!$S$4="INGLES","EXTENDED PRICE","PRECIO EXTENDIDO")</f>
        <v>PRECIO EXTENDIDO</v>
      </c>
      <c r="AD14" s="181"/>
      <c r="AE14" s="880" t="s">
        <v>228</v>
      </c>
      <c r="AF14" s="881" t="s">
        <v>229</v>
      </c>
      <c r="AG14" s="881" t="s">
        <v>230</v>
      </c>
      <c r="AH14" s="881" t="s">
        <v>231</v>
      </c>
      <c r="AI14" s="298" t="s">
        <v>232</v>
      </c>
      <c r="AJ14" s="299" t="s">
        <v>233</v>
      </c>
      <c r="AK14" s="299" t="s">
        <v>234</v>
      </c>
      <c r="AL14" s="299" t="s">
        <v>255</v>
      </c>
      <c r="AM14" s="299" t="s">
        <v>235</v>
      </c>
      <c r="AN14" s="300" t="s">
        <v>236</v>
      </c>
      <c r="AO14" s="300" t="s">
        <v>237</v>
      </c>
      <c r="AP14" s="299" t="s">
        <v>238</v>
      </c>
      <c r="AQ14" s="301" t="s">
        <v>239</v>
      </c>
      <c r="AR14" s="298" t="s">
        <v>232</v>
      </c>
      <c r="AS14" s="299" t="s">
        <v>233</v>
      </c>
      <c r="AT14" s="299" t="s">
        <v>240</v>
      </c>
      <c r="AU14" s="299" t="s">
        <v>241</v>
      </c>
      <c r="AV14" s="299" t="s">
        <v>238</v>
      </c>
      <c r="AW14" s="301" t="s">
        <v>239</v>
      </c>
      <c r="AX14" s="298" t="s">
        <v>242</v>
      </c>
      <c r="AY14" s="301" t="s">
        <v>243</v>
      </c>
      <c r="AZ14" s="298" t="s">
        <v>244</v>
      </c>
      <c r="BA14" s="299" t="s">
        <v>245</v>
      </c>
      <c r="BB14" s="299" t="s">
        <v>246</v>
      </c>
      <c r="BC14" s="299" t="s">
        <v>247</v>
      </c>
      <c r="BD14" s="299" t="s">
        <v>248</v>
      </c>
      <c r="BE14" s="299" t="s">
        <v>249</v>
      </c>
      <c r="BF14" s="302" t="s">
        <v>250</v>
      </c>
      <c r="BG14" s="299" t="s">
        <v>251</v>
      </c>
      <c r="BH14" s="299" t="s">
        <v>252</v>
      </c>
      <c r="BI14" s="302" t="s">
        <v>253</v>
      </c>
      <c r="BJ14" s="303" t="s">
        <v>254</v>
      </c>
    </row>
    <row r="15" spans="2:70" x14ac:dyDescent="0.25">
      <c r="B15" s="230">
        <v>1</v>
      </c>
      <c r="C15" s="180">
        <v>1</v>
      </c>
      <c r="D15" s="178" t="s">
        <v>298</v>
      </c>
      <c r="E15" s="179" t="s">
        <v>131</v>
      </c>
      <c r="F15" s="179" t="s">
        <v>136</v>
      </c>
      <c r="G15" s="671">
        <v>2</v>
      </c>
      <c r="H15" s="905" t="s">
        <v>187</v>
      </c>
      <c r="I15" s="905" t="s">
        <v>321</v>
      </c>
      <c r="J15" s="179" t="str">
        <f t="shared" ref="J15:J22" si="0">IF(OR(C15="",C15&lt;1),"",IF(H15="C.O.M.",CEILING(AQ15,0.5),""))</f>
        <v/>
      </c>
      <c r="K15" s="672" t="s">
        <v>784</v>
      </c>
      <c r="L15" s="179" t="s">
        <v>122</v>
      </c>
      <c r="M15" s="672" t="s">
        <v>751</v>
      </c>
      <c r="N15" s="673">
        <v>108</v>
      </c>
      <c r="O15" s="673">
        <v>115.5</v>
      </c>
      <c r="P15" s="197" t="s">
        <v>287</v>
      </c>
      <c r="Q15" s="178" t="s">
        <v>736</v>
      </c>
      <c r="R15" s="176" t="s">
        <v>750</v>
      </c>
      <c r="S15" s="179" t="s">
        <v>289</v>
      </c>
      <c r="T15" s="894">
        <f t="shared" ref="T15:T62" si="1">IF(E15="",0,IF(OR(C15&lt;1,C15=""),"",BF15))</f>
        <v>587.25</v>
      </c>
      <c r="U15" s="668">
        <v>0.4</v>
      </c>
      <c r="V15" s="669">
        <v>0.5</v>
      </c>
      <c r="W15" s="895">
        <f t="shared" ref="W15:W62" si="2">IF(OR(C15&lt;1,C15=""),"",BI15)</f>
        <v>98.5</v>
      </c>
      <c r="X15" s="694">
        <v>0.4</v>
      </c>
      <c r="Y15" s="690">
        <v>0.3</v>
      </c>
      <c r="Z15" s="667">
        <f>T15*IF($L$4="RESIDENCIAL",1-U15,1-V15)+W15*IF($L$4="RESIDENCIAL",1-X15,1-Y15)</f>
        <v>411.44999999999993</v>
      </c>
      <c r="AA15" s="659">
        <f>IF(E15="",0,IF(OR(C15&lt;1,C15=""),"",IF($S$3="PESOS",Z15*C15*$AC$4,Z15*C15)))</f>
        <v>411.44999999999993</v>
      </c>
      <c r="AB15" s="894">
        <f t="shared" ref="AB15:AB62" si="3">IF(E15="",0,IF(OR(C15&lt;1,C15=""),"",T15+W15))</f>
        <v>685.75</v>
      </c>
      <c r="AC15" s="895">
        <f>IF(E15="",0,IF(OR(C15&lt;1,C15=""),"",IF($S$3="PESOS",AB15*C15*$AC$4, AB15*C15)))</f>
        <v>685.75</v>
      </c>
      <c r="AD15" s="181"/>
      <c r="AE15" s="882">
        <f t="shared" ref="AE15:AE62" si="4">IF(C15="","",$AG$6+$AG$7+$AG$8)</f>
        <v>12.5</v>
      </c>
      <c r="AF15" s="882">
        <f t="shared" ref="AF15:AF62" si="5">IF(C15="","",N15*$AF$13)</f>
        <v>5.4</v>
      </c>
      <c r="AG15" s="882">
        <f t="shared" ref="AG15:AG62" si="6">IF(C15="","",$AG$3*2+1)</f>
        <v>9</v>
      </c>
      <c r="AH15" s="883">
        <f t="shared" ref="AH15:AH62" si="7">IF(C15="","",$AG$4*2)</f>
        <v>8</v>
      </c>
      <c r="AI15" s="306">
        <f t="shared" ref="AI15:AI62" si="8">IF(C15="","",N15*G15+AE15+AF15)</f>
        <v>233.9</v>
      </c>
      <c r="AJ15" s="307">
        <f t="shared" ref="AJ15:AJ62" si="9">IF(C15="","",O15+AG15+AH15)</f>
        <v>132.5</v>
      </c>
      <c r="AK15" s="307">
        <f t="shared" ref="AK15:AK62" si="10">IF(C15="","",IF(OR(F15="SHEER",F15="STAT. SHEER"),118,54))</f>
        <v>54</v>
      </c>
      <c r="AL15" s="308" t="str">
        <f t="shared" ref="AL15:AL62" si="11">IF(C15="","",IF(AK15&lt;65,"VERTICAL",IF(AJ15&gt;AK15,"VERTICAL","RAILROAD")))</f>
        <v>VERTICAL</v>
      </c>
      <c r="AM15" s="308">
        <f t="shared" ref="AM15:AM62" si="12">IF(C15="","",AI15/AK15)</f>
        <v>4.3314814814814815</v>
      </c>
      <c r="AN15" s="309">
        <f t="shared" ref="AN15:AN62" si="13">IF(C15="","",IF(AL15="RAILROAD","N/A",IF(AK15&lt;60,CEILING(AM15,0.5),CEILING(AM15,0.25))))</f>
        <v>4.5</v>
      </c>
      <c r="AO15" s="309">
        <f t="shared" ref="AO15:AO62" si="14">IF(C15="","",IF(AL15="VERTICAL",AN15*AK15/54,CEILING(AI15/54,0.5)))</f>
        <v>4.5</v>
      </c>
      <c r="AP15" s="308">
        <f t="shared" ref="AP15:AP62" si="15">IF(C15="","",IF(AL15="VERTICAL",CEILING(AN15*AJ15/36/0.93,0.25),CEILING(AI15/36/0.93,0.25)))</f>
        <v>18</v>
      </c>
      <c r="AQ15" s="310">
        <f t="shared" ref="AQ15:AQ62" si="16">IF(C15="","",AP15*C15)</f>
        <v>18</v>
      </c>
      <c r="AR15" s="306">
        <f t="shared" ref="AR15:AR62" si="17">IF(C15="","",CEILING(AI15,1))</f>
        <v>234</v>
      </c>
      <c r="AS15" s="308">
        <f t="shared" ref="AS15:AS62" si="18">IF(C15="","",O15+(2*$AG$3)+2+1)</f>
        <v>126.5</v>
      </c>
      <c r="AT15" s="308">
        <f t="shared" ref="AT15:AT62" si="19">IF(C15="","",IF(OR(L15="3-PASS WW",L15="3-PASS IV-EC"),110,54))</f>
        <v>54</v>
      </c>
      <c r="AU15" s="308" t="str">
        <f t="shared" ref="AU15:AU62" si="20">IF(C15="","",IF(AT15&gt;AS15,"RAILROAD","VERTICAL"))</f>
        <v>VERTICAL</v>
      </c>
      <c r="AV15" s="308">
        <f t="shared" ref="AV15:AV62" si="21">IF(C15="","",IF(AU15="RAILROAD",CEILING(AR15/36/0.94,0.1),CEILING(CEILING(AR15/AT15,0.25)*AS15/36/0.94,0.1)))</f>
        <v>16.900000000000002</v>
      </c>
      <c r="AW15" s="310">
        <f t="shared" ref="AW15:AW62" si="22">IF(C15="","",AV15*C15)</f>
        <v>16.900000000000002</v>
      </c>
      <c r="AX15" s="311">
        <f t="shared" ref="AX15:AX62" si="23">IF(C15="","",N15/12/(1-$AX$13))</f>
        <v>9.7826086956521738</v>
      </c>
      <c r="AY15" s="308">
        <f t="shared" ref="AY15:AY24" si="24">IF(C15="","",IF(S15="N/A","N/A",IF(O15&lt;100.01,36,IF(O15&gt;136.01,"N/A",IF(AND(O15&gt;100.011,O15&lt;112.01),48,IF(AND(O15&gt;112.011,O15&lt;124.01),60,72))))))</f>
        <v>60</v>
      </c>
      <c r="AZ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A15" s="313">
        <f t="shared" ref="BA15:BA62" si="25">IF(C15="","",AP15*AZ15)</f>
        <v>502.20000000000005</v>
      </c>
      <c r="BB15" s="314">
        <f>IF(C15="","",IF(L15="N/A",0,VLOOKUP(L15,'COST - SELL'!$B$60:$I$63,8,0)))</f>
        <v>0</v>
      </c>
      <c r="BC15" s="313">
        <f t="shared" ref="BC15:BC62" si="26">IF(C15="","",IF(BB15=0,0,BB15*AV15))</f>
        <v>0</v>
      </c>
      <c r="BD15" s="315">
        <f>IF(C15="","",IF(H15="C.O.M.",VLOOKUP(F15,'COST - SELL'!$J$11:$N$19,5,0),VLOOKUP(F15,'COST - SELL'!$B$11:$H$19,7,0)))</f>
        <v>18.900000000000002</v>
      </c>
      <c r="BE15" s="315">
        <f t="shared" ref="BE15:BE62" si="27">IF(C15="","",BD15*AO15)</f>
        <v>85.050000000000011</v>
      </c>
      <c r="BF15" s="313">
        <f>IF(C15="","",CEILING(BA15+BC15+BE15,0.05))</f>
        <v>587.25</v>
      </c>
      <c r="BG15" s="316">
        <f>IF(C15="","",IF(Q15="N/A",0,VLOOKUP(Q15,'COST - SELL'!$B$80:$I$91,8,0)*'FILL QUOTE-CALCULATIONS'!AX15))</f>
        <v>83.152173913043484</v>
      </c>
      <c r="BH15" s="316">
        <f>IF(C15="","",IF(S15="N/A",0,IF(AY15="N/A",0,INDEX('COST - SELL'!$O$70:$S$73,MATCH('FILL QUOTE-CALCULATIONS'!S15,'COST - SELL'!$O$70:$O$73,0),MATCH('FILL QUOTE-CALCULATIONS'!AY15,'COST - SELL'!$O$70:$S$70,0)))))</f>
        <v>15.3</v>
      </c>
      <c r="BI15" s="316">
        <f t="shared" ref="BI15:BI62" si="28">IF(C15="","",CEILING(BG15+BH15,0.05))</f>
        <v>98.5</v>
      </c>
      <c r="BJ15" s="316">
        <f t="shared" ref="BJ15:BJ62" si="29">IF(C15="","",BF15+BI15)</f>
        <v>685.75</v>
      </c>
      <c r="BL15" s="222">
        <f>BG15/AX15</f>
        <v>8.5</v>
      </c>
      <c r="BM15" s="222"/>
      <c r="BN15" s="222"/>
    </row>
    <row r="16" spans="2:70" x14ac:dyDescent="0.25">
      <c r="B16" s="231">
        <f>1+B15</f>
        <v>2</v>
      </c>
      <c r="C16" s="180">
        <v>1</v>
      </c>
      <c r="D16" s="178" t="s">
        <v>298</v>
      </c>
      <c r="E16" s="179" t="s">
        <v>131</v>
      </c>
      <c r="F16" s="179" t="s">
        <v>116</v>
      </c>
      <c r="G16" s="671">
        <v>2</v>
      </c>
      <c r="H16" s="905" t="s">
        <v>187</v>
      </c>
      <c r="I16" s="905" t="s">
        <v>323</v>
      </c>
      <c r="J16" s="179" t="str">
        <f t="shared" si="0"/>
        <v/>
      </c>
      <c r="K16" s="672" t="s">
        <v>783</v>
      </c>
      <c r="L16" s="179" t="s">
        <v>122</v>
      </c>
      <c r="M16" s="672" t="s">
        <v>751</v>
      </c>
      <c r="N16" s="673">
        <v>108</v>
      </c>
      <c r="O16" s="673">
        <v>115.5</v>
      </c>
      <c r="P16" s="197" t="s">
        <v>287</v>
      </c>
      <c r="Q16" s="178" t="s">
        <v>736</v>
      </c>
      <c r="R16" s="176" t="s">
        <v>750</v>
      </c>
      <c r="S16" s="179" t="s">
        <v>289</v>
      </c>
      <c r="T16" s="894">
        <f t="shared" si="1"/>
        <v>325.45000000000005</v>
      </c>
      <c r="U16" s="668">
        <v>0.4</v>
      </c>
      <c r="V16" s="669">
        <v>0.5</v>
      </c>
      <c r="W16" s="895">
        <f t="shared" si="2"/>
        <v>98.5</v>
      </c>
      <c r="X16" s="694">
        <v>0.4</v>
      </c>
      <c r="Y16" s="690">
        <v>0.3</v>
      </c>
      <c r="Z16" s="667">
        <f>IF(E16="",0,T16*IF($L$4="RESIDENCIAL",1-U16,1-V16)+W16*IF($L$4="RESIDENCIAL",1-X16,1-Y16))</f>
        <v>254.37</v>
      </c>
      <c r="AA16" s="659">
        <f>IF(E16="",0,IF(OR(C16&lt;1,C16=""),"",IF($S$3="PESOS",Z16*C16*$AC$4, Z16*C16)))</f>
        <v>254.37</v>
      </c>
      <c r="AB16" s="894">
        <f t="shared" si="3"/>
        <v>423.95000000000005</v>
      </c>
      <c r="AC16" s="895">
        <f>IF(E16="",0,IF(OR(C16&lt;1,C16=""),"",IF($S$3="PESOS",AB16*C16*$AC$4, AB16*C16)))</f>
        <v>423.95000000000005</v>
      </c>
      <c r="AD16" s="181"/>
      <c r="AE16" s="882">
        <f t="shared" si="4"/>
        <v>12.5</v>
      </c>
      <c r="AF16" s="882">
        <f t="shared" si="5"/>
        <v>5.4</v>
      </c>
      <c r="AG16" s="882">
        <f t="shared" si="6"/>
        <v>9</v>
      </c>
      <c r="AH16" s="883">
        <f t="shared" si="7"/>
        <v>8</v>
      </c>
      <c r="AI16" s="317">
        <f t="shared" si="8"/>
        <v>233.9</v>
      </c>
      <c r="AJ16" s="304">
        <f t="shared" si="9"/>
        <v>132.5</v>
      </c>
      <c r="AK16" s="304">
        <f t="shared" si="10"/>
        <v>118</v>
      </c>
      <c r="AL16" s="318" t="str">
        <f t="shared" si="11"/>
        <v>VERTICAL</v>
      </c>
      <c r="AM16" s="318">
        <f t="shared" si="12"/>
        <v>1.9822033898305085</v>
      </c>
      <c r="AN16" s="319">
        <f t="shared" si="13"/>
        <v>2</v>
      </c>
      <c r="AO16" s="319">
        <f t="shared" si="14"/>
        <v>4.3703703703703702</v>
      </c>
      <c r="AP16" s="318">
        <f t="shared" si="15"/>
        <v>8</v>
      </c>
      <c r="AQ16" s="320">
        <f t="shared" si="16"/>
        <v>8</v>
      </c>
      <c r="AR16" s="306">
        <f t="shared" si="17"/>
        <v>234</v>
      </c>
      <c r="AS16" s="308">
        <f t="shared" si="18"/>
        <v>126.5</v>
      </c>
      <c r="AT16" s="308">
        <f t="shared" si="19"/>
        <v>54</v>
      </c>
      <c r="AU16" s="308" t="str">
        <f t="shared" si="20"/>
        <v>VERTICAL</v>
      </c>
      <c r="AV16" s="308">
        <f t="shared" si="21"/>
        <v>16.900000000000002</v>
      </c>
      <c r="AW16" s="310">
        <f t="shared" si="22"/>
        <v>16.900000000000002</v>
      </c>
      <c r="AX16" s="321">
        <f t="shared" si="23"/>
        <v>9.7826086956521738</v>
      </c>
      <c r="AY16" s="308">
        <f t="shared" si="24"/>
        <v>60</v>
      </c>
      <c r="AZ16" s="312">
        <f>IF(C16="","",IF(H16="STOCK",VLOOKUP(I16,'COST - SELL'!$B$26:$G$29,6,0),IF(H16="LINE-ATELIER",VLOOKUP(I16,'COST - SELL'!$J$26:$Q$29,8,0),IF(H16="LINE-VTLUX",VLOOKUP(I16,'COST - SELL'!$B$36:$I$51,8,0),0))))</f>
        <v>31.8</v>
      </c>
      <c r="BA16" s="313">
        <f t="shared" si="25"/>
        <v>254.4</v>
      </c>
      <c r="BB16" s="314">
        <f>IF(C16="","",IF(L16="N/A",0,VLOOKUP(L16,'COST - SELL'!$B$60:$I$63,8,0)))</f>
        <v>0</v>
      </c>
      <c r="BC16" s="313">
        <f t="shared" si="26"/>
        <v>0</v>
      </c>
      <c r="BD16" s="315">
        <f>IF(C16="","",IF(H16="C.O.M.",VLOOKUP(F16,'COST - SELL'!$J$11:$N$19,5,0),VLOOKUP(F16,'COST - SELL'!$B$11:$H$19,7,0)))</f>
        <v>16.25</v>
      </c>
      <c r="BE16" s="315">
        <f t="shared" si="27"/>
        <v>71.018518518518519</v>
      </c>
      <c r="BF16" s="313">
        <f t="shared" ref="BF16:BF62" si="30">IF(C16="","",CEILING(BA16+BC16+BE16,0.05))</f>
        <v>325.45000000000005</v>
      </c>
      <c r="BG16" s="316">
        <f>IF(C16="","",IF(Q16="N/A",0,VLOOKUP(Q16,'COST - SELL'!$B$80:$I$91,8,0)*'FILL QUOTE-CALCULATIONS'!AX16))</f>
        <v>83.152173913043484</v>
      </c>
      <c r="BH16" s="316">
        <f>IF(C16="","",IF(S16="N/A",0,IF(AY16="N/A",0,INDEX('COST - SELL'!$O$70:$S$73,MATCH('FILL QUOTE-CALCULATIONS'!S16,'COST - SELL'!$O$70:$O$73,0),MATCH('FILL QUOTE-CALCULATIONS'!AY16,'COST - SELL'!$O$70:$S$70,0)))))</f>
        <v>15.3</v>
      </c>
      <c r="BI16" s="316">
        <f t="shared" si="28"/>
        <v>98.5</v>
      </c>
      <c r="BJ16" s="316">
        <f t="shared" si="29"/>
        <v>423.95000000000005</v>
      </c>
    </row>
    <row r="17" spans="2:62" x14ac:dyDescent="0.25">
      <c r="B17" s="231">
        <f t="shared" ref="B17:B62" si="31">1+B16</f>
        <v>3</v>
      </c>
      <c r="C17" s="180">
        <v>1</v>
      </c>
      <c r="D17" s="178" t="s">
        <v>298</v>
      </c>
      <c r="E17" s="179" t="s">
        <v>131</v>
      </c>
      <c r="F17" s="179" t="s">
        <v>136</v>
      </c>
      <c r="G17" s="671">
        <v>2</v>
      </c>
      <c r="H17" s="905" t="s">
        <v>187</v>
      </c>
      <c r="I17" s="905" t="s">
        <v>321</v>
      </c>
      <c r="J17" s="179" t="str">
        <f t="shared" si="0"/>
        <v/>
      </c>
      <c r="K17" s="672" t="s">
        <v>784</v>
      </c>
      <c r="L17" s="179" t="s">
        <v>122</v>
      </c>
      <c r="M17" s="672" t="s">
        <v>752</v>
      </c>
      <c r="N17" s="673">
        <v>139.5</v>
      </c>
      <c r="O17" s="673">
        <v>116.5</v>
      </c>
      <c r="P17" s="197" t="s">
        <v>287</v>
      </c>
      <c r="Q17" s="178" t="s">
        <v>736</v>
      </c>
      <c r="R17" s="176" t="s">
        <v>750</v>
      </c>
      <c r="S17" s="179" t="s">
        <v>289</v>
      </c>
      <c r="T17" s="894">
        <f t="shared" si="1"/>
        <v>783</v>
      </c>
      <c r="U17" s="668">
        <v>0.4</v>
      </c>
      <c r="V17" s="669">
        <v>0.5</v>
      </c>
      <c r="W17" s="895">
        <f t="shared" si="2"/>
        <v>122.75</v>
      </c>
      <c r="X17" s="694">
        <v>0.4</v>
      </c>
      <c r="Y17" s="690">
        <v>0.3</v>
      </c>
      <c r="Z17" s="667">
        <f t="shared" ref="Z17:Z62" si="32">IF(E17="",0,T17*IF($L$4="RESIDENCIAL",1-U17,1-V17)+W17*IF($L$4="RESIDENCIAL",1-X17,1-Y17))</f>
        <v>543.44999999999993</v>
      </c>
      <c r="AA17" s="659">
        <f t="shared" ref="AA17:AA62" si="33">IF(E17="",0,IF(OR(C17&lt;1,C17=""),"",IF($S$3="PESOS",Z17*C17*$AC$4, Z17*C17)))</f>
        <v>543.44999999999993</v>
      </c>
      <c r="AB17" s="894">
        <f t="shared" si="3"/>
        <v>905.75</v>
      </c>
      <c r="AC17" s="895">
        <f t="shared" ref="AC17:AC62" si="34">IF(E17="",0,IF(OR(C17&lt;1,C17=""),"",IF($S$3="PESOS",AB17*C17*$AC$4, AB17*C17)))</f>
        <v>905.75</v>
      </c>
      <c r="AD17" s="181"/>
      <c r="AE17" s="882">
        <f t="shared" si="4"/>
        <v>12.5</v>
      </c>
      <c r="AF17" s="882">
        <f t="shared" si="5"/>
        <v>6.9750000000000005</v>
      </c>
      <c r="AG17" s="882">
        <f t="shared" si="6"/>
        <v>9</v>
      </c>
      <c r="AH17" s="883">
        <f t="shared" si="7"/>
        <v>8</v>
      </c>
      <c r="AI17" s="317">
        <f t="shared" si="8"/>
        <v>298.47500000000002</v>
      </c>
      <c r="AJ17" s="304">
        <f t="shared" si="9"/>
        <v>133.5</v>
      </c>
      <c r="AK17" s="304">
        <f t="shared" si="10"/>
        <v>54</v>
      </c>
      <c r="AL17" s="318" t="str">
        <f t="shared" si="11"/>
        <v>VERTICAL</v>
      </c>
      <c r="AM17" s="318">
        <f t="shared" si="12"/>
        <v>5.5273148148148152</v>
      </c>
      <c r="AN17" s="319">
        <f t="shared" si="13"/>
        <v>6</v>
      </c>
      <c r="AO17" s="319">
        <f t="shared" si="14"/>
        <v>6</v>
      </c>
      <c r="AP17" s="318">
        <f t="shared" si="15"/>
        <v>24</v>
      </c>
      <c r="AQ17" s="320">
        <f t="shared" si="16"/>
        <v>24</v>
      </c>
      <c r="AR17" s="306">
        <f t="shared" si="17"/>
        <v>299</v>
      </c>
      <c r="AS17" s="308">
        <f t="shared" si="18"/>
        <v>127.5</v>
      </c>
      <c r="AT17" s="308">
        <f t="shared" si="19"/>
        <v>54</v>
      </c>
      <c r="AU17" s="308" t="str">
        <f t="shared" si="20"/>
        <v>VERTICAL</v>
      </c>
      <c r="AV17" s="308">
        <f t="shared" si="21"/>
        <v>21.700000000000003</v>
      </c>
      <c r="AW17" s="310">
        <f t="shared" si="22"/>
        <v>21.700000000000003</v>
      </c>
      <c r="AX17" s="321">
        <f t="shared" si="23"/>
        <v>12.635869565217391</v>
      </c>
      <c r="AY17" s="308">
        <f t="shared" si="24"/>
        <v>60</v>
      </c>
      <c r="AZ17" s="312">
        <f>IF(C17="","",IF(H17="STOCK",VLOOKUP(I17,'COST - SELL'!$B$26:$G$29,6,0),IF(H17="LINE-ATELIER",VLOOKUP(I17,'COST - SELL'!$J$26:$Q$29,8,0),IF(H17="LINE-VTLUX",VLOOKUP(I17,'COST - SELL'!$B$36:$I$51,8,0),0))))</f>
        <v>27.900000000000002</v>
      </c>
      <c r="BA17" s="313">
        <f t="shared" si="25"/>
        <v>669.6</v>
      </c>
      <c r="BB17" s="314">
        <f>IF(C17="","",IF(L17="N/A",0,VLOOKUP(L17,'COST - SELL'!$B$60:$I$63,8,0)))</f>
        <v>0</v>
      </c>
      <c r="BC17" s="313">
        <f t="shared" si="26"/>
        <v>0</v>
      </c>
      <c r="BD17" s="315">
        <f>IF(C17="","",IF(H17="C.O.M.",VLOOKUP(F17,'COST - SELL'!$J$11:$N$19,5,0),VLOOKUP(F17,'COST - SELL'!$B$11:$H$19,7,0)))</f>
        <v>18.900000000000002</v>
      </c>
      <c r="BE17" s="315">
        <f t="shared" si="27"/>
        <v>113.4</v>
      </c>
      <c r="BF17" s="313">
        <f t="shared" si="30"/>
        <v>783</v>
      </c>
      <c r="BG17" s="316">
        <f>IF(C17="","",IF(Q17="N/A",0,VLOOKUP(Q17,'COST - SELL'!$B$80:$I$91,8,0)*'FILL QUOTE-CALCULATIONS'!AX17))</f>
        <v>107.40489130434781</v>
      </c>
      <c r="BH17" s="316">
        <f>IF(C17="","",IF(S17="N/A",0,IF(AY17="N/A",0,INDEX('COST - SELL'!$O$70:$S$73,MATCH('FILL QUOTE-CALCULATIONS'!S17,'COST - SELL'!$O$70:$O$73,0),MATCH('FILL QUOTE-CALCULATIONS'!AY17,'COST - SELL'!$O$70:$S$70,0)))))</f>
        <v>15.3</v>
      </c>
      <c r="BI17" s="316">
        <f t="shared" si="28"/>
        <v>122.75</v>
      </c>
      <c r="BJ17" s="316">
        <f t="shared" si="29"/>
        <v>905.75</v>
      </c>
    </row>
    <row r="18" spans="2:62" x14ac:dyDescent="0.25">
      <c r="B18" s="231">
        <f t="shared" si="31"/>
        <v>4</v>
      </c>
      <c r="C18" s="180">
        <v>1</v>
      </c>
      <c r="D18" s="178" t="s">
        <v>298</v>
      </c>
      <c r="E18" s="179" t="s">
        <v>131</v>
      </c>
      <c r="F18" s="179" t="s">
        <v>116</v>
      </c>
      <c r="G18" s="671">
        <v>2</v>
      </c>
      <c r="H18" s="905" t="s">
        <v>187</v>
      </c>
      <c r="I18" s="905" t="s">
        <v>323</v>
      </c>
      <c r="J18" s="179" t="str">
        <f t="shared" si="0"/>
        <v/>
      </c>
      <c r="K18" s="672" t="s">
        <v>783</v>
      </c>
      <c r="L18" s="179" t="s">
        <v>122</v>
      </c>
      <c r="M18" s="672" t="s">
        <v>752</v>
      </c>
      <c r="N18" s="673">
        <v>139.5</v>
      </c>
      <c r="O18" s="673">
        <v>116.5</v>
      </c>
      <c r="P18" s="197" t="s">
        <v>287</v>
      </c>
      <c r="Q18" s="178" t="s">
        <v>736</v>
      </c>
      <c r="R18" s="176" t="s">
        <v>750</v>
      </c>
      <c r="S18" s="179" t="s">
        <v>289</v>
      </c>
      <c r="T18" s="894">
        <f t="shared" si="1"/>
        <v>447.5</v>
      </c>
      <c r="U18" s="668">
        <v>0.4</v>
      </c>
      <c r="V18" s="669">
        <v>0.5</v>
      </c>
      <c r="W18" s="895">
        <f t="shared" si="2"/>
        <v>122.75</v>
      </c>
      <c r="X18" s="694">
        <v>0.4</v>
      </c>
      <c r="Y18" s="690">
        <v>0.3</v>
      </c>
      <c r="Z18" s="667">
        <f t="shared" si="32"/>
        <v>342.15</v>
      </c>
      <c r="AA18" s="659">
        <f t="shared" si="33"/>
        <v>342.15</v>
      </c>
      <c r="AB18" s="894">
        <f t="shared" si="3"/>
        <v>570.25</v>
      </c>
      <c r="AC18" s="895">
        <f t="shared" si="34"/>
        <v>570.25</v>
      </c>
      <c r="AD18" s="181"/>
      <c r="AE18" s="882">
        <f t="shared" si="4"/>
        <v>12.5</v>
      </c>
      <c r="AF18" s="882">
        <f t="shared" si="5"/>
        <v>6.9750000000000005</v>
      </c>
      <c r="AG18" s="882">
        <f t="shared" si="6"/>
        <v>9</v>
      </c>
      <c r="AH18" s="883">
        <f t="shared" si="7"/>
        <v>8</v>
      </c>
      <c r="AI18" s="317">
        <f t="shared" si="8"/>
        <v>298.47500000000002</v>
      </c>
      <c r="AJ18" s="304">
        <f t="shared" si="9"/>
        <v>133.5</v>
      </c>
      <c r="AK18" s="304">
        <f t="shared" si="10"/>
        <v>118</v>
      </c>
      <c r="AL18" s="318" t="str">
        <f t="shared" si="11"/>
        <v>VERTICAL</v>
      </c>
      <c r="AM18" s="318">
        <f t="shared" si="12"/>
        <v>2.529449152542373</v>
      </c>
      <c r="AN18" s="319">
        <f t="shared" si="13"/>
        <v>2.75</v>
      </c>
      <c r="AO18" s="319">
        <f t="shared" si="14"/>
        <v>6.0092592592592595</v>
      </c>
      <c r="AP18" s="318">
        <f t="shared" si="15"/>
        <v>11</v>
      </c>
      <c r="AQ18" s="320">
        <f t="shared" si="16"/>
        <v>11</v>
      </c>
      <c r="AR18" s="306">
        <f t="shared" si="17"/>
        <v>299</v>
      </c>
      <c r="AS18" s="308">
        <f t="shared" si="18"/>
        <v>127.5</v>
      </c>
      <c r="AT18" s="308">
        <f t="shared" si="19"/>
        <v>54</v>
      </c>
      <c r="AU18" s="308" t="str">
        <f t="shared" si="20"/>
        <v>VERTICAL</v>
      </c>
      <c r="AV18" s="308">
        <f t="shared" si="21"/>
        <v>21.700000000000003</v>
      </c>
      <c r="AW18" s="310">
        <f t="shared" si="22"/>
        <v>21.700000000000003</v>
      </c>
      <c r="AX18" s="321">
        <f t="shared" si="23"/>
        <v>12.635869565217391</v>
      </c>
      <c r="AY18" s="308">
        <f t="shared" si="24"/>
        <v>60</v>
      </c>
      <c r="AZ18" s="312">
        <f>IF(C18="","",IF(H18="STOCK",VLOOKUP(I18,'COST - SELL'!$B$26:$G$29,6,0),IF(H18="LINE-ATELIER",VLOOKUP(I18,'COST - SELL'!$J$26:$Q$29,8,0),IF(H18="LINE-VTLUX",VLOOKUP(I18,'COST - SELL'!$B$36:$I$51,8,0),0))))</f>
        <v>31.8</v>
      </c>
      <c r="BA18" s="313">
        <f t="shared" si="25"/>
        <v>349.8</v>
      </c>
      <c r="BB18" s="314">
        <f>IF(C18="","",IF(L18="N/A",0,VLOOKUP(L18,'COST - SELL'!$B$60:$I$63,8,0)))</f>
        <v>0</v>
      </c>
      <c r="BC18" s="313">
        <f t="shared" si="26"/>
        <v>0</v>
      </c>
      <c r="BD18" s="315">
        <f>IF(C18="","",IF(H18="C.O.M.",VLOOKUP(F18,'COST - SELL'!$J$11:$N$19,5,0),VLOOKUP(F18,'COST - SELL'!$B$11:$H$19,7,0)))</f>
        <v>16.25</v>
      </c>
      <c r="BE18" s="315">
        <f t="shared" si="27"/>
        <v>97.650462962962962</v>
      </c>
      <c r="BF18" s="313">
        <f t="shared" si="30"/>
        <v>447.5</v>
      </c>
      <c r="BG18" s="316">
        <f>IF(C18="","",IF(Q18="N/A",0,VLOOKUP(Q18,'COST - SELL'!$B$80:$I$91,8,0)*'FILL QUOTE-CALCULATIONS'!AX18))</f>
        <v>107.40489130434781</v>
      </c>
      <c r="BH18" s="316">
        <f>IF(C18="","",IF(S18="N/A",0,IF(AY18="N/A",0,INDEX('COST - SELL'!$O$70:$S$73,MATCH('FILL QUOTE-CALCULATIONS'!S18,'COST - SELL'!$O$70:$O$73,0),MATCH('FILL QUOTE-CALCULATIONS'!AY18,'COST - SELL'!$O$70:$S$70,0)))))</f>
        <v>15.3</v>
      </c>
      <c r="BI18" s="316">
        <f t="shared" si="28"/>
        <v>122.75</v>
      </c>
      <c r="BJ18" s="316">
        <f t="shared" si="29"/>
        <v>570.25</v>
      </c>
    </row>
    <row r="19" spans="2:62" x14ac:dyDescent="0.25">
      <c r="B19" s="231">
        <f t="shared" si="31"/>
        <v>5</v>
      </c>
      <c r="C19" s="180">
        <v>1</v>
      </c>
      <c r="D19" s="178" t="s">
        <v>298</v>
      </c>
      <c r="E19" s="179" t="s">
        <v>131</v>
      </c>
      <c r="F19" s="179" t="s">
        <v>136</v>
      </c>
      <c r="G19" s="671">
        <v>2</v>
      </c>
      <c r="H19" s="905" t="s">
        <v>187</v>
      </c>
      <c r="I19" s="905" t="s">
        <v>321</v>
      </c>
      <c r="J19" s="179" t="str">
        <f t="shared" si="0"/>
        <v/>
      </c>
      <c r="K19" s="672" t="s">
        <v>784</v>
      </c>
      <c r="L19" s="179" t="s">
        <v>122</v>
      </c>
      <c r="M19" s="672" t="s">
        <v>753</v>
      </c>
      <c r="N19" s="673">
        <v>90</v>
      </c>
      <c r="O19" s="673">
        <v>51</v>
      </c>
      <c r="P19" s="197" t="s">
        <v>266</v>
      </c>
      <c r="Q19" s="178" t="s">
        <v>736</v>
      </c>
      <c r="R19" s="176" t="s">
        <v>750</v>
      </c>
      <c r="S19" s="179" t="s">
        <v>289</v>
      </c>
      <c r="T19" s="894">
        <f t="shared" si="1"/>
        <v>305.8</v>
      </c>
      <c r="U19" s="668">
        <v>0.4</v>
      </c>
      <c r="V19" s="669">
        <v>0.5</v>
      </c>
      <c r="W19" s="895">
        <f t="shared" si="2"/>
        <v>78.550000000000011</v>
      </c>
      <c r="X19" s="694">
        <v>0.4</v>
      </c>
      <c r="Y19" s="690">
        <v>0.3</v>
      </c>
      <c r="Z19" s="667">
        <f t="shared" si="32"/>
        <v>230.60999999999999</v>
      </c>
      <c r="AA19" s="659">
        <f t="shared" si="33"/>
        <v>230.60999999999999</v>
      </c>
      <c r="AB19" s="894">
        <f t="shared" si="3"/>
        <v>384.35</v>
      </c>
      <c r="AC19" s="895">
        <f t="shared" si="34"/>
        <v>384.35</v>
      </c>
      <c r="AD19" s="181"/>
      <c r="AE19" s="882">
        <f t="shared" si="4"/>
        <v>12.5</v>
      </c>
      <c r="AF19" s="882">
        <f t="shared" si="5"/>
        <v>4.5</v>
      </c>
      <c r="AG19" s="882">
        <f t="shared" si="6"/>
        <v>9</v>
      </c>
      <c r="AH19" s="883">
        <f t="shared" si="7"/>
        <v>8</v>
      </c>
      <c r="AI19" s="317">
        <f t="shared" si="8"/>
        <v>197</v>
      </c>
      <c r="AJ19" s="304">
        <f t="shared" si="9"/>
        <v>68</v>
      </c>
      <c r="AK19" s="304">
        <f t="shared" si="10"/>
        <v>54</v>
      </c>
      <c r="AL19" s="318" t="str">
        <f t="shared" si="11"/>
        <v>VERTICAL</v>
      </c>
      <c r="AM19" s="318">
        <f t="shared" si="12"/>
        <v>3.6481481481481484</v>
      </c>
      <c r="AN19" s="319">
        <f t="shared" si="13"/>
        <v>4</v>
      </c>
      <c r="AO19" s="319">
        <f t="shared" si="14"/>
        <v>4</v>
      </c>
      <c r="AP19" s="318">
        <f t="shared" si="15"/>
        <v>8.25</v>
      </c>
      <c r="AQ19" s="320">
        <f t="shared" si="16"/>
        <v>8.25</v>
      </c>
      <c r="AR19" s="306">
        <f t="shared" si="17"/>
        <v>197</v>
      </c>
      <c r="AS19" s="308">
        <f t="shared" si="18"/>
        <v>62</v>
      </c>
      <c r="AT19" s="308">
        <f t="shared" si="19"/>
        <v>54</v>
      </c>
      <c r="AU19" s="308" t="str">
        <f t="shared" si="20"/>
        <v>VERTICAL</v>
      </c>
      <c r="AV19" s="308">
        <f t="shared" si="21"/>
        <v>6.9</v>
      </c>
      <c r="AW19" s="310">
        <f t="shared" si="22"/>
        <v>6.9</v>
      </c>
      <c r="AX19" s="321">
        <f t="shared" si="23"/>
        <v>8.1521739130434785</v>
      </c>
      <c r="AY19" s="308">
        <f t="shared" si="24"/>
        <v>36</v>
      </c>
      <c r="AZ19" s="312">
        <f>IF(C19="","",IF(H19="STOCK",VLOOKUP(I19,'COST - SELL'!$B$26:$G$29,6,0),IF(H19="LINE-ATELIER",VLOOKUP(I19,'COST - SELL'!$J$26:$Q$29,8,0),IF(H19="LINE-VTLUX",VLOOKUP(I19,'COST - SELL'!$B$36:$I$51,8,0),0))))</f>
        <v>27.900000000000002</v>
      </c>
      <c r="BA19" s="313">
        <f t="shared" si="25"/>
        <v>230.17500000000001</v>
      </c>
      <c r="BB19" s="314">
        <f>IF(C19="","",IF(L19="N/A",0,VLOOKUP(L19,'COST - SELL'!$B$60:$I$63,8,0)))</f>
        <v>0</v>
      </c>
      <c r="BC19" s="313">
        <f t="shared" si="26"/>
        <v>0</v>
      </c>
      <c r="BD19" s="315">
        <f>IF(C19="","",IF(H19="C.O.M.",VLOOKUP(F19,'COST - SELL'!$J$11:$N$19,5,0),VLOOKUP(F19,'COST - SELL'!$B$11:$H$19,7,0)))</f>
        <v>18.900000000000002</v>
      </c>
      <c r="BE19" s="315">
        <f t="shared" si="27"/>
        <v>75.600000000000009</v>
      </c>
      <c r="BF19" s="313">
        <f t="shared" si="30"/>
        <v>305.8</v>
      </c>
      <c r="BG19" s="316">
        <f>IF(C19="","",IF(Q19="N/A",0,VLOOKUP(Q19,'COST - SELL'!$B$80:$I$91,8,0)*'FILL QUOTE-CALCULATIONS'!AX19))</f>
        <v>69.293478260869563</v>
      </c>
      <c r="BH19" s="316">
        <f>IF(C19="","",IF(S19="N/A",0,IF(AY19="N/A",0,INDEX('COST - SELL'!$O$70:$S$73,MATCH('FILL QUOTE-CALCULATIONS'!S19,'COST - SELL'!$O$70:$O$73,0),MATCH('FILL QUOTE-CALCULATIONS'!AY19,'COST - SELL'!$O$70:$S$70,0)))))</f>
        <v>9.25</v>
      </c>
      <c r="BI19" s="316">
        <f t="shared" si="28"/>
        <v>78.550000000000011</v>
      </c>
      <c r="BJ19" s="316">
        <f t="shared" si="29"/>
        <v>384.35</v>
      </c>
    </row>
    <row r="20" spans="2:62" x14ac:dyDescent="0.25">
      <c r="B20" s="231">
        <f t="shared" si="31"/>
        <v>6</v>
      </c>
      <c r="C20" s="180">
        <v>1</v>
      </c>
      <c r="D20" s="178" t="s">
        <v>298</v>
      </c>
      <c r="E20" s="179" t="s">
        <v>131</v>
      </c>
      <c r="F20" s="179" t="s">
        <v>116</v>
      </c>
      <c r="G20" s="671">
        <v>2</v>
      </c>
      <c r="H20" s="905" t="s">
        <v>187</v>
      </c>
      <c r="I20" s="905" t="s">
        <v>323</v>
      </c>
      <c r="J20" s="179" t="str">
        <f t="shared" si="0"/>
        <v/>
      </c>
      <c r="K20" s="672" t="s">
        <v>783</v>
      </c>
      <c r="L20" s="179" t="s">
        <v>122</v>
      </c>
      <c r="M20" s="672" t="s">
        <v>753</v>
      </c>
      <c r="N20" s="673">
        <v>90</v>
      </c>
      <c r="O20" s="673">
        <v>51</v>
      </c>
      <c r="P20" s="197" t="s">
        <v>266</v>
      </c>
      <c r="Q20" s="178" t="s">
        <v>736</v>
      </c>
      <c r="R20" s="176" t="s">
        <v>750</v>
      </c>
      <c r="S20" s="179" t="s">
        <v>289</v>
      </c>
      <c r="T20" s="894">
        <f t="shared" si="1"/>
        <v>255.8</v>
      </c>
      <c r="U20" s="668">
        <v>0.4</v>
      </c>
      <c r="V20" s="669">
        <v>0.5</v>
      </c>
      <c r="W20" s="895">
        <f t="shared" si="2"/>
        <v>78.550000000000011</v>
      </c>
      <c r="X20" s="694">
        <v>0.4</v>
      </c>
      <c r="Y20" s="690">
        <v>0.3</v>
      </c>
      <c r="Z20" s="667">
        <f t="shared" si="32"/>
        <v>200.60999999999999</v>
      </c>
      <c r="AA20" s="659">
        <f t="shared" si="33"/>
        <v>200.60999999999999</v>
      </c>
      <c r="AB20" s="894">
        <f t="shared" si="3"/>
        <v>334.35</v>
      </c>
      <c r="AC20" s="895">
        <f t="shared" si="34"/>
        <v>334.35</v>
      </c>
      <c r="AD20" s="181"/>
      <c r="AE20" s="882">
        <f t="shared" si="4"/>
        <v>12.5</v>
      </c>
      <c r="AF20" s="882">
        <f t="shared" si="5"/>
        <v>4.5</v>
      </c>
      <c r="AG20" s="882">
        <f t="shared" si="6"/>
        <v>9</v>
      </c>
      <c r="AH20" s="883">
        <f t="shared" si="7"/>
        <v>8</v>
      </c>
      <c r="AI20" s="317">
        <f t="shared" si="8"/>
        <v>197</v>
      </c>
      <c r="AJ20" s="304">
        <f t="shared" si="9"/>
        <v>68</v>
      </c>
      <c r="AK20" s="304">
        <f t="shared" si="10"/>
        <v>118</v>
      </c>
      <c r="AL20" s="318" t="str">
        <f t="shared" si="11"/>
        <v>RAILROAD</v>
      </c>
      <c r="AM20" s="318">
        <f t="shared" si="12"/>
        <v>1.6694915254237288</v>
      </c>
      <c r="AN20" s="319" t="str">
        <f t="shared" si="13"/>
        <v>N/A</v>
      </c>
      <c r="AO20" s="319">
        <f t="shared" si="14"/>
        <v>4</v>
      </c>
      <c r="AP20" s="318">
        <f t="shared" si="15"/>
        <v>6</v>
      </c>
      <c r="AQ20" s="320">
        <f t="shared" si="16"/>
        <v>6</v>
      </c>
      <c r="AR20" s="306">
        <f t="shared" si="17"/>
        <v>197</v>
      </c>
      <c r="AS20" s="308">
        <f t="shared" si="18"/>
        <v>62</v>
      </c>
      <c r="AT20" s="308">
        <f t="shared" si="19"/>
        <v>54</v>
      </c>
      <c r="AU20" s="308" t="str">
        <f t="shared" si="20"/>
        <v>VERTICAL</v>
      </c>
      <c r="AV20" s="308">
        <f t="shared" si="21"/>
        <v>6.9</v>
      </c>
      <c r="AW20" s="310">
        <f t="shared" si="22"/>
        <v>6.9</v>
      </c>
      <c r="AX20" s="321">
        <f t="shared" si="23"/>
        <v>8.1521739130434785</v>
      </c>
      <c r="AY20" s="308">
        <f t="shared" si="24"/>
        <v>36</v>
      </c>
      <c r="AZ20" s="312">
        <f>IF(C20="","",IF(H20="STOCK",VLOOKUP(I20,'COST - SELL'!$B$26:$G$29,6,0),IF(H20="LINE-ATELIER",VLOOKUP(I20,'COST - SELL'!$J$26:$Q$29,8,0),IF(H20="LINE-VTLUX",VLOOKUP(I20,'COST - SELL'!$B$36:$I$51,8,0),0))))</f>
        <v>31.8</v>
      </c>
      <c r="BA20" s="313">
        <f t="shared" si="25"/>
        <v>190.8</v>
      </c>
      <c r="BB20" s="314">
        <f>IF(C20="","",IF(L20="N/A",0,VLOOKUP(L20,'COST - SELL'!$B$60:$I$63,8,0)))</f>
        <v>0</v>
      </c>
      <c r="BC20" s="313">
        <f t="shared" si="26"/>
        <v>0</v>
      </c>
      <c r="BD20" s="315">
        <f>IF(C20="","",IF(H20="C.O.M.",VLOOKUP(F20,'COST - SELL'!$J$11:$N$19,5,0),VLOOKUP(F20,'COST - SELL'!$B$11:$H$19,7,0)))</f>
        <v>16.25</v>
      </c>
      <c r="BE20" s="315">
        <f t="shared" si="27"/>
        <v>65</v>
      </c>
      <c r="BF20" s="313">
        <f t="shared" si="30"/>
        <v>255.8</v>
      </c>
      <c r="BG20" s="316">
        <f>IF(C20="","",IF(Q20="N/A",0,VLOOKUP(Q20,'COST - SELL'!$B$80:$I$91,8,0)*'FILL QUOTE-CALCULATIONS'!AX20))</f>
        <v>69.293478260869563</v>
      </c>
      <c r="BH20" s="316">
        <f>IF(C20="","",IF(S20="N/A",0,IF(AY20="N/A",0,INDEX('COST - SELL'!$O$70:$S$73,MATCH('FILL QUOTE-CALCULATIONS'!S20,'COST - SELL'!$O$70:$O$73,0),MATCH('FILL QUOTE-CALCULATIONS'!AY20,'COST - SELL'!$O$70:$S$70,0)))))</f>
        <v>9.25</v>
      </c>
      <c r="BI20" s="316">
        <f t="shared" si="28"/>
        <v>78.550000000000011</v>
      </c>
      <c r="BJ20" s="316">
        <f t="shared" si="29"/>
        <v>334.35</v>
      </c>
    </row>
    <row r="21" spans="2:62" x14ac:dyDescent="0.25">
      <c r="B21" s="231">
        <f t="shared" si="31"/>
        <v>7</v>
      </c>
      <c r="C21" s="180">
        <v>1</v>
      </c>
      <c r="D21" s="178" t="s">
        <v>298</v>
      </c>
      <c r="E21" s="179" t="s">
        <v>131</v>
      </c>
      <c r="F21" s="179" t="s">
        <v>136</v>
      </c>
      <c r="G21" s="671">
        <v>2</v>
      </c>
      <c r="H21" s="905" t="s">
        <v>187</v>
      </c>
      <c r="I21" s="905" t="s">
        <v>321</v>
      </c>
      <c r="J21" s="179" t="str">
        <f t="shared" si="0"/>
        <v/>
      </c>
      <c r="K21" s="672" t="s">
        <v>784</v>
      </c>
      <c r="L21" s="179" t="s">
        <v>122</v>
      </c>
      <c r="M21" s="672" t="s">
        <v>754</v>
      </c>
      <c r="N21" s="673">
        <v>109</v>
      </c>
      <c r="O21" s="673">
        <v>116.5</v>
      </c>
      <c r="P21" s="197" t="s">
        <v>287</v>
      </c>
      <c r="Q21" s="178" t="s">
        <v>736</v>
      </c>
      <c r="R21" s="176" t="s">
        <v>750</v>
      </c>
      <c r="S21" s="179" t="s">
        <v>289</v>
      </c>
      <c r="T21" s="894">
        <f t="shared" si="1"/>
        <v>587.25</v>
      </c>
      <c r="U21" s="668">
        <v>0.4</v>
      </c>
      <c r="V21" s="669">
        <v>0.5</v>
      </c>
      <c r="W21" s="895">
        <f t="shared" si="2"/>
        <v>99.25</v>
      </c>
      <c r="X21" s="694">
        <v>0.4</v>
      </c>
      <c r="Y21" s="690">
        <v>0.3</v>
      </c>
      <c r="Z21" s="667">
        <f t="shared" si="32"/>
        <v>411.9</v>
      </c>
      <c r="AA21" s="659">
        <f t="shared" si="33"/>
        <v>411.9</v>
      </c>
      <c r="AB21" s="894">
        <f t="shared" si="3"/>
        <v>686.5</v>
      </c>
      <c r="AC21" s="895">
        <f t="shared" si="34"/>
        <v>686.5</v>
      </c>
      <c r="AD21" s="181"/>
      <c r="AE21" s="882">
        <f t="shared" si="4"/>
        <v>12.5</v>
      </c>
      <c r="AF21" s="882">
        <f t="shared" si="5"/>
        <v>5.45</v>
      </c>
      <c r="AG21" s="882">
        <f t="shared" si="6"/>
        <v>9</v>
      </c>
      <c r="AH21" s="883">
        <f t="shared" si="7"/>
        <v>8</v>
      </c>
      <c r="AI21" s="317">
        <f t="shared" si="8"/>
        <v>235.95</v>
      </c>
      <c r="AJ21" s="304">
        <f t="shared" si="9"/>
        <v>133.5</v>
      </c>
      <c r="AK21" s="304">
        <f t="shared" si="10"/>
        <v>54</v>
      </c>
      <c r="AL21" s="318" t="str">
        <f t="shared" si="11"/>
        <v>VERTICAL</v>
      </c>
      <c r="AM21" s="318">
        <f t="shared" si="12"/>
        <v>4.3694444444444445</v>
      </c>
      <c r="AN21" s="319">
        <f t="shared" si="13"/>
        <v>4.5</v>
      </c>
      <c r="AO21" s="319">
        <f t="shared" si="14"/>
        <v>4.5</v>
      </c>
      <c r="AP21" s="318">
        <f t="shared" si="15"/>
        <v>18</v>
      </c>
      <c r="AQ21" s="320">
        <f t="shared" si="16"/>
        <v>18</v>
      </c>
      <c r="AR21" s="306">
        <f t="shared" si="17"/>
        <v>236</v>
      </c>
      <c r="AS21" s="308">
        <f t="shared" si="18"/>
        <v>127.5</v>
      </c>
      <c r="AT21" s="308">
        <f t="shared" si="19"/>
        <v>54</v>
      </c>
      <c r="AU21" s="308" t="str">
        <f t="shared" si="20"/>
        <v>VERTICAL</v>
      </c>
      <c r="AV21" s="308">
        <f t="shared" si="21"/>
        <v>17</v>
      </c>
      <c r="AW21" s="310">
        <f t="shared" si="22"/>
        <v>17</v>
      </c>
      <c r="AX21" s="321">
        <f t="shared" si="23"/>
        <v>9.8731884057971016</v>
      </c>
      <c r="AY21" s="308">
        <f t="shared" si="24"/>
        <v>60</v>
      </c>
      <c r="AZ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A21" s="313">
        <f t="shared" si="25"/>
        <v>502.20000000000005</v>
      </c>
      <c r="BB21" s="314">
        <f>IF(C21="","",IF(L21="N/A",0,VLOOKUP(L21,'COST - SELL'!$B$60:$I$63,8,0)))</f>
        <v>0</v>
      </c>
      <c r="BC21" s="313">
        <f t="shared" si="26"/>
        <v>0</v>
      </c>
      <c r="BD21" s="315">
        <f>IF(C21="","",IF(H21="C.O.M.",VLOOKUP(F21,'COST - SELL'!$J$11:$N$19,5,0),VLOOKUP(F21,'COST - SELL'!$B$11:$H$19,7,0)))</f>
        <v>18.900000000000002</v>
      </c>
      <c r="BE21" s="315">
        <f t="shared" si="27"/>
        <v>85.050000000000011</v>
      </c>
      <c r="BF21" s="313">
        <f t="shared" si="30"/>
        <v>587.25</v>
      </c>
      <c r="BG21" s="316">
        <f>IF(C21="","",IF(Q21="N/A",0,VLOOKUP(Q21,'COST - SELL'!$B$80:$I$91,8,0)*'FILL QUOTE-CALCULATIONS'!AX21))</f>
        <v>83.92210144927536</v>
      </c>
      <c r="BH21" s="316">
        <f>IF(C21="","",IF(S21="N/A",0,IF(AY21="N/A",0,INDEX('COST - SELL'!$O$70:$S$73,MATCH('FILL QUOTE-CALCULATIONS'!S21,'COST - SELL'!$O$70:$O$73,0),MATCH('FILL QUOTE-CALCULATIONS'!AY21,'COST - SELL'!$O$70:$S$70,0)))))</f>
        <v>15.3</v>
      </c>
      <c r="BI21" s="316">
        <f t="shared" si="28"/>
        <v>99.25</v>
      </c>
      <c r="BJ21" s="316">
        <f t="shared" si="29"/>
        <v>686.5</v>
      </c>
    </row>
    <row r="22" spans="2:62" x14ac:dyDescent="0.25">
      <c r="B22" s="231">
        <f t="shared" si="31"/>
        <v>8</v>
      </c>
      <c r="C22" s="180">
        <v>1</v>
      </c>
      <c r="D22" s="178" t="s">
        <v>298</v>
      </c>
      <c r="E22" s="179" t="s">
        <v>131</v>
      </c>
      <c r="F22" s="179" t="s">
        <v>116</v>
      </c>
      <c r="G22" s="671">
        <v>2</v>
      </c>
      <c r="H22" s="905" t="s">
        <v>187</v>
      </c>
      <c r="I22" s="905" t="s">
        <v>323</v>
      </c>
      <c r="J22" s="179" t="str">
        <f t="shared" si="0"/>
        <v/>
      </c>
      <c r="K22" s="672" t="s">
        <v>783</v>
      </c>
      <c r="L22" s="179" t="s">
        <v>122</v>
      </c>
      <c r="M22" s="672" t="s">
        <v>754</v>
      </c>
      <c r="N22" s="673">
        <v>109</v>
      </c>
      <c r="O22" s="673">
        <v>116.5</v>
      </c>
      <c r="P22" s="197" t="s">
        <v>287</v>
      </c>
      <c r="Q22" s="178" t="s">
        <v>736</v>
      </c>
      <c r="R22" s="176" t="s">
        <v>750</v>
      </c>
      <c r="S22" s="179" t="s">
        <v>289</v>
      </c>
      <c r="T22" s="894">
        <f t="shared" si="1"/>
        <v>325.45000000000005</v>
      </c>
      <c r="U22" s="668">
        <v>0.4</v>
      </c>
      <c r="V22" s="669">
        <v>0.5</v>
      </c>
      <c r="W22" s="895">
        <f t="shared" si="2"/>
        <v>99.25</v>
      </c>
      <c r="X22" s="694">
        <v>0.4</v>
      </c>
      <c r="Y22" s="690">
        <v>0.3</v>
      </c>
      <c r="Z22" s="667">
        <f t="shared" si="32"/>
        <v>254.82</v>
      </c>
      <c r="AA22" s="659">
        <f t="shared" si="33"/>
        <v>254.82</v>
      </c>
      <c r="AB22" s="894">
        <f t="shared" si="3"/>
        <v>424.70000000000005</v>
      </c>
      <c r="AC22" s="895">
        <f t="shared" si="34"/>
        <v>424.70000000000005</v>
      </c>
      <c r="AD22" s="181"/>
      <c r="AE22" s="882">
        <f t="shared" si="4"/>
        <v>12.5</v>
      </c>
      <c r="AF22" s="882">
        <f t="shared" si="5"/>
        <v>5.45</v>
      </c>
      <c r="AG22" s="882">
        <f t="shared" si="6"/>
        <v>9</v>
      </c>
      <c r="AH22" s="883">
        <f t="shared" si="7"/>
        <v>8</v>
      </c>
      <c r="AI22" s="317">
        <f t="shared" si="8"/>
        <v>235.95</v>
      </c>
      <c r="AJ22" s="304">
        <f t="shared" si="9"/>
        <v>133.5</v>
      </c>
      <c r="AK22" s="304">
        <f t="shared" si="10"/>
        <v>118</v>
      </c>
      <c r="AL22" s="318" t="str">
        <f t="shared" si="11"/>
        <v>VERTICAL</v>
      </c>
      <c r="AM22" s="318">
        <f t="shared" si="12"/>
        <v>1.9995762711864407</v>
      </c>
      <c r="AN22" s="319">
        <f t="shared" si="13"/>
        <v>2</v>
      </c>
      <c r="AO22" s="319">
        <f t="shared" si="14"/>
        <v>4.3703703703703702</v>
      </c>
      <c r="AP22" s="318">
        <f t="shared" si="15"/>
        <v>8</v>
      </c>
      <c r="AQ22" s="320">
        <f t="shared" si="16"/>
        <v>8</v>
      </c>
      <c r="AR22" s="306">
        <f t="shared" si="17"/>
        <v>236</v>
      </c>
      <c r="AS22" s="308">
        <f t="shared" si="18"/>
        <v>127.5</v>
      </c>
      <c r="AT22" s="308">
        <f t="shared" si="19"/>
        <v>54</v>
      </c>
      <c r="AU22" s="308" t="str">
        <f t="shared" si="20"/>
        <v>VERTICAL</v>
      </c>
      <c r="AV22" s="308">
        <f t="shared" si="21"/>
        <v>17</v>
      </c>
      <c r="AW22" s="310">
        <f t="shared" si="22"/>
        <v>17</v>
      </c>
      <c r="AX22" s="321">
        <f t="shared" si="23"/>
        <v>9.8731884057971016</v>
      </c>
      <c r="AY22" s="308">
        <f t="shared" si="24"/>
        <v>60</v>
      </c>
      <c r="AZ22" s="312">
        <f>IF(C22="","",IF(H22="STOCK",VLOOKUP(I22,'COST - SELL'!$B$26:$G$29,6,0),IF(H22="LINE-ATELIER",VLOOKUP(I22,'COST - SELL'!$J$26:$Q$29,8,0),IF(H22="LINE-VTLUX",VLOOKUP(I22,'COST - SELL'!$B$36:$I$51,8,0),0))))</f>
        <v>31.8</v>
      </c>
      <c r="BA22" s="313">
        <f t="shared" si="25"/>
        <v>254.4</v>
      </c>
      <c r="BB22" s="314">
        <f>IF(C22="","",IF(L22="N/A",0,VLOOKUP(L22,'COST - SELL'!$B$60:$I$63,8,0)))</f>
        <v>0</v>
      </c>
      <c r="BC22" s="313">
        <f t="shared" si="26"/>
        <v>0</v>
      </c>
      <c r="BD22" s="315">
        <f>IF(C22="","",IF(H22="C.O.M.",VLOOKUP(F22,'COST - SELL'!$J$11:$N$19,5,0),VLOOKUP(F22,'COST - SELL'!$B$11:$H$19,7,0)))</f>
        <v>16.25</v>
      </c>
      <c r="BE22" s="315">
        <f t="shared" si="27"/>
        <v>71.018518518518519</v>
      </c>
      <c r="BF22" s="313">
        <f t="shared" si="30"/>
        <v>325.45000000000005</v>
      </c>
      <c r="BG22" s="316">
        <f>IF(C22="","",IF(Q22="N/A",0,VLOOKUP(Q22,'COST - SELL'!$B$80:$I$91,8,0)*'FILL QUOTE-CALCULATIONS'!AX22))</f>
        <v>83.92210144927536</v>
      </c>
      <c r="BH22" s="316">
        <f>IF(C22="","",IF(S22="N/A",0,IF(AY22="N/A",0,INDEX('COST - SELL'!$O$70:$S$73,MATCH('FILL QUOTE-CALCULATIONS'!S22,'COST - SELL'!$O$70:$O$73,0),MATCH('FILL QUOTE-CALCULATIONS'!AY22,'COST - SELL'!$O$70:$S$70,0)))))</f>
        <v>15.3</v>
      </c>
      <c r="BI22" s="316">
        <f t="shared" si="28"/>
        <v>99.25</v>
      </c>
      <c r="BJ22" s="316">
        <f t="shared" si="29"/>
        <v>424.70000000000005</v>
      </c>
    </row>
    <row r="23" spans="2:62" x14ac:dyDescent="0.25">
      <c r="B23" s="231">
        <f t="shared" si="31"/>
        <v>9</v>
      </c>
      <c r="C23" s="180">
        <v>1</v>
      </c>
      <c r="D23" s="178" t="s">
        <v>298</v>
      </c>
      <c r="E23" s="179" t="s">
        <v>131</v>
      </c>
      <c r="F23" s="179" t="s">
        <v>136</v>
      </c>
      <c r="G23" s="671">
        <v>2</v>
      </c>
      <c r="H23" s="905" t="s">
        <v>187</v>
      </c>
      <c r="I23" s="905" t="s">
        <v>321</v>
      </c>
      <c r="J23" s="179" t="str">
        <f t="shared" ref="J23" si="35">IF(OR(C23="",C23&lt;1),"",IF(H23="C.O.M.",CEILING(AQ23,0.5),""))</f>
        <v/>
      </c>
      <c r="K23" s="672" t="s">
        <v>784</v>
      </c>
      <c r="L23" s="179" t="s">
        <v>122</v>
      </c>
      <c r="M23" s="672" t="s">
        <v>755</v>
      </c>
      <c r="N23" s="673">
        <v>133</v>
      </c>
      <c r="O23" s="673">
        <v>116.25</v>
      </c>
      <c r="P23" s="197" t="s">
        <v>287</v>
      </c>
      <c r="Q23" s="178" t="s">
        <v>736</v>
      </c>
      <c r="R23" s="176" t="s">
        <v>750</v>
      </c>
      <c r="S23" s="179" t="s">
        <v>289</v>
      </c>
      <c r="T23" s="894">
        <f t="shared" si="1"/>
        <v>717.75</v>
      </c>
      <c r="U23" s="668">
        <v>0.4</v>
      </c>
      <c r="V23" s="669">
        <v>0.5</v>
      </c>
      <c r="W23" s="895">
        <f t="shared" si="2"/>
        <v>117.75</v>
      </c>
      <c r="X23" s="694">
        <v>0.4</v>
      </c>
      <c r="Y23" s="690">
        <v>0.3</v>
      </c>
      <c r="Z23" s="667">
        <f t="shared" si="32"/>
        <v>501.29999999999995</v>
      </c>
      <c r="AA23" s="659">
        <f t="shared" si="33"/>
        <v>501.29999999999995</v>
      </c>
      <c r="AB23" s="894">
        <f t="shared" si="3"/>
        <v>835.5</v>
      </c>
      <c r="AC23" s="895">
        <f t="shared" si="34"/>
        <v>835.5</v>
      </c>
      <c r="AD23" s="181"/>
      <c r="AE23" s="882">
        <f t="shared" si="4"/>
        <v>12.5</v>
      </c>
      <c r="AF23" s="882">
        <f t="shared" si="5"/>
        <v>6.65</v>
      </c>
      <c r="AG23" s="882">
        <f t="shared" si="6"/>
        <v>9</v>
      </c>
      <c r="AH23" s="883">
        <f t="shared" si="7"/>
        <v>8</v>
      </c>
      <c r="AI23" s="317">
        <f t="shared" si="8"/>
        <v>285.14999999999998</v>
      </c>
      <c r="AJ23" s="304">
        <f t="shared" si="9"/>
        <v>133.25</v>
      </c>
      <c r="AK23" s="304">
        <f t="shared" si="10"/>
        <v>54</v>
      </c>
      <c r="AL23" s="318" t="str">
        <f t="shared" si="11"/>
        <v>VERTICAL</v>
      </c>
      <c r="AM23" s="318">
        <f t="shared" si="12"/>
        <v>5.280555555555555</v>
      </c>
      <c r="AN23" s="319">
        <f t="shared" si="13"/>
        <v>5.5</v>
      </c>
      <c r="AO23" s="319">
        <f t="shared" si="14"/>
        <v>5.5</v>
      </c>
      <c r="AP23" s="318">
        <f t="shared" si="15"/>
        <v>22</v>
      </c>
      <c r="AQ23" s="320">
        <f t="shared" si="16"/>
        <v>22</v>
      </c>
      <c r="AR23" s="306">
        <f t="shared" si="17"/>
        <v>286</v>
      </c>
      <c r="AS23" s="308">
        <f t="shared" si="18"/>
        <v>127.25</v>
      </c>
      <c r="AT23" s="308">
        <f t="shared" si="19"/>
        <v>54</v>
      </c>
      <c r="AU23" s="308" t="str">
        <f t="shared" si="20"/>
        <v>VERTICAL</v>
      </c>
      <c r="AV23" s="308">
        <f t="shared" si="21"/>
        <v>20.700000000000003</v>
      </c>
      <c r="AW23" s="310">
        <f t="shared" si="22"/>
        <v>20.700000000000003</v>
      </c>
      <c r="AX23" s="321">
        <f t="shared" si="23"/>
        <v>12.047101449275363</v>
      </c>
      <c r="AY23" s="308">
        <f t="shared" si="24"/>
        <v>60</v>
      </c>
      <c r="AZ23" s="312">
        <f>IF(C23="","",IF(H23="STOCK",VLOOKUP(I23,'COST - SELL'!$B$26:$G$29,6,0),IF(H23="LINE-ATELIER",VLOOKUP(I23,'COST - SELL'!$J$26:$Q$29,8,0),IF(H23="LINE-VTLUX",VLOOKUP(I23,'COST - SELL'!$B$36:$I$51,8,0),0))))</f>
        <v>27.900000000000002</v>
      </c>
      <c r="BA23" s="313">
        <f t="shared" si="25"/>
        <v>613.80000000000007</v>
      </c>
      <c r="BB23" s="314">
        <f>IF(C23="","",IF(L23="N/A",0,VLOOKUP(L23,'COST - SELL'!$B$60:$I$63,8,0)))</f>
        <v>0</v>
      </c>
      <c r="BC23" s="313">
        <f t="shared" si="26"/>
        <v>0</v>
      </c>
      <c r="BD23" s="315">
        <f>IF(C23="","",IF(H23="C.O.M.",VLOOKUP(F23,'COST - SELL'!$J$11:$N$19,5,0),VLOOKUP(F23,'COST - SELL'!$B$11:$H$19,7,0)))</f>
        <v>18.900000000000002</v>
      </c>
      <c r="BE23" s="315">
        <f t="shared" si="27"/>
        <v>103.95000000000002</v>
      </c>
      <c r="BF23" s="313">
        <f t="shared" si="30"/>
        <v>717.75</v>
      </c>
      <c r="BG23" s="316">
        <f>IF(C23="","",IF(Q23="N/A",0,VLOOKUP(Q23,'COST - SELL'!$B$80:$I$91,8,0)*'FILL QUOTE-CALCULATIONS'!AX23))</f>
        <v>102.40036231884059</v>
      </c>
      <c r="BH23" s="316">
        <f>IF(C23="","",IF(S23="N/A",0,IF(AY23="N/A",0,INDEX('COST - SELL'!$O$70:$S$73,MATCH('FILL QUOTE-CALCULATIONS'!S23,'COST - SELL'!$O$70:$O$73,0),MATCH('FILL QUOTE-CALCULATIONS'!AY23,'COST - SELL'!$O$70:$S$70,0)))))</f>
        <v>15.3</v>
      </c>
      <c r="BI23" s="316">
        <f t="shared" si="28"/>
        <v>117.75</v>
      </c>
      <c r="BJ23" s="316">
        <f t="shared" si="29"/>
        <v>835.5</v>
      </c>
    </row>
    <row r="24" spans="2:62" x14ac:dyDescent="0.25">
      <c r="B24" s="231">
        <f t="shared" si="31"/>
        <v>10</v>
      </c>
      <c r="C24" s="180">
        <v>1</v>
      </c>
      <c r="D24" s="178" t="s">
        <v>298</v>
      </c>
      <c r="E24" s="179" t="s">
        <v>131</v>
      </c>
      <c r="F24" s="179" t="s">
        <v>116</v>
      </c>
      <c r="G24" s="671">
        <v>2</v>
      </c>
      <c r="H24" s="905" t="s">
        <v>187</v>
      </c>
      <c r="I24" s="905" t="s">
        <v>323</v>
      </c>
      <c r="J24" s="179" t="str">
        <f t="shared" ref="J24:J62" si="36">IF(OR(C24="",C24&lt;1),"",IF(H24="C.O.M.",CEILING(AQ24,0.5),""))</f>
        <v/>
      </c>
      <c r="K24" s="672" t="s">
        <v>783</v>
      </c>
      <c r="L24" s="179" t="s">
        <v>122</v>
      </c>
      <c r="M24" s="672" t="s">
        <v>755</v>
      </c>
      <c r="N24" s="673">
        <v>133</v>
      </c>
      <c r="O24" s="673">
        <v>116.25</v>
      </c>
      <c r="P24" s="197" t="s">
        <v>287</v>
      </c>
      <c r="Q24" s="178" t="s">
        <v>736</v>
      </c>
      <c r="R24" s="176" t="s">
        <v>750</v>
      </c>
      <c r="S24" s="179" t="s">
        <v>289</v>
      </c>
      <c r="T24" s="894">
        <f t="shared" si="1"/>
        <v>406.8</v>
      </c>
      <c r="U24" s="668">
        <v>0.4</v>
      </c>
      <c r="V24" s="669">
        <v>0.5</v>
      </c>
      <c r="W24" s="895">
        <f t="shared" si="2"/>
        <v>117.75</v>
      </c>
      <c r="X24" s="694">
        <v>0.4</v>
      </c>
      <c r="Y24" s="690">
        <v>0.3</v>
      </c>
      <c r="Z24" s="667">
        <f t="shared" si="32"/>
        <v>314.72999999999996</v>
      </c>
      <c r="AA24" s="659">
        <f t="shared" si="33"/>
        <v>314.72999999999996</v>
      </c>
      <c r="AB24" s="894">
        <f t="shared" si="3"/>
        <v>524.54999999999995</v>
      </c>
      <c r="AC24" s="895">
        <f t="shared" si="34"/>
        <v>524.54999999999995</v>
      </c>
      <c r="AD24" s="181"/>
      <c r="AE24" s="882">
        <f t="shared" si="4"/>
        <v>12.5</v>
      </c>
      <c r="AF24" s="882">
        <f t="shared" si="5"/>
        <v>6.65</v>
      </c>
      <c r="AG24" s="882">
        <f t="shared" si="6"/>
        <v>9</v>
      </c>
      <c r="AH24" s="883">
        <f t="shared" si="7"/>
        <v>8</v>
      </c>
      <c r="AI24" s="317">
        <f t="shared" si="8"/>
        <v>285.14999999999998</v>
      </c>
      <c r="AJ24" s="304">
        <f t="shared" si="9"/>
        <v>133.25</v>
      </c>
      <c r="AK24" s="304">
        <f t="shared" si="10"/>
        <v>118</v>
      </c>
      <c r="AL24" s="318" t="str">
        <f t="shared" si="11"/>
        <v>VERTICAL</v>
      </c>
      <c r="AM24" s="318">
        <f t="shared" si="12"/>
        <v>2.4165254237288134</v>
      </c>
      <c r="AN24" s="319">
        <f t="shared" si="13"/>
        <v>2.5</v>
      </c>
      <c r="AO24" s="319">
        <f t="shared" si="14"/>
        <v>5.4629629629629628</v>
      </c>
      <c r="AP24" s="318">
        <f t="shared" si="15"/>
        <v>10</v>
      </c>
      <c r="AQ24" s="320">
        <f t="shared" si="16"/>
        <v>10</v>
      </c>
      <c r="AR24" s="306">
        <f t="shared" si="17"/>
        <v>286</v>
      </c>
      <c r="AS24" s="308">
        <f t="shared" si="18"/>
        <v>127.25</v>
      </c>
      <c r="AT24" s="308">
        <f t="shared" si="19"/>
        <v>54</v>
      </c>
      <c r="AU24" s="308" t="str">
        <f t="shared" si="20"/>
        <v>VERTICAL</v>
      </c>
      <c r="AV24" s="308">
        <f t="shared" si="21"/>
        <v>20.700000000000003</v>
      </c>
      <c r="AW24" s="310">
        <f t="shared" si="22"/>
        <v>20.700000000000003</v>
      </c>
      <c r="AX24" s="321">
        <f t="shared" si="23"/>
        <v>12.047101449275363</v>
      </c>
      <c r="AY24" s="308">
        <f t="shared" si="24"/>
        <v>60</v>
      </c>
      <c r="AZ24" s="312">
        <f>IF(C24="","",IF(H24="STOCK",VLOOKUP(I24,'COST - SELL'!$B$26:$G$29,6,0),IF(H24="LINE-ATELIER",VLOOKUP(I24,'COST - SELL'!$J$26:$Q$29,8,0),IF(H24="LINE-VTLUX",VLOOKUP(I24,'COST - SELL'!$B$36:$I$51,8,0),0))))</f>
        <v>31.8</v>
      </c>
      <c r="BA24" s="313">
        <f t="shared" si="25"/>
        <v>318</v>
      </c>
      <c r="BB24" s="314">
        <f>IF(C24="","",IF(L24="N/A",0,VLOOKUP(L24,'COST - SELL'!$B$60:$I$63,8,0)))</f>
        <v>0</v>
      </c>
      <c r="BC24" s="313">
        <f t="shared" si="26"/>
        <v>0</v>
      </c>
      <c r="BD24" s="315">
        <f>IF(C24="","",IF(H24="C.O.M.",VLOOKUP(F24,'COST - SELL'!$J$11:$N$19,5,0),VLOOKUP(F24,'COST - SELL'!$B$11:$H$19,7,0)))</f>
        <v>16.25</v>
      </c>
      <c r="BE24" s="315">
        <f t="shared" si="27"/>
        <v>88.773148148148152</v>
      </c>
      <c r="BF24" s="313">
        <f t="shared" si="30"/>
        <v>406.8</v>
      </c>
      <c r="BG24" s="316">
        <f>IF(C24="","",IF(Q24="N/A",0,VLOOKUP(Q24,'COST - SELL'!$B$80:$I$91,8,0)*'FILL QUOTE-CALCULATIONS'!AX24))</f>
        <v>102.40036231884059</v>
      </c>
      <c r="BH24" s="316">
        <f>IF(C24="","",IF(S24="N/A",0,IF(AY24="N/A",0,INDEX('COST - SELL'!$O$70:$S$73,MATCH('FILL QUOTE-CALCULATIONS'!S24,'COST - SELL'!$O$70:$O$73,0),MATCH('FILL QUOTE-CALCULATIONS'!AY24,'COST - SELL'!$O$70:$S$70,0)))))</f>
        <v>15.3</v>
      </c>
      <c r="BI24" s="316">
        <f t="shared" si="28"/>
        <v>117.75</v>
      </c>
      <c r="BJ24" s="316">
        <f t="shared" si="29"/>
        <v>524.54999999999995</v>
      </c>
    </row>
    <row r="25" spans="2:62" x14ac:dyDescent="0.25">
      <c r="B25" s="231">
        <f t="shared" si="31"/>
        <v>11</v>
      </c>
      <c r="C25" s="180">
        <v>1</v>
      </c>
      <c r="D25" s="178" t="s">
        <v>298</v>
      </c>
      <c r="E25" s="179" t="s">
        <v>131</v>
      </c>
      <c r="F25" s="179" t="s">
        <v>136</v>
      </c>
      <c r="G25" s="671">
        <v>2</v>
      </c>
      <c r="H25" s="905" t="s">
        <v>187</v>
      </c>
      <c r="I25" s="905" t="s">
        <v>321</v>
      </c>
      <c r="J25" s="179" t="str">
        <f t="shared" si="36"/>
        <v/>
      </c>
      <c r="K25" s="672" t="s">
        <v>784</v>
      </c>
      <c r="L25" s="179" t="s">
        <v>122</v>
      </c>
      <c r="M25" s="672" t="s">
        <v>756</v>
      </c>
      <c r="N25" s="673">
        <v>90</v>
      </c>
      <c r="O25" s="673">
        <v>51</v>
      </c>
      <c r="P25" s="197" t="s">
        <v>266</v>
      </c>
      <c r="Q25" s="178" t="s">
        <v>736</v>
      </c>
      <c r="R25" s="176" t="s">
        <v>750</v>
      </c>
      <c r="S25" s="179" t="s">
        <v>289</v>
      </c>
      <c r="T25" s="894">
        <f t="shared" si="1"/>
        <v>305.8</v>
      </c>
      <c r="U25" s="668">
        <v>0.4</v>
      </c>
      <c r="V25" s="669">
        <v>0.5</v>
      </c>
      <c r="W25" s="895">
        <f t="shared" si="2"/>
        <v>78.550000000000011</v>
      </c>
      <c r="X25" s="694">
        <v>0.4</v>
      </c>
      <c r="Y25" s="690">
        <v>0.3</v>
      </c>
      <c r="Z25" s="667">
        <f t="shared" si="32"/>
        <v>230.60999999999999</v>
      </c>
      <c r="AA25" s="659">
        <f t="shared" si="33"/>
        <v>230.60999999999999</v>
      </c>
      <c r="AB25" s="894">
        <f t="shared" si="3"/>
        <v>384.35</v>
      </c>
      <c r="AC25" s="895">
        <f t="shared" si="34"/>
        <v>384.35</v>
      </c>
      <c r="AD25" s="181"/>
      <c r="AE25" s="882">
        <f t="shared" si="4"/>
        <v>12.5</v>
      </c>
      <c r="AF25" s="882">
        <f t="shared" si="5"/>
        <v>4.5</v>
      </c>
      <c r="AG25" s="882">
        <f t="shared" si="6"/>
        <v>9</v>
      </c>
      <c r="AH25" s="883">
        <f t="shared" si="7"/>
        <v>8</v>
      </c>
      <c r="AI25" s="317">
        <f t="shared" si="8"/>
        <v>197</v>
      </c>
      <c r="AJ25" s="304">
        <f t="shared" si="9"/>
        <v>68</v>
      </c>
      <c r="AK25" s="304">
        <f t="shared" si="10"/>
        <v>54</v>
      </c>
      <c r="AL25" s="318" t="str">
        <f t="shared" si="11"/>
        <v>VERTICAL</v>
      </c>
      <c r="AM25" s="318">
        <f t="shared" si="12"/>
        <v>3.6481481481481484</v>
      </c>
      <c r="AN25" s="319">
        <f t="shared" si="13"/>
        <v>4</v>
      </c>
      <c r="AO25" s="319">
        <f t="shared" si="14"/>
        <v>4</v>
      </c>
      <c r="AP25" s="318">
        <f t="shared" si="15"/>
        <v>8.25</v>
      </c>
      <c r="AQ25" s="320">
        <f t="shared" si="16"/>
        <v>8.25</v>
      </c>
      <c r="AR25" s="306">
        <f t="shared" si="17"/>
        <v>197</v>
      </c>
      <c r="AS25" s="308">
        <f t="shared" si="18"/>
        <v>62</v>
      </c>
      <c r="AT25" s="308">
        <f t="shared" si="19"/>
        <v>54</v>
      </c>
      <c r="AU25" s="308" t="str">
        <f t="shared" si="20"/>
        <v>VERTICAL</v>
      </c>
      <c r="AV25" s="308">
        <f t="shared" si="21"/>
        <v>6.9</v>
      </c>
      <c r="AW25" s="310">
        <f t="shared" si="22"/>
        <v>6.9</v>
      </c>
      <c r="AX25" s="321">
        <f t="shared" si="23"/>
        <v>8.1521739130434785</v>
      </c>
      <c r="AY25" s="308">
        <f t="shared" ref="AY25:AY62" si="37">IF(C25="","",IF(S25="N/A","N/A",IF(O25&lt;102,36,IF(O25&gt;136,"N/A",CEILING(O25-60,12)))))</f>
        <v>36</v>
      </c>
      <c r="AZ25" s="312">
        <f>IF(C25="","",IF(H25="STOCK",VLOOKUP(I25,'COST - SELL'!$B$26:$G$29,6,0),IF(H25="LINE-ATELIER",VLOOKUP(I25,'COST - SELL'!$J$26:$Q$29,8,0),IF(H25="LINE-VTLUX",VLOOKUP(I25,'COST - SELL'!$B$36:$I$51,8,0),0))))</f>
        <v>27.900000000000002</v>
      </c>
      <c r="BA25" s="313">
        <f t="shared" si="25"/>
        <v>230.17500000000001</v>
      </c>
      <c r="BB25" s="314">
        <f>IF(C25="","",IF(L25="N/A",0,VLOOKUP(L25,'COST - SELL'!$B$60:$I$63,8,0)))</f>
        <v>0</v>
      </c>
      <c r="BC25" s="313">
        <f t="shared" si="26"/>
        <v>0</v>
      </c>
      <c r="BD25" s="315">
        <f>IF(C25="","",IF(H25="C.O.M.",VLOOKUP(F25,'COST - SELL'!$J$11:$N$19,5,0),VLOOKUP(F25,'COST - SELL'!$B$11:$H$19,7,0)))</f>
        <v>18.900000000000002</v>
      </c>
      <c r="BE25" s="315">
        <f t="shared" si="27"/>
        <v>75.600000000000009</v>
      </c>
      <c r="BF25" s="313">
        <f t="shared" si="30"/>
        <v>305.8</v>
      </c>
      <c r="BG25" s="316">
        <f>IF(C25="","",IF(Q25="N/A",0,VLOOKUP(Q25,'COST - SELL'!$B$80:$I$91,8,0)*'FILL QUOTE-CALCULATIONS'!AX25))</f>
        <v>69.293478260869563</v>
      </c>
      <c r="BH25" s="316">
        <f>IF(C25="","",IF(S25="N/A",0,IF(AY25="N/A",0,INDEX('COST - SELL'!$O$70:$S$73,MATCH('FILL QUOTE-CALCULATIONS'!S25,'COST - SELL'!$O$70:$O$73,0),MATCH('FILL QUOTE-CALCULATIONS'!AY25,'COST - SELL'!$O$70:$S$70,0)))))</f>
        <v>9.25</v>
      </c>
      <c r="BI25" s="316">
        <f t="shared" si="28"/>
        <v>78.550000000000011</v>
      </c>
      <c r="BJ25" s="316">
        <f t="shared" si="29"/>
        <v>384.35</v>
      </c>
    </row>
    <row r="26" spans="2:62" x14ac:dyDescent="0.25">
      <c r="B26" s="231">
        <f t="shared" si="31"/>
        <v>12</v>
      </c>
      <c r="C26" s="180">
        <v>1</v>
      </c>
      <c r="D26" s="178" t="s">
        <v>298</v>
      </c>
      <c r="E26" s="179" t="s">
        <v>131</v>
      </c>
      <c r="F26" s="179" t="s">
        <v>116</v>
      </c>
      <c r="G26" s="671">
        <v>2</v>
      </c>
      <c r="H26" s="905" t="s">
        <v>187</v>
      </c>
      <c r="I26" s="905" t="s">
        <v>323</v>
      </c>
      <c r="J26" s="179" t="str">
        <f t="shared" si="36"/>
        <v/>
      </c>
      <c r="K26" s="672" t="s">
        <v>783</v>
      </c>
      <c r="L26" s="179" t="s">
        <v>122</v>
      </c>
      <c r="M26" s="672" t="s">
        <v>756</v>
      </c>
      <c r="N26" s="673">
        <v>90</v>
      </c>
      <c r="O26" s="673">
        <v>51</v>
      </c>
      <c r="P26" s="197" t="s">
        <v>266</v>
      </c>
      <c r="Q26" s="178" t="s">
        <v>736</v>
      </c>
      <c r="R26" s="176" t="s">
        <v>750</v>
      </c>
      <c r="S26" s="179" t="s">
        <v>289</v>
      </c>
      <c r="T26" s="894">
        <f t="shared" si="1"/>
        <v>255.8</v>
      </c>
      <c r="U26" s="668">
        <v>0.4</v>
      </c>
      <c r="V26" s="669">
        <v>0.5</v>
      </c>
      <c r="W26" s="895">
        <f t="shared" si="2"/>
        <v>78.550000000000011</v>
      </c>
      <c r="X26" s="694">
        <v>0.4</v>
      </c>
      <c r="Y26" s="690">
        <v>0.3</v>
      </c>
      <c r="Z26" s="667">
        <f t="shared" si="32"/>
        <v>200.60999999999999</v>
      </c>
      <c r="AA26" s="659">
        <f t="shared" si="33"/>
        <v>200.60999999999999</v>
      </c>
      <c r="AB26" s="894">
        <f t="shared" si="3"/>
        <v>334.35</v>
      </c>
      <c r="AC26" s="895">
        <f t="shared" si="34"/>
        <v>334.35</v>
      </c>
      <c r="AD26" s="181"/>
      <c r="AE26" s="882">
        <f t="shared" si="4"/>
        <v>12.5</v>
      </c>
      <c r="AF26" s="882">
        <f t="shared" si="5"/>
        <v>4.5</v>
      </c>
      <c r="AG26" s="882">
        <f t="shared" si="6"/>
        <v>9</v>
      </c>
      <c r="AH26" s="883">
        <f t="shared" si="7"/>
        <v>8</v>
      </c>
      <c r="AI26" s="317">
        <f t="shared" si="8"/>
        <v>197</v>
      </c>
      <c r="AJ26" s="304">
        <f t="shared" si="9"/>
        <v>68</v>
      </c>
      <c r="AK26" s="304">
        <f t="shared" si="10"/>
        <v>118</v>
      </c>
      <c r="AL26" s="318" t="str">
        <f t="shared" si="11"/>
        <v>RAILROAD</v>
      </c>
      <c r="AM26" s="318">
        <f t="shared" si="12"/>
        <v>1.6694915254237288</v>
      </c>
      <c r="AN26" s="319" t="str">
        <f t="shared" si="13"/>
        <v>N/A</v>
      </c>
      <c r="AO26" s="319">
        <f t="shared" si="14"/>
        <v>4</v>
      </c>
      <c r="AP26" s="318">
        <f t="shared" si="15"/>
        <v>6</v>
      </c>
      <c r="AQ26" s="320">
        <f t="shared" si="16"/>
        <v>6</v>
      </c>
      <c r="AR26" s="306">
        <f t="shared" si="17"/>
        <v>197</v>
      </c>
      <c r="AS26" s="308">
        <f t="shared" si="18"/>
        <v>62</v>
      </c>
      <c r="AT26" s="308">
        <f t="shared" si="19"/>
        <v>54</v>
      </c>
      <c r="AU26" s="308" t="str">
        <f t="shared" si="20"/>
        <v>VERTICAL</v>
      </c>
      <c r="AV26" s="308">
        <f t="shared" si="21"/>
        <v>6.9</v>
      </c>
      <c r="AW26" s="310">
        <f t="shared" si="22"/>
        <v>6.9</v>
      </c>
      <c r="AX26" s="321">
        <f t="shared" si="23"/>
        <v>8.1521739130434785</v>
      </c>
      <c r="AY26" s="308">
        <f t="shared" si="37"/>
        <v>36</v>
      </c>
      <c r="AZ26" s="312">
        <f>IF(C26="","",IF(H26="STOCK",VLOOKUP(I26,'COST - SELL'!$B$26:$G$29,6,0),IF(H26="LINE-ATELIER",VLOOKUP(I26,'COST - SELL'!$J$26:$Q$29,8,0),IF(H26="LINE-VTLUX",VLOOKUP(I26,'COST - SELL'!$B$36:$I$51,8,0),0))))</f>
        <v>31.8</v>
      </c>
      <c r="BA26" s="313">
        <f t="shared" si="25"/>
        <v>190.8</v>
      </c>
      <c r="BB26" s="314">
        <f>IF(C26="","",IF(L26="N/A",0,VLOOKUP(L26,'COST - SELL'!$B$60:$I$63,8,0)))</f>
        <v>0</v>
      </c>
      <c r="BC26" s="313">
        <f t="shared" si="26"/>
        <v>0</v>
      </c>
      <c r="BD26" s="315">
        <f>IF(C26="","",IF(H26="C.O.M.",VLOOKUP(F26,'COST - SELL'!$J$11:$N$19,5,0),VLOOKUP(F26,'COST - SELL'!$B$11:$H$19,7,0)))</f>
        <v>16.25</v>
      </c>
      <c r="BE26" s="315">
        <f t="shared" si="27"/>
        <v>65</v>
      </c>
      <c r="BF26" s="313">
        <f t="shared" si="30"/>
        <v>255.8</v>
      </c>
      <c r="BG26" s="316">
        <f>IF(C26="","",IF(Q26="N/A",0,VLOOKUP(Q26,'COST - SELL'!$B$80:$I$91,8,0)*'FILL QUOTE-CALCULATIONS'!AX26))</f>
        <v>69.293478260869563</v>
      </c>
      <c r="BH26" s="316">
        <f>IF(C26="","",IF(S26="N/A",0,IF(AY26="N/A",0,INDEX('COST - SELL'!$O$70:$S$73,MATCH('FILL QUOTE-CALCULATIONS'!S26,'COST - SELL'!$O$70:$O$73,0),MATCH('FILL QUOTE-CALCULATIONS'!AY26,'COST - SELL'!$O$70:$S$70,0)))))</f>
        <v>9.25</v>
      </c>
      <c r="BI26" s="316">
        <f t="shared" si="28"/>
        <v>78.550000000000011</v>
      </c>
      <c r="BJ26" s="316">
        <f t="shared" si="29"/>
        <v>334.35</v>
      </c>
    </row>
    <row r="27" spans="2:62" x14ac:dyDescent="0.25">
      <c r="B27" s="231">
        <f t="shared" si="31"/>
        <v>13</v>
      </c>
      <c r="C27" s="180">
        <v>1</v>
      </c>
      <c r="D27" s="178" t="s">
        <v>298</v>
      </c>
      <c r="E27" s="179" t="s">
        <v>131</v>
      </c>
      <c r="F27" s="179" t="s">
        <v>136</v>
      </c>
      <c r="G27" s="671">
        <v>2</v>
      </c>
      <c r="H27" s="905" t="s">
        <v>187</v>
      </c>
      <c r="I27" s="905" t="s">
        <v>321</v>
      </c>
      <c r="J27" s="179" t="str">
        <f t="shared" si="36"/>
        <v/>
      </c>
      <c r="K27" s="672" t="s">
        <v>784</v>
      </c>
      <c r="L27" s="179" t="s">
        <v>122</v>
      </c>
      <c r="M27" s="672" t="s">
        <v>757</v>
      </c>
      <c r="N27" s="673">
        <v>105.5</v>
      </c>
      <c r="O27" s="673">
        <v>116</v>
      </c>
      <c r="P27" s="197" t="s">
        <v>287</v>
      </c>
      <c r="Q27" s="178" t="s">
        <v>736</v>
      </c>
      <c r="R27" s="176" t="s">
        <v>750</v>
      </c>
      <c r="S27" s="179" t="s">
        <v>289</v>
      </c>
      <c r="T27" s="894">
        <f t="shared" si="1"/>
        <v>587.25</v>
      </c>
      <c r="U27" s="668">
        <v>0.4</v>
      </c>
      <c r="V27" s="669">
        <v>0.5</v>
      </c>
      <c r="W27" s="895">
        <f t="shared" si="2"/>
        <v>96.550000000000011</v>
      </c>
      <c r="X27" s="694">
        <v>0.4</v>
      </c>
      <c r="Y27" s="690">
        <v>0.3</v>
      </c>
      <c r="Z27" s="667">
        <f t="shared" si="32"/>
        <v>410.28</v>
      </c>
      <c r="AA27" s="659">
        <f t="shared" si="33"/>
        <v>410.28</v>
      </c>
      <c r="AB27" s="894">
        <f t="shared" si="3"/>
        <v>683.8</v>
      </c>
      <c r="AC27" s="895">
        <f t="shared" si="34"/>
        <v>683.8</v>
      </c>
      <c r="AD27" s="181"/>
      <c r="AE27" s="882">
        <f t="shared" si="4"/>
        <v>12.5</v>
      </c>
      <c r="AF27" s="882">
        <f t="shared" si="5"/>
        <v>5.2750000000000004</v>
      </c>
      <c r="AG27" s="882">
        <f t="shared" si="6"/>
        <v>9</v>
      </c>
      <c r="AH27" s="883">
        <f t="shared" si="7"/>
        <v>8</v>
      </c>
      <c r="AI27" s="317">
        <f t="shared" si="8"/>
        <v>228.77500000000001</v>
      </c>
      <c r="AJ27" s="304">
        <f t="shared" si="9"/>
        <v>133</v>
      </c>
      <c r="AK27" s="304">
        <f t="shared" si="10"/>
        <v>54</v>
      </c>
      <c r="AL27" s="318" t="str">
        <f t="shared" si="11"/>
        <v>VERTICAL</v>
      </c>
      <c r="AM27" s="318">
        <f t="shared" si="12"/>
        <v>4.236574074074074</v>
      </c>
      <c r="AN27" s="319">
        <f t="shared" si="13"/>
        <v>4.5</v>
      </c>
      <c r="AO27" s="319">
        <f t="shared" si="14"/>
        <v>4.5</v>
      </c>
      <c r="AP27" s="318">
        <f t="shared" si="15"/>
        <v>18</v>
      </c>
      <c r="AQ27" s="320">
        <f t="shared" si="16"/>
        <v>18</v>
      </c>
      <c r="AR27" s="306">
        <f t="shared" si="17"/>
        <v>229</v>
      </c>
      <c r="AS27" s="308">
        <f t="shared" si="18"/>
        <v>127</v>
      </c>
      <c r="AT27" s="308">
        <f t="shared" si="19"/>
        <v>54</v>
      </c>
      <c r="AU27" s="308" t="str">
        <f t="shared" si="20"/>
        <v>VERTICAL</v>
      </c>
      <c r="AV27" s="308">
        <f t="shared" si="21"/>
        <v>16</v>
      </c>
      <c r="AW27" s="310">
        <f t="shared" si="22"/>
        <v>16</v>
      </c>
      <c r="AX27" s="321">
        <f t="shared" si="23"/>
        <v>9.5561594202898537</v>
      </c>
      <c r="AY27" s="308">
        <f t="shared" si="37"/>
        <v>60</v>
      </c>
      <c r="AZ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A27" s="313">
        <f t="shared" si="25"/>
        <v>502.20000000000005</v>
      </c>
      <c r="BB27" s="314">
        <f>IF(C27="","",IF(L27="N/A",0,VLOOKUP(L27,'COST - SELL'!$B$60:$I$63,8,0)))</f>
        <v>0</v>
      </c>
      <c r="BC27" s="313">
        <f t="shared" si="26"/>
        <v>0</v>
      </c>
      <c r="BD27" s="315">
        <f>IF(C27="","",IF(H27="C.O.M.",VLOOKUP(F27,'COST - SELL'!$J$11:$N$19,5,0),VLOOKUP(F27,'COST - SELL'!$B$11:$H$19,7,0)))</f>
        <v>18.900000000000002</v>
      </c>
      <c r="BE27" s="315">
        <f t="shared" si="27"/>
        <v>85.050000000000011</v>
      </c>
      <c r="BF27" s="313">
        <f t="shared" si="30"/>
        <v>587.25</v>
      </c>
      <c r="BG27" s="316">
        <f>IF(C27="","",IF(Q27="N/A",0,VLOOKUP(Q27,'COST - SELL'!$B$80:$I$91,8,0)*'FILL QUOTE-CALCULATIONS'!AX27))</f>
        <v>81.227355072463752</v>
      </c>
      <c r="BH27" s="316">
        <f>IF(C27="","",IF(S27="N/A",0,IF(AY27="N/A",0,INDEX('COST - SELL'!$O$70:$S$73,MATCH('FILL QUOTE-CALCULATIONS'!S27,'COST - SELL'!$O$70:$O$73,0),MATCH('FILL QUOTE-CALCULATIONS'!AY27,'COST - SELL'!$O$70:$S$70,0)))))</f>
        <v>15.3</v>
      </c>
      <c r="BI27" s="316">
        <f t="shared" si="28"/>
        <v>96.550000000000011</v>
      </c>
      <c r="BJ27" s="316">
        <f t="shared" si="29"/>
        <v>683.8</v>
      </c>
    </row>
    <row r="28" spans="2:62" x14ac:dyDescent="0.25">
      <c r="B28" s="231">
        <f t="shared" si="31"/>
        <v>14</v>
      </c>
      <c r="C28" s="180">
        <v>1</v>
      </c>
      <c r="D28" s="178" t="s">
        <v>298</v>
      </c>
      <c r="E28" s="179" t="s">
        <v>131</v>
      </c>
      <c r="F28" s="179" t="s">
        <v>116</v>
      </c>
      <c r="G28" s="671">
        <v>2</v>
      </c>
      <c r="H28" s="905" t="s">
        <v>187</v>
      </c>
      <c r="I28" s="905" t="s">
        <v>323</v>
      </c>
      <c r="J28" s="179" t="str">
        <f t="shared" si="36"/>
        <v/>
      </c>
      <c r="K28" s="672" t="s">
        <v>783</v>
      </c>
      <c r="L28" s="179" t="s">
        <v>122</v>
      </c>
      <c r="M28" s="672" t="s">
        <v>757</v>
      </c>
      <c r="N28" s="673">
        <v>105.5</v>
      </c>
      <c r="O28" s="673">
        <v>116</v>
      </c>
      <c r="P28" s="197" t="s">
        <v>287</v>
      </c>
      <c r="Q28" s="178" t="s">
        <v>736</v>
      </c>
      <c r="R28" s="176" t="s">
        <v>750</v>
      </c>
      <c r="S28" s="179" t="s">
        <v>289</v>
      </c>
      <c r="T28" s="894">
        <f t="shared" si="1"/>
        <v>325.45000000000005</v>
      </c>
      <c r="U28" s="668">
        <v>0.4</v>
      </c>
      <c r="V28" s="669">
        <v>0.5</v>
      </c>
      <c r="W28" s="895">
        <f t="shared" si="2"/>
        <v>96.550000000000011</v>
      </c>
      <c r="X28" s="694">
        <v>0.4</v>
      </c>
      <c r="Y28" s="690">
        <v>0.3</v>
      </c>
      <c r="Z28" s="667">
        <f t="shared" si="32"/>
        <v>253.20000000000002</v>
      </c>
      <c r="AA28" s="659">
        <f t="shared" si="33"/>
        <v>253.20000000000002</v>
      </c>
      <c r="AB28" s="894">
        <f t="shared" si="3"/>
        <v>422.00000000000006</v>
      </c>
      <c r="AC28" s="895">
        <f t="shared" si="34"/>
        <v>422.00000000000006</v>
      </c>
      <c r="AD28" s="181"/>
      <c r="AE28" s="882">
        <f t="shared" si="4"/>
        <v>12.5</v>
      </c>
      <c r="AF28" s="882">
        <f t="shared" si="5"/>
        <v>5.2750000000000004</v>
      </c>
      <c r="AG28" s="882">
        <f t="shared" si="6"/>
        <v>9</v>
      </c>
      <c r="AH28" s="883">
        <f t="shared" si="7"/>
        <v>8</v>
      </c>
      <c r="AI28" s="317">
        <f t="shared" si="8"/>
        <v>228.77500000000001</v>
      </c>
      <c r="AJ28" s="304">
        <f t="shared" si="9"/>
        <v>133</v>
      </c>
      <c r="AK28" s="304">
        <f t="shared" si="10"/>
        <v>118</v>
      </c>
      <c r="AL28" s="318" t="str">
        <f t="shared" si="11"/>
        <v>VERTICAL</v>
      </c>
      <c r="AM28" s="318">
        <f t="shared" si="12"/>
        <v>1.938771186440678</v>
      </c>
      <c r="AN28" s="319">
        <f t="shared" si="13"/>
        <v>2</v>
      </c>
      <c r="AO28" s="319">
        <f t="shared" si="14"/>
        <v>4.3703703703703702</v>
      </c>
      <c r="AP28" s="318">
        <f t="shared" si="15"/>
        <v>8</v>
      </c>
      <c r="AQ28" s="320">
        <f t="shared" si="16"/>
        <v>8</v>
      </c>
      <c r="AR28" s="306">
        <f t="shared" si="17"/>
        <v>229</v>
      </c>
      <c r="AS28" s="308">
        <f t="shared" si="18"/>
        <v>127</v>
      </c>
      <c r="AT28" s="308">
        <f t="shared" si="19"/>
        <v>54</v>
      </c>
      <c r="AU28" s="308" t="str">
        <f t="shared" si="20"/>
        <v>VERTICAL</v>
      </c>
      <c r="AV28" s="308">
        <f t="shared" si="21"/>
        <v>16</v>
      </c>
      <c r="AW28" s="310">
        <f t="shared" si="22"/>
        <v>16</v>
      </c>
      <c r="AX28" s="321">
        <f t="shared" si="23"/>
        <v>9.5561594202898537</v>
      </c>
      <c r="AY28" s="308">
        <f t="shared" si="37"/>
        <v>60</v>
      </c>
      <c r="AZ28" s="312">
        <f>IF(C28="","",IF(H28="STOCK",VLOOKUP(I28,'COST - SELL'!$B$26:$G$29,6,0),IF(H28="LINE-ATELIER",VLOOKUP(I28,'COST - SELL'!$J$26:$Q$29,8,0),IF(H28="LINE-VTLUX",VLOOKUP(I28,'COST - SELL'!$B$36:$I$51,8,0),0))))</f>
        <v>31.8</v>
      </c>
      <c r="BA28" s="313">
        <f t="shared" si="25"/>
        <v>254.4</v>
      </c>
      <c r="BB28" s="314">
        <f>IF(C28="","",IF(L28="N/A",0,VLOOKUP(L28,'COST - SELL'!$B$60:$I$63,8,0)))</f>
        <v>0</v>
      </c>
      <c r="BC28" s="313">
        <f t="shared" si="26"/>
        <v>0</v>
      </c>
      <c r="BD28" s="315">
        <f>IF(C28="","",IF(H28="C.O.M.",VLOOKUP(F28,'COST - SELL'!$J$11:$N$19,5,0),VLOOKUP(F28,'COST - SELL'!$B$11:$H$19,7,0)))</f>
        <v>16.25</v>
      </c>
      <c r="BE28" s="315">
        <f t="shared" si="27"/>
        <v>71.018518518518519</v>
      </c>
      <c r="BF28" s="313">
        <f t="shared" si="30"/>
        <v>325.45000000000005</v>
      </c>
      <c r="BG28" s="316">
        <f>IF(C28="","",IF(Q28="N/A",0,VLOOKUP(Q28,'COST - SELL'!$B$80:$I$91,8,0)*'FILL QUOTE-CALCULATIONS'!AX28))</f>
        <v>81.227355072463752</v>
      </c>
      <c r="BH28" s="316">
        <f>IF(C28="","",IF(S28="N/A",0,IF(AY28="N/A",0,INDEX('COST - SELL'!$O$70:$S$73,MATCH('FILL QUOTE-CALCULATIONS'!S28,'COST - SELL'!$O$70:$O$73,0),MATCH('FILL QUOTE-CALCULATIONS'!AY28,'COST - SELL'!$O$70:$S$70,0)))))</f>
        <v>15.3</v>
      </c>
      <c r="BI28" s="316">
        <f t="shared" si="28"/>
        <v>96.550000000000011</v>
      </c>
      <c r="BJ28" s="316">
        <f t="shared" si="29"/>
        <v>422.00000000000006</v>
      </c>
    </row>
    <row r="29" spans="2:62" x14ac:dyDescent="0.25">
      <c r="B29" s="231">
        <f t="shared" si="31"/>
        <v>15</v>
      </c>
      <c r="C29" s="180">
        <v>1</v>
      </c>
      <c r="D29" s="178" t="s">
        <v>298</v>
      </c>
      <c r="E29" s="179" t="s">
        <v>131</v>
      </c>
      <c r="F29" s="179" t="s">
        <v>136</v>
      </c>
      <c r="G29" s="671">
        <v>2</v>
      </c>
      <c r="H29" s="905" t="s">
        <v>187</v>
      </c>
      <c r="I29" s="905" t="s">
        <v>321</v>
      </c>
      <c r="J29" s="179" t="str">
        <f t="shared" si="36"/>
        <v/>
      </c>
      <c r="K29" s="672" t="s">
        <v>784</v>
      </c>
      <c r="L29" s="179" t="s">
        <v>122</v>
      </c>
      <c r="M29" s="672" t="s">
        <v>758</v>
      </c>
      <c r="N29" s="673">
        <v>132</v>
      </c>
      <c r="O29" s="673">
        <v>116.5</v>
      </c>
      <c r="P29" s="197" t="s">
        <v>287</v>
      </c>
      <c r="Q29" s="178" t="s">
        <v>736</v>
      </c>
      <c r="R29" s="176" t="s">
        <v>750</v>
      </c>
      <c r="S29" s="179" t="s">
        <v>289</v>
      </c>
      <c r="T29" s="894">
        <f t="shared" si="1"/>
        <v>717.75</v>
      </c>
      <c r="U29" s="668">
        <v>0.4</v>
      </c>
      <c r="V29" s="669">
        <v>0.5</v>
      </c>
      <c r="W29" s="895">
        <f t="shared" si="2"/>
        <v>116.95</v>
      </c>
      <c r="X29" s="694">
        <v>0.4</v>
      </c>
      <c r="Y29" s="690">
        <v>0.3</v>
      </c>
      <c r="Z29" s="667">
        <f t="shared" si="32"/>
        <v>500.82</v>
      </c>
      <c r="AA29" s="659">
        <f t="shared" si="33"/>
        <v>500.82</v>
      </c>
      <c r="AB29" s="894">
        <f t="shared" si="3"/>
        <v>834.7</v>
      </c>
      <c r="AC29" s="895">
        <f t="shared" si="34"/>
        <v>834.7</v>
      </c>
      <c r="AD29" s="181"/>
      <c r="AE29" s="882">
        <f t="shared" si="4"/>
        <v>12.5</v>
      </c>
      <c r="AF29" s="882">
        <f t="shared" si="5"/>
        <v>6.6000000000000005</v>
      </c>
      <c r="AG29" s="882">
        <f t="shared" si="6"/>
        <v>9</v>
      </c>
      <c r="AH29" s="883">
        <f t="shared" si="7"/>
        <v>8</v>
      </c>
      <c r="AI29" s="317">
        <f t="shared" si="8"/>
        <v>283.10000000000002</v>
      </c>
      <c r="AJ29" s="304">
        <f t="shared" si="9"/>
        <v>133.5</v>
      </c>
      <c r="AK29" s="304">
        <f t="shared" si="10"/>
        <v>54</v>
      </c>
      <c r="AL29" s="318" t="str">
        <f t="shared" si="11"/>
        <v>VERTICAL</v>
      </c>
      <c r="AM29" s="318">
        <f t="shared" si="12"/>
        <v>5.2425925925925929</v>
      </c>
      <c r="AN29" s="319">
        <f t="shared" si="13"/>
        <v>5.5</v>
      </c>
      <c r="AO29" s="319">
        <f t="shared" si="14"/>
        <v>5.5</v>
      </c>
      <c r="AP29" s="318">
        <f t="shared" si="15"/>
        <v>22</v>
      </c>
      <c r="AQ29" s="320">
        <f t="shared" si="16"/>
        <v>22</v>
      </c>
      <c r="AR29" s="306">
        <f t="shared" si="17"/>
        <v>284</v>
      </c>
      <c r="AS29" s="308">
        <f t="shared" si="18"/>
        <v>127.5</v>
      </c>
      <c r="AT29" s="308">
        <f t="shared" si="19"/>
        <v>54</v>
      </c>
      <c r="AU29" s="308" t="str">
        <f t="shared" si="20"/>
        <v>VERTICAL</v>
      </c>
      <c r="AV29" s="308">
        <f t="shared" si="21"/>
        <v>20.8</v>
      </c>
      <c r="AW29" s="310">
        <f t="shared" si="22"/>
        <v>20.8</v>
      </c>
      <c r="AX29" s="321">
        <f t="shared" si="23"/>
        <v>11.956521739130434</v>
      </c>
      <c r="AY29" s="308">
        <f t="shared" si="37"/>
        <v>60</v>
      </c>
      <c r="AZ29" s="312">
        <f>IF(C29="","",IF(H29="STOCK",VLOOKUP(I29,'COST - SELL'!$B$26:$G$29,6,0),IF(H29="LINE-ATELIER",VLOOKUP(I29,'COST - SELL'!$J$26:$Q$29,8,0),IF(H29="LINE-VTLUX",VLOOKUP(I29,'COST - SELL'!$B$36:$I$51,8,0),0))))</f>
        <v>27.900000000000002</v>
      </c>
      <c r="BA29" s="313">
        <f t="shared" si="25"/>
        <v>613.80000000000007</v>
      </c>
      <c r="BB29" s="314">
        <f>IF(C29="","",IF(L29="N/A",0,VLOOKUP(L29,'COST - SELL'!$B$60:$I$63,8,0)))</f>
        <v>0</v>
      </c>
      <c r="BC29" s="313">
        <f t="shared" si="26"/>
        <v>0</v>
      </c>
      <c r="BD29" s="315">
        <f>IF(C29="","",IF(H29="C.O.M.",VLOOKUP(F29,'COST - SELL'!$J$11:$N$19,5,0),VLOOKUP(F29,'COST - SELL'!$B$11:$H$19,7,0)))</f>
        <v>18.900000000000002</v>
      </c>
      <c r="BE29" s="315">
        <f t="shared" si="27"/>
        <v>103.95000000000002</v>
      </c>
      <c r="BF29" s="313">
        <f t="shared" si="30"/>
        <v>717.75</v>
      </c>
      <c r="BG29" s="316">
        <f>IF(C29="","",IF(Q29="N/A",0,VLOOKUP(Q29,'COST - SELL'!$B$80:$I$91,8,0)*'FILL QUOTE-CALCULATIONS'!AX29))</f>
        <v>101.63043478260869</v>
      </c>
      <c r="BH29" s="316">
        <f>IF(C29="","",IF(S29="N/A",0,IF(AY29="N/A",0,INDEX('COST - SELL'!$O$70:$S$73,MATCH('FILL QUOTE-CALCULATIONS'!S29,'COST - SELL'!$O$70:$O$73,0),MATCH('FILL QUOTE-CALCULATIONS'!AY29,'COST - SELL'!$O$70:$S$70,0)))))</f>
        <v>15.3</v>
      </c>
      <c r="BI29" s="316">
        <f t="shared" si="28"/>
        <v>116.95</v>
      </c>
      <c r="BJ29" s="316">
        <f t="shared" si="29"/>
        <v>834.7</v>
      </c>
    </row>
    <row r="30" spans="2:62" x14ac:dyDescent="0.25">
      <c r="B30" s="231">
        <f t="shared" si="31"/>
        <v>16</v>
      </c>
      <c r="C30" s="180">
        <v>1</v>
      </c>
      <c r="D30" s="178" t="s">
        <v>298</v>
      </c>
      <c r="E30" s="179" t="s">
        <v>131</v>
      </c>
      <c r="F30" s="179" t="s">
        <v>116</v>
      </c>
      <c r="G30" s="671">
        <v>2</v>
      </c>
      <c r="H30" s="905" t="s">
        <v>187</v>
      </c>
      <c r="I30" s="905" t="s">
        <v>323</v>
      </c>
      <c r="J30" s="179" t="str">
        <f t="shared" si="36"/>
        <v/>
      </c>
      <c r="K30" s="672" t="s">
        <v>783</v>
      </c>
      <c r="L30" s="179" t="s">
        <v>122</v>
      </c>
      <c r="M30" s="672" t="s">
        <v>758</v>
      </c>
      <c r="N30" s="673">
        <v>132</v>
      </c>
      <c r="O30" s="673">
        <v>116.5</v>
      </c>
      <c r="P30" s="197" t="s">
        <v>287</v>
      </c>
      <c r="Q30" s="178" t="s">
        <v>736</v>
      </c>
      <c r="R30" s="176" t="s">
        <v>750</v>
      </c>
      <c r="S30" s="179" t="s">
        <v>289</v>
      </c>
      <c r="T30" s="894">
        <f t="shared" si="1"/>
        <v>406.8</v>
      </c>
      <c r="U30" s="668">
        <v>0.4</v>
      </c>
      <c r="V30" s="669">
        <v>0.5</v>
      </c>
      <c r="W30" s="895">
        <f t="shared" si="2"/>
        <v>116.95</v>
      </c>
      <c r="X30" s="694">
        <v>0.4</v>
      </c>
      <c r="Y30" s="690">
        <v>0.3</v>
      </c>
      <c r="Z30" s="667">
        <f t="shared" si="32"/>
        <v>314.25</v>
      </c>
      <c r="AA30" s="659">
        <f t="shared" si="33"/>
        <v>314.25</v>
      </c>
      <c r="AB30" s="894">
        <f t="shared" si="3"/>
        <v>523.75</v>
      </c>
      <c r="AC30" s="895">
        <f t="shared" si="34"/>
        <v>523.75</v>
      </c>
      <c r="AD30" s="181"/>
      <c r="AE30" s="882">
        <f t="shared" si="4"/>
        <v>12.5</v>
      </c>
      <c r="AF30" s="882">
        <f t="shared" si="5"/>
        <v>6.6000000000000005</v>
      </c>
      <c r="AG30" s="882">
        <f t="shared" si="6"/>
        <v>9</v>
      </c>
      <c r="AH30" s="883">
        <f t="shared" si="7"/>
        <v>8</v>
      </c>
      <c r="AI30" s="317">
        <f t="shared" si="8"/>
        <v>283.10000000000002</v>
      </c>
      <c r="AJ30" s="304">
        <f t="shared" si="9"/>
        <v>133.5</v>
      </c>
      <c r="AK30" s="304">
        <f t="shared" si="10"/>
        <v>118</v>
      </c>
      <c r="AL30" s="318" t="str">
        <f t="shared" si="11"/>
        <v>VERTICAL</v>
      </c>
      <c r="AM30" s="318">
        <f t="shared" si="12"/>
        <v>2.3991525423728817</v>
      </c>
      <c r="AN30" s="319">
        <f t="shared" si="13"/>
        <v>2.5</v>
      </c>
      <c r="AO30" s="319">
        <f t="shared" si="14"/>
        <v>5.4629629629629628</v>
      </c>
      <c r="AP30" s="318">
        <f t="shared" si="15"/>
        <v>10</v>
      </c>
      <c r="AQ30" s="320">
        <f t="shared" si="16"/>
        <v>10</v>
      </c>
      <c r="AR30" s="306">
        <f t="shared" si="17"/>
        <v>284</v>
      </c>
      <c r="AS30" s="308">
        <f t="shared" si="18"/>
        <v>127.5</v>
      </c>
      <c r="AT30" s="308">
        <f t="shared" si="19"/>
        <v>54</v>
      </c>
      <c r="AU30" s="308" t="str">
        <f t="shared" si="20"/>
        <v>VERTICAL</v>
      </c>
      <c r="AV30" s="308">
        <f t="shared" si="21"/>
        <v>20.8</v>
      </c>
      <c r="AW30" s="310">
        <f t="shared" si="22"/>
        <v>20.8</v>
      </c>
      <c r="AX30" s="321">
        <f t="shared" si="23"/>
        <v>11.956521739130434</v>
      </c>
      <c r="AY30" s="308">
        <f t="shared" si="37"/>
        <v>60</v>
      </c>
      <c r="AZ30" s="312">
        <f>IF(C30="","",IF(H30="STOCK",VLOOKUP(I30,'COST - SELL'!$B$26:$G$29,6,0),IF(H30="LINE-ATELIER",VLOOKUP(I30,'COST - SELL'!$J$26:$Q$29,8,0),IF(H30="LINE-VTLUX",VLOOKUP(I30,'COST - SELL'!$B$36:$I$51,8,0),0))))</f>
        <v>31.8</v>
      </c>
      <c r="BA30" s="313">
        <f t="shared" si="25"/>
        <v>318</v>
      </c>
      <c r="BB30" s="314">
        <f>IF(C30="","",IF(L30="N/A",0,VLOOKUP(L30,'COST - SELL'!$B$60:$I$63,8,0)))</f>
        <v>0</v>
      </c>
      <c r="BC30" s="313">
        <f t="shared" si="26"/>
        <v>0</v>
      </c>
      <c r="BD30" s="315">
        <f>IF(C30="","",IF(H30="C.O.M.",VLOOKUP(F30,'COST - SELL'!$J$11:$N$19,5,0),VLOOKUP(F30,'COST - SELL'!$B$11:$H$19,7,0)))</f>
        <v>16.25</v>
      </c>
      <c r="BE30" s="315">
        <f t="shared" si="27"/>
        <v>88.773148148148152</v>
      </c>
      <c r="BF30" s="313">
        <f t="shared" si="30"/>
        <v>406.8</v>
      </c>
      <c r="BG30" s="316">
        <f>IF(C30="","",IF(Q30="N/A",0,VLOOKUP(Q30,'COST - SELL'!$B$80:$I$91,8,0)*'FILL QUOTE-CALCULATIONS'!AX30))</f>
        <v>101.63043478260869</v>
      </c>
      <c r="BH30" s="316">
        <f>IF(C30="","",IF(S30="N/A",0,IF(AY30="N/A",0,INDEX('COST - SELL'!$O$70:$S$73,MATCH('FILL QUOTE-CALCULATIONS'!S30,'COST - SELL'!$O$70:$O$73,0),MATCH('FILL QUOTE-CALCULATIONS'!AY30,'COST - SELL'!$O$70:$S$70,0)))))</f>
        <v>15.3</v>
      </c>
      <c r="BI30" s="316">
        <f t="shared" si="28"/>
        <v>116.95</v>
      </c>
      <c r="BJ30" s="316">
        <f t="shared" si="29"/>
        <v>523.75</v>
      </c>
    </row>
    <row r="31" spans="2:62" x14ac:dyDescent="0.25">
      <c r="B31" s="231">
        <f t="shared" si="31"/>
        <v>17</v>
      </c>
      <c r="C31" s="180">
        <v>1</v>
      </c>
      <c r="D31" s="178" t="s">
        <v>298</v>
      </c>
      <c r="E31" s="179" t="s">
        <v>131</v>
      </c>
      <c r="F31" s="179" t="s">
        <v>136</v>
      </c>
      <c r="G31" s="671">
        <v>2</v>
      </c>
      <c r="H31" s="905" t="s">
        <v>187</v>
      </c>
      <c r="I31" s="905" t="s">
        <v>321</v>
      </c>
      <c r="J31" s="179" t="str">
        <f t="shared" si="36"/>
        <v/>
      </c>
      <c r="K31" s="672" t="s">
        <v>784</v>
      </c>
      <c r="L31" s="179" t="s">
        <v>122</v>
      </c>
      <c r="M31" s="672" t="s">
        <v>759</v>
      </c>
      <c r="N31" s="673">
        <v>90</v>
      </c>
      <c r="O31" s="673">
        <v>51</v>
      </c>
      <c r="P31" s="197" t="s">
        <v>266</v>
      </c>
      <c r="Q31" s="178" t="s">
        <v>736</v>
      </c>
      <c r="R31" s="176" t="s">
        <v>750</v>
      </c>
      <c r="S31" s="179" t="s">
        <v>289</v>
      </c>
      <c r="T31" s="894">
        <f t="shared" si="1"/>
        <v>305.8</v>
      </c>
      <c r="U31" s="668">
        <v>0.4</v>
      </c>
      <c r="V31" s="669">
        <v>0.5</v>
      </c>
      <c r="W31" s="895">
        <f t="shared" si="2"/>
        <v>78.550000000000011</v>
      </c>
      <c r="X31" s="694">
        <v>0.4</v>
      </c>
      <c r="Y31" s="690">
        <v>0.3</v>
      </c>
      <c r="Z31" s="667">
        <f t="shared" si="32"/>
        <v>230.60999999999999</v>
      </c>
      <c r="AA31" s="659">
        <f t="shared" si="33"/>
        <v>230.60999999999999</v>
      </c>
      <c r="AB31" s="894">
        <f t="shared" si="3"/>
        <v>384.35</v>
      </c>
      <c r="AC31" s="895">
        <f t="shared" si="34"/>
        <v>384.35</v>
      </c>
      <c r="AD31" s="181"/>
      <c r="AE31" s="882">
        <f t="shared" si="4"/>
        <v>12.5</v>
      </c>
      <c r="AF31" s="882">
        <f t="shared" si="5"/>
        <v>4.5</v>
      </c>
      <c r="AG31" s="882">
        <f t="shared" si="6"/>
        <v>9</v>
      </c>
      <c r="AH31" s="883">
        <f t="shared" si="7"/>
        <v>8</v>
      </c>
      <c r="AI31" s="317">
        <f t="shared" si="8"/>
        <v>197</v>
      </c>
      <c r="AJ31" s="304">
        <f t="shared" si="9"/>
        <v>68</v>
      </c>
      <c r="AK31" s="304">
        <f t="shared" si="10"/>
        <v>54</v>
      </c>
      <c r="AL31" s="318" t="str">
        <f t="shared" si="11"/>
        <v>VERTICAL</v>
      </c>
      <c r="AM31" s="318">
        <f t="shared" si="12"/>
        <v>3.6481481481481484</v>
      </c>
      <c r="AN31" s="319">
        <f t="shared" si="13"/>
        <v>4</v>
      </c>
      <c r="AO31" s="319">
        <f t="shared" si="14"/>
        <v>4</v>
      </c>
      <c r="AP31" s="318">
        <f t="shared" si="15"/>
        <v>8.25</v>
      </c>
      <c r="AQ31" s="320">
        <f t="shared" si="16"/>
        <v>8.25</v>
      </c>
      <c r="AR31" s="306">
        <f t="shared" si="17"/>
        <v>197</v>
      </c>
      <c r="AS31" s="308">
        <f t="shared" si="18"/>
        <v>62</v>
      </c>
      <c r="AT31" s="308">
        <f t="shared" si="19"/>
        <v>54</v>
      </c>
      <c r="AU31" s="308" t="str">
        <f t="shared" si="20"/>
        <v>VERTICAL</v>
      </c>
      <c r="AV31" s="308">
        <f t="shared" si="21"/>
        <v>6.9</v>
      </c>
      <c r="AW31" s="310">
        <f t="shared" si="22"/>
        <v>6.9</v>
      </c>
      <c r="AX31" s="321">
        <f t="shared" si="23"/>
        <v>8.1521739130434785</v>
      </c>
      <c r="AY31" s="308">
        <f t="shared" si="37"/>
        <v>36</v>
      </c>
      <c r="AZ31" s="312">
        <f>IF(C31="","",IF(H31="STOCK",VLOOKUP(I31,'COST - SELL'!$B$26:$G$29,6,0),IF(H31="LINE-ATELIER",VLOOKUP(I31,'COST - SELL'!$J$26:$Q$29,8,0),IF(H31="LINE-VTLUX",VLOOKUP(I31,'COST - SELL'!$B$36:$I$51,8,0),0))))</f>
        <v>27.900000000000002</v>
      </c>
      <c r="BA31" s="313">
        <f t="shared" si="25"/>
        <v>230.17500000000001</v>
      </c>
      <c r="BB31" s="314">
        <f>IF(C31="","",IF(L31="N/A",0,VLOOKUP(L31,'COST - SELL'!$B$60:$I$63,8,0)))</f>
        <v>0</v>
      </c>
      <c r="BC31" s="313">
        <f t="shared" si="26"/>
        <v>0</v>
      </c>
      <c r="BD31" s="315">
        <f>IF(C31="","",IF(H31="C.O.M.",VLOOKUP(F31,'COST - SELL'!$J$11:$N$19,5,0),VLOOKUP(F31,'COST - SELL'!$B$11:$H$19,7,0)))</f>
        <v>18.900000000000002</v>
      </c>
      <c r="BE31" s="315">
        <f t="shared" si="27"/>
        <v>75.600000000000009</v>
      </c>
      <c r="BF31" s="313">
        <f t="shared" si="30"/>
        <v>305.8</v>
      </c>
      <c r="BG31" s="316">
        <f>IF(C31="","",IF(Q31="N/A",0,VLOOKUP(Q31,'COST - SELL'!$B$80:$I$91,8,0)*'FILL QUOTE-CALCULATIONS'!AX31))</f>
        <v>69.293478260869563</v>
      </c>
      <c r="BH31" s="316">
        <f>IF(C31="","",IF(S31="N/A",0,IF(AY31="N/A",0,INDEX('COST - SELL'!$O$70:$S$73,MATCH('FILL QUOTE-CALCULATIONS'!S31,'COST - SELL'!$O$70:$O$73,0),MATCH('FILL QUOTE-CALCULATIONS'!AY31,'COST - SELL'!$O$70:$S$70,0)))))</f>
        <v>9.25</v>
      </c>
      <c r="BI31" s="316">
        <f t="shared" si="28"/>
        <v>78.550000000000011</v>
      </c>
      <c r="BJ31" s="316">
        <f t="shared" si="29"/>
        <v>384.35</v>
      </c>
    </row>
    <row r="32" spans="2:62" x14ac:dyDescent="0.25">
      <c r="B32" s="231">
        <f t="shared" si="31"/>
        <v>18</v>
      </c>
      <c r="C32" s="180">
        <v>1</v>
      </c>
      <c r="D32" s="178" t="s">
        <v>298</v>
      </c>
      <c r="E32" s="179" t="s">
        <v>131</v>
      </c>
      <c r="F32" s="179" t="s">
        <v>116</v>
      </c>
      <c r="G32" s="671">
        <v>2</v>
      </c>
      <c r="H32" s="905" t="s">
        <v>187</v>
      </c>
      <c r="I32" s="905" t="s">
        <v>323</v>
      </c>
      <c r="J32" s="179" t="str">
        <f t="shared" si="36"/>
        <v/>
      </c>
      <c r="K32" s="672" t="s">
        <v>783</v>
      </c>
      <c r="L32" s="179" t="s">
        <v>122</v>
      </c>
      <c r="M32" s="672" t="s">
        <v>759</v>
      </c>
      <c r="N32" s="673">
        <v>90</v>
      </c>
      <c r="O32" s="673">
        <v>51</v>
      </c>
      <c r="P32" s="197" t="s">
        <v>266</v>
      </c>
      <c r="Q32" s="178" t="s">
        <v>736</v>
      </c>
      <c r="R32" s="176" t="s">
        <v>750</v>
      </c>
      <c r="S32" s="179" t="s">
        <v>289</v>
      </c>
      <c r="T32" s="894">
        <f t="shared" si="1"/>
        <v>255.8</v>
      </c>
      <c r="U32" s="668">
        <v>0.4</v>
      </c>
      <c r="V32" s="669">
        <v>0.5</v>
      </c>
      <c r="W32" s="895">
        <f t="shared" si="2"/>
        <v>78.550000000000011</v>
      </c>
      <c r="X32" s="694">
        <v>0.4</v>
      </c>
      <c r="Y32" s="690">
        <v>0.3</v>
      </c>
      <c r="Z32" s="667">
        <f t="shared" si="32"/>
        <v>200.60999999999999</v>
      </c>
      <c r="AA32" s="659">
        <f t="shared" si="33"/>
        <v>200.60999999999999</v>
      </c>
      <c r="AB32" s="894">
        <f t="shared" si="3"/>
        <v>334.35</v>
      </c>
      <c r="AC32" s="895">
        <f t="shared" si="34"/>
        <v>334.35</v>
      </c>
      <c r="AD32" s="181"/>
      <c r="AE32" s="882">
        <f t="shared" si="4"/>
        <v>12.5</v>
      </c>
      <c r="AF32" s="882">
        <f t="shared" si="5"/>
        <v>4.5</v>
      </c>
      <c r="AG32" s="882">
        <f t="shared" si="6"/>
        <v>9</v>
      </c>
      <c r="AH32" s="883">
        <f t="shared" si="7"/>
        <v>8</v>
      </c>
      <c r="AI32" s="317">
        <f t="shared" si="8"/>
        <v>197</v>
      </c>
      <c r="AJ32" s="304">
        <f t="shared" si="9"/>
        <v>68</v>
      </c>
      <c r="AK32" s="304">
        <f t="shared" si="10"/>
        <v>118</v>
      </c>
      <c r="AL32" s="318" t="str">
        <f t="shared" si="11"/>
        <v>RAILROAD</v>
      </c>
      <c r="AM32" s="318">
        <f t="shared" si="12"/>
        <v>1.6694915254237288</v>
      </c>
      <c r="AN32" s="319" t="str">
        <f t="shared" si="13"/>
        <v>N/A</v>
      </c>
      <c r="AO32" s="319">
        <f t="shared" si="14"/>
        <v>4</v>
      </c>
      <c r="AP32" s="318">
        <f t="shared" si="15"/>
        <v>6</v>
      </c>
      <c r="AQ32" s="320">
        <f t="shared" si="16"/>
        <v>6</v>
      </c>
      <c r="AR32" s="306">
        <f t="shared" si="17"/>
        <v>197</v>
      </c>
      <c r="AS32" s="308">
        <f t="shared" si="18"/>
        <v>62</v>
      </c>
      <c r="AT32" s="308">
        <f t="shared" si="19"/>
        <v>54</v>
      </c>
      <c r="AU32" s="308" t="str">
        <f t="shared" si="20"/>
        <v>VERTICAL</v>
      </c>
      <c r="AV32" s="308">
        <f t="shared" si="21"/>
        <v>6.9</v>
      </c>
      <c r="AW32" s="310">
        <f t="shared" si="22"/>
        <v>6.9</v>
      </c>
      <c r="AX32" s="321">
        <f t="shared" si="23"/>
        <v>8.1521739130434785</v>
      </c>
      <c r="AY32" s="308">
        <f t="shared" si="37"/>
        <v>36</v>
      </c>
      <c r="AZ32" s="312">
        <f>IF(C32="","",IF(H32="STOCK",VLOOKUP(I32,'COST - SELL'!$B$26:$G$29,6,0),IF(H32="LINE-ATELIER",VLOOKUP(I32,'COST - SELL'!$J$26:$Q$29,8,0),IF(H32="LINE-VTLUX",VLOOKUP(I32,'COST - SELL'!$B$36:$I$51,8,0),0))))</f>
        <v>31.8</v>
      </c>
      <c r="BA32" s="313">
        <f t="shared" si="25"/>
        <v>190.8</v>
      </c>
      <c r="BB32" s="314">
        <f>IF(C32="","",IF(L32="N/A",0,VLOOKUP(L32,'COST - SELL'!$B$60:$I$63,8,0)))</f>
        <v>0</v>
      </c>
      <c r="BC32" s="313">
        <f t="shared" si="26"/>
        <v>0</v>
      </c>
      <c r="BD32" s="315">
        <f>IF(C32="","",IF(H32="C.O.M.",VLOOKUP(F32,'COST - SELL'!$J$11:$N$19,5,0),VLOOKUP(F32,'COST - SELL'!$B$11:$H$19,7,0)))</f>
        <v>16.25</v>
      </c>
      <c r="BE32" s="315">
        <f t="shared" si="27"/>
        <v>65</v>
      </c>
      <c r="BF32" s="313">
        <f t="shared" si="30"/>
        <v>255.8</v>
      </c>
      <c r="BG32" s="316">
        <f>IF(C32="","",IF(Q32="N/A",0,VLOOKUP(Q32,'COST - SELL'!$B$80:$I$91,8,0)*'FILL QUOTE-CALCULATIONS'!AX32))</f>
        <v>69.293478260869563</v>
      </c>
      <c r="BH32" s="316">
        <f>IF(C32="","",IF(S32="N/A",0,IF(AY32="N/A",0,INDEX('COST - SELL'!$O$70:$S$73,MATCH('FILL QUOTE-CALCULATIONS'!S32,'COST - SELL'!$O$70:$O$73,0),MATCH('FILL QUOTE-CALCULATIONS'!AY32,'COST - SELL'!$O$70:$S$70,0)))))</f>
        <v>9.25</v>
      </c>
      <c r="BI32" s="316">
        <f t="shared" si="28"/>
        <v>78.550000000000011</v>
      </c>
      <c r="BJ32" s="316">
        <f t="shared" si="29"/>
        <v>334.35</v>
      </c>
    </row>
    <row r="33" spans="2:62" x14ac:dyDescent="0.25">
      <c r="B33" s="231">
        <f t="shared" si="31"/>
        <v>19</v>
      </c>
      <c r="C33" s="180">
        <v>1</v>
      </c>
      <c r="D33" s="178" t="s">
        <v>298</v>
      </c>
      <c r="E33" s="179" t="s">
        <v>131</v>
      </c>
      <c r="F33" s="179" t="s">
        <v>136</v>
      </c>
      <c r="G33" s="671">
        <v>2</v>
      </c>
      <c r="H33" s="905" t="s">
        <v>187</v>
      </c>
      <c r="I33" s="905" t="s">
        <v>321</v>
      </c>
      <c r="J33" s="179" t="str">
        <f t="shared" si="36"/>
        <v/>
      </c>
      <c r="K33" s="672" t="s">
        <v>784</v>
      </c>
      <c r="L33" s="179" t="s">
        <v>122</v>
      </c>
      <c r="M33" s="672" t="s">
        <v>760</v>
      </c>
      <c r="N33" s="673">
        <v>107</v>
      </c>
      <c r="O33" s="673">
        <v>117.75</v>
      </c>
      <c r="P33" s="197" t="s">
        <v>287</v>
      </c>
      <c r="Q33" s="178" t="s">
        <v>736</v>
      </c>
      <c r="R33" s="176" t="s">
        <v>750</v>
      </c>
      <c r="S33" s="179" t="s">
        <v>289</v>
      </c>
      <c r="T33" s="894">
        <f t="shared" si="1"/>
        <v>594.25</v>
      </c>
      <c r="U33" s="668">
        <v>0.4</v>
      </c>
      <c r="V33" s="669">
        <v>0.5</v>
      </c>
      <c r="W33" s="895">
        <f t="shared" si="2"/>
        <v>97.7</v>
      </c>
      <c r="X33" s="694">
        <v>0.4</v>
      </c>
      <c r="Y33" s="690">
        <v>0.3</v>
      </c>
      <c r="Z33" s="667">
        <f t="shared" si="32"/>
        <v>415.17</v>
      </c>
      <c r="AA33" s="659">
        <f t="shared" si="33"/>
        <v>415.17</v>
      </c>
      <c r="AB33" s="894">
        <f t="shared" si="3"/>
        <v>691.95</v>
      </c>
      <c r="AC33" s="895">
        <f t="shared" si="34"/>
        <v>691.95</v>
      </c>
      <c r="AD33" s="181"/>
      <c r="AE33" s="882">
        <f t="shared" si="4"/>
        <v>12.5</v>
      </c>
      <c r="AF33" s="882">
        <f t="shared" si="5"/>
        <v>5.3500000000000005</v>
      </c>
      <c r="AG33" s="882">
        <f t="shared" si="6"/>
        <v>9</v>
      </c>
      <c r="AH33" s="883">
        <f t="shared" si="7"/>
        <v>8</v>
      </c>
      <c r="AI33" s="317">
        <f t="shared" si="8"/>
        <v>231.85</v>
      </c>
      <c r="AJ33" s="304">
        <f t="shared" si="9"/>
        <v>134.75</v>
      </c>
      <c r="AK33" s="304">
        <f t="shared" si="10"/>
        <v>54</v>
      </c>
      <c r="AL33" s="318" t="str">
        <f t="shared" si="11"/>
        <v>VERTICAL</v>
      </c>
      <c r="AM33" s="318">
        <f t="shared" si="12"/>
        <v>4.2935185185185185</v>
      </c>
      <c r="AN33" s="319">
        <f t="shared" si="13"/>
        <v>4.5</v>
      </c>
      <c r="AO33" s="319">
        <f t="shared" si="14"/>
        <v>4.5</v>
      </c>
      <c r="AP33" s="318">
        <f t="shared" si="15"/>
        <v>18.25</v>
      </c>
      <c r="AQ33" s="320">
        <f t="shared" si="16"/>
        <v>18.25</v>
      </c>
      <c r="AR33" s="306">
        <f t="shared" si="17"/>
        <v>232</v>
      </c>
      <c r="AS33" s="308">
        <f t="shared" si="18"/>
        <v>128.75</v>
      </c>
      <c r="AT33" s="308">
        <f t="shared" si="19"/>
        <v>54</v>
      </c>
      <c r="AU33" s="308" t="str">
        <f t="shared" si="20"/>
        <v>VERTICAL</v>
      </c>
      <c r="AV33" s="308">
        <f t="shared" si="21"/>
        <v>17.2</v>
      </c>
      <c r="AW33" s="310">
        <f t="shared" si="22"/>
        <v>17.2</v>
      </c>
      <c r="AX33" s="321">
        <f t="shared" si="23"/>
        <v>9.6920289855072461</v>
      </c>
      <c r="AY33" s="308">
        <f t="shared" si="37"/>
        <v>60</v>
      </c>
      <c r="AZ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A33" s="313">
        <f t="shared" si="25"/>
        <v>509.17500000000001</v>
      </c>
      <c r="BB33" s="314">
        <f>IF(C33="","",IF(L33="N/A",0,VLOOKUP(L33,'COST - SELL'!$B$60:$I$63,8,0)))</f>
        <v>0</v>
      </c>
      <c r="BC33" s="313">
        <f t="shared" si="26"/>
        <v>0</v>
      </c>
      <c r="BD33" s="315">
        <f>IF(C33="","",IF(H33="C.O.M.",VLOOKUP(F33,'COST - SELL'!$J$11:$N$19,5,0),VLOOKUP(F33,'COST - SELL'!$B$11:$H$19,7,0)))</f>
        <v>18.900000000000002</v>
      </c>
      <c r="BE33" s="315">
        <f t="shared" si="27"/>
        <v>85.050000000000011</v>
      </c>
      <c r="BF33" s="313">
        <f t="shared" si="30"/>
        <v>594.25</v>
      </c>
      <c r="BG33" s="316">
        <f>IF(C33="","",IF(Q33="N/A",0,VLOOKUP(Q33,'COST - SELL'!$B$80:$I$91,8,0)*'FILL QUOTE-CALCULATIONS'!AX33))</f>
        <v>82.382246376811594</v>
      </c>
      <c r="BH33" s="316">
        <f>IF(C33="","",IF(S33="N/A",0,IF(AY33="N/A",0,INDEX('COST - SELL'!$O$70:$S$73,MATCH('FILL QUOTE-CALCULATIONS'!S33,'COST - SELL'!$O$70:$O$73,0),MATCH('FILL QUOTE-CALCULATIONS'!AY33,'COST - SELL'!$O$70:$S$70,0)))))</f>
        <v>15.3</v>
      </c>
      <c r="BI33" s="316">
        <f t="shared" si="28"/>
        <v>97.7</v>
      </c>
      <c r="BJ33" s="316">
        <f t="shared" si="29"/>
        <v>691.95</v>
      </c>
    </row>
    <row r="34" spans="2:62" x14ac:dyDescent="0.25">
      <c r="B34" s="231">
        <f t="shared" si="31"/>
        <v>20</v>
      </c>
      <c r="C34" s="180">
        <v>1</v>
      </c>
      <c r="D34" s="178" t="s">
        <v>298</v>
      </c>
      <c r="E34" s="179" t="s">
        <v>131</v>
      </c>
      <c r="F34" s="179" t="s">
        <v>116</v>
      </c>
      <c r="G34" s="671">
        <v>2</v>
      </c>
      <c r="H34" s="905" t="s">
        <v>187</v>
      </c>
      <c r="I34" s="905" t="s">
        <v>323</v>
      </c>
      <c r="J34" s="179" t="str">
        <f t="shared" si="36"/>
        <v/>
      </c>
      <c r="K34" s="672" t="s">
        <v>783</v>
      </c>
      <c r="L34" s="179" t="s">
        <v>122</v>
      </c>
      <c r="M34" s="672" t="s">
        <v>760</v>
      </c>
      <c r="N34" s="673">
        <v>107</v>
      </c>
      <c r="O34" s="673">
        <v>117.75</v>
      </c>
      <c r="P34" s="197" t="s">
        <v>287</v>
      </c>
      <c r="Q34" s="178" t="s">
        <v>736</v>
      </c>
      <c r="R34" s="176" t="s">
        <v>750</v>
      </c>
      <c r="S34" s="179" t="s">
        <v>289</v>
      </c>
      <c r="T34" s="894">
        <f t="shared" si="1"/>
        <v>333.40000000000003</v>
      </c>
      <c r="U34" s="668">
        <v>0.4</v>
      </c>
      <c r="V34" s="669">
        <v>0.5</v>
      </c>
      <c r="W34" s="895">
        <f t="shared" si="2"/>
        <v>97.7</v>
      </c>
      <c r="X34" s="694">
        <v>0.4</v>
      </c>
      <c r="Y34" s="690">
        <v>0.3</v>
      </c>
      <c r="Z34" s="667">
        <f t="shared" si="32"/>
        <v>258.66000000000003</v>
      </c>
      <c r="AA34" s="659">
        <f t="shared" si="33"/>
        <v>258.66000000000003</v>
      </c>
      <c r="AB34" s="894">
        <f t="shared" si="3"/>
        <v>431.1</v>
      </c>
      <c r="AC34" s="895">
        <f t="shared" si="34"/>
        <v>431.1</v>
      </c>
      <c r="AD34" s="181"/>
      <c r="AE34" s="882">
        <f t="shared" si="4"/>
        <v>12.5</v>
      </c>
      <c r="AF34" s="882">
        <f t="shared" si="5"/>
        <v>5.3500000000000005</v>
      </c>
      <c r="AG34" s="882">
        <f t="shared" si="6"/>
        <v>9</v>
      </c>
      <c r="AH34" s="883">
        <f t="shared" si="7"/>
        <v>8</v>
      </c>
      <c r="AI34" s="317">
        <f t="shared" si="8"/>
        <v>231.85</v>
      </c>
      <c r="AJ34" s="304">
        <f t="shared" si="9"/>
        <v>134.75</v>
      </c>
      <c r="AK34" s="304">
        <f t="shared" si="10"/>
        <v>118</v>
      </c>
      <c r="AL34" s="318" t="str">
        <f t="shared" si="11"/>
        <v>VERTICAL</v>
      </c>
      <c r="AM34" s="318">
        <f t="shared" si="12"/>
        <v>1.9648305084745763</v>
      </c>
      <c r="AN34" s="319">
        <f t="shared" si="13"/>
        <v>2</v>
      </c>
      <c r="AO34" s="319">
        <f t="shared" si="14"/>
        <v>4.3703703703703702</v>
      </c>
      <c r="AP34" s="318">
        <f t="shared" si="15"/>
        <v>8.25</v>
      </c>
      <c r="AQ34" s="320">
        <f t="shared" si="16"/>
        <v>8.25</v>
      </c>
      <c r="AR34" s="306">
        <f t="shared" si="17"/>
        <v>232</v>
      </c>
      <c r="AS34" s="308">
        <f t="shared" si="18"/>
        <v>128.75</v>
      </c>
      <c r="AT34" s="308">
        <f t="shared" si="19"/>
        <v>54</v>
      </c>
      <c r="AU34" s="308" t="str">
        <f t="shared" si="20"/>
        <v>VERTICAL</v>
      </c>
      <c r="AV34" s="308">
        <f t="shared" si="21"/>
        <v>17.2</v>
      </c>
      <c r="AW34" s="310">
        <f t="shared" si="22"/>
        <v>17.2</v>
      </c>
      <c r="AX34" s="321">
        <f t="shared" si="23"/>
        <v>9.6920289855072461</v>
      </c>
      <c r="AY34" s="308">
        <f t="shared" si="37"/>
        <v>60</v>
      </c>
      <c r="AZ34" s="312">
        <f>IF(C34="","",IF(H34="STOCK",VLOOKUP(I34,'COST - SELL'!$B$26:$G$29,6,0),IF(H34="LINE-ATELIER",VLOOKUP(I34,'COST - SELL'!$J$26:$Q$29,8,0),IF(H34="LINE-VTLUX",VLOOKUP(I34,'COST - SELL'!$B$36:$I$51,8,0),0))))</f>
        <v>31.8</v>
      </c>
      <c r="BA34" s="313">
        <f t="shared" si="25"/>
        <v>262.35000000000002</v>
      </c>
      <c r="BB34" s="314">
        <f>IF(C34="","",IF(L34="N/A",0,VLOOKUP(L34,'COST - SELL'!$B$60:$I$63,8,0)))</f>
        <v>0</v>
      </c>
      <c r="BC34" s="313">
        <f t="shared" si="26"/>
        <v>0</v>
      </c>
      <c r="BD34" s="315">
        <f>IF(C34="","",IF(H34="C.O.M.",VLOOKUP(F34,'COST - SELL'!$J$11:$N$19,5,0),VLOOKUP(F34,'COST - SELL'!$B$11:$H$19,7,0)))</f>
        <v>16.25</v>
      </c>
      <c r="BE34" s="315">
        <f t="shared" si="27"/>
        <v>71.018518518518519</v>
      </c>
      <c r="BF34" s="313">
        <f t="shared" si="30"/>
        <v>333.40000000000003</v>
      </c>
      <c r="BG34" s="316">
        <f>IF(C34="","",IF(Q34="N/A",0,VLOOKUP(Q34,'COST - SELL'!$B$80:$I$91,8,0)*'FILL QUOTE-CALCULATIONS'!AX34))</f>
        <v>82.382246376811594</v>
      </c>
      <c r="BH34" s="316">
        <f>IF(C34="","",IF(S34="N/A",0,IF(AY34="N/A",0,INDEX('COST - SELL'!$O$70:$S$73,MATCH('FILL QUOTE-CALCULATIONS'!S34,'COST - SELL'!$O$70:$O$73,0),MATCH('FILL QUOTE-CALCULATIONS'!AY34,'COST - SELL'!$O$70:$S$70,0)))))</f>
        <v>15.3</v>
      </c>
      <c r="BI34" s="316">
        <f t="shared" si="28"/>
        <v>97.7</v>
      </c>
      <c r="BJ34" s="316">
        <f t="shared" si="29"/>
        <v>431.1</v>
      </c>
    </row>
    <row r="35" spans="2:62" x14ac:dyDescent="0.25">
      <c r="B35" s="231">
        <f t="shared" si="31"/>
        <v>21</v>
      </c>
      <c r="C35" s="180">
        <v>1</v>
      </c>
      <c r="D35" s="178" t="s">
        <v>298</v>
      </c>
      <c r="E35" s="179" t="s">
        <v>131</v>
      </c>
      <c r="F35" s="179" t="s">
        <v>136</v>
      </c>
      <c r="G35" s="671">
        <v>2</v>
      </c>
      <c r="H35" s="905" t="s">
        <v>187</v>
      </c>
      <c r="I35" s="905" t="s">
        <v>321</v>
      </c>
      <c r="J35" s="179" t="str">
        <f t="shared" si="36"/>
        <v/>
      </c>
      <c r="K35" s="672" t="s">
        <v>784</v>
      </c>
      <c r="L35" s="179" t="s">
        <v>122</v>
      </c>
      <c r="M35" s="672" t="s">
        <v>761</v>
      </c>
      <c r="N35" s="673">
        <v>137</v>
      </c>
      <c r="O35" s="673">
        <v>117.5</v>
      </c>
      <c r="P35" s="197" t="s">
        <v>287</v>
      </c>
      <c r="Q35" s="178" t="s">
        <v>736</v>
      </c>
      <c r="R35" s="176" t="s">
        <v>750</v>
      </c>
      <c r="S35" s="179" t="s">
        <v>289</v>
      </c>
      <c r="T35" s="894">
        <f t="shared" si="1"/>
        <v>724.75</v>
      </c>
      <c r="U35" s="668">
        <v>0.4</v>
      </c>
      <c r="V35" s="669">
        <v>0.5</v>
      </c>
      <c r="W35" s="895">
        <f t="shared" si="2"/>
        <v>120.80000000000001</v>
      </c>
      <c r="X35" s="694">
        <v>0.4</v>
      </c>
      <c r="Y35" s="690">
        <v>0.3</v>
      </c>
      <c r="Z35" s="667">
        <f t="shared" si="32"/>
        <v>507.33</v>
      </c>
      <c r="AA35" s="659">
        <f t="shared" si="33"/>
        <v>507.33</v>
      </c>
      <c r="AB35" s="894">
        <f t="shared" si="3"/>
        <v>845.55</v>
      </c>
      <c r="AC35" s="895">
        <f t="shared" si="34"/>
        <v>845.55</v>
      </c>
      <c r="AD35" s="181"/>
      <c r="AE35" s="882">
        <f t="shared" si="4"/>
        <v>12.5</v>
      </c>
      <c r="AF35" s="882">
        <f t="shared" si="5"/>
        <v>6.8500000000000005</v>
      </c>
      <c r="AG35" s="882">
        <f t="shared" si="6"/>
        <v>9</v>
      </c>
      <c r="AH35" s="883">
        <f t="shared" si="7"/>
        <v>8</v>
      </c>
      <c r="AI35" s="317">
        <f t="shared" si="8"/>
        <v>293.35000000000002</v>
      </c>
      <c r="AJ35" s="304">
        <f t="shared" si="9"/>
        <v>134.5</v>
      </c>
      <c r="AK35" s="304">
        <f t="shared" si="10"/>
        <v>54</v>
      </c>
      <c r="AL35" s="318" t="str">
        <f t="shared" si="11"/>
        <v>VERTICAL</v>
      </c>
      <c r="AM35" s="318">
        <f t="shared" si="12"/>
        <v>5.4324074074074078</v>
      </c>
      <c r="AN35" s="319">
        <f t="shared" si="13"/>
        <v>5.5</v>
      </c>
      <c r="AO35" s="319">
        <f t="shared" si="14"/>
        <v>5.5</v>
      </c>
      <c r="AP35" s="318">
        <f t="shared" si="15"/>
        <v>22.25</v>
      </c>
      <c r="AQ35" s="320">
        <f t="shared" si="16"/>
        <v>22.25</v>
      </c>
      <c r="AR35" s="306">
        <f t="shared" si="17"/>
        <v>294</v>
      </c>
      <c r="AS35" s="308">
        <f t="shared" si="18"/>
        <v>128.5</v>
      </c>
      <c r="AT35" s="308">
        <f t="shared" si="19"/>
        <v>54</v>
      </c>
      <c r="AU35" s="308" t="str">
        <f t="shared" si="20"/>
        <v>VERTICAL</v>
      </c>
      <c r="AV35" s="308">
        <f t="shared" si="21"/>
        <v>20.900000000000002</v>
      </c>
      <c r="AW35" s="310">
        <f t="shared" si="22"/>
        <v>20.900000000000002</v>
      </c>
      <c r="AX35" s="321">
        <f t="shared" si="23"/>
        <v>12.409420289855071</v>
      </c>
      <c r="AY35" s="308">
        <f t="shared" si="37"/>
        <v>60</v>
      </c>
      <c r="AZ35" s="312">
        <f>IF(C35="","",IF(H35="STOCK",VLOOKUP(I35,'COST - SELL'!$B$26:$G$29,6,0),IF(H35="LINE-ATELIER",VLOOKUP(I35,'COST - SELL'!$J$26:$Q$29,8,0),IF(H35="LINE-VTLUX",VLOOKUP(I35,'COST - SELL'!$B$36:$I$51,8,0),0))))</f>
        <v>27.900000000000002</v>
      </c>
      <c r="BA35" s="313">
        <f t="shared" si="25"/>
        <v>620.77500000000009</v>
      </c>
      <c r="BB35" s="314">
        <f>IF(C35="","",IF(L35="N/A",0,VLOOKUP(L35,'COST - SELL'!$B$60:$I$63,8,0)))</f>
        <v>0</v>
      </c>
      <c r="BC35" s="313">
        <f t="shared" si="26"/>
        <v>0</v>
      </c>
      <c r="BD35" s="315">
        <f>IF(C35="","",IF(H35="C.O.M.",VLOOKUP(F35,'COST - SELL'!$J$11:$N$19,5,0),VLOOKUP(F35,'COST - SELL'!$B$11:$H$19,7,0)))</f>
        <v>18.900000000000002</v>
      </c>
      <c r="BE35" s="315">
        <f t="shared" si="27"/>
        <v>103.95000000000002</v>
      </c>
      <c r="BF35" s="313">
        <f t="shared" si="30"/>
        <v>724.75</v>
      </c>
      <c r="BG35" s="316">
        <f>IF(C35="","",IF(Q35="N/A",0,VLOOKUP(Q35,'COST - SELL'!$B$80:$I$91,8,0)*'FILL QUOTE-CALCULATIONS'!AX35))</f>
        <v>105.4800724637681</v>
      </c>
      <c r="BH35" s="316">
        <f>IF(C35="","",IF(S35="N/A",0,IF(AY35="N/A",0,INDEX('COST - SELL'!$O$70:$S$73,MATCH('FILL QUOTE-CALCULATIONS'!S35,'COST - SELL'!$O$70:$O$73,0),MATCH('FILL QUOTE-CALCULATIONS'!AY35,'COST - SELL'!$O$70:$S$70,0)))))</f>
        <v>15.3</v>
      </c>
      <c r="BI35" s="316">
        <f t="shared" si="28"/>
        <v>120.80000000000001</v>
      </c>
      <c r="BJ35" s="316">
        <f t="shared" si="29"/>
        <v>845.55</v>
      </c>
    </row>
    <row r="36" spans="2:62" x14ac:dyDescent="0.25">
      <c r="B36" s="231">
        <f t="shared" si="31"/>
        <v>22</v>
      </c>
      <c r="C36" s="180">
        <v>1</v>
      </c>
      <c r="D36" s="178" t="s">
        <v>298</v>
      </c>
      <c r="E36" s="179" t="s">
        <v>131</v>
      </c>
      <c r="F36" s="179" t="s">
        <v>116</v>
      </c>
      <c r="G36" s="671">
        <v>2</v>
      </c>
      <c r="H36" s="905" t="s">
        <v>187</v>
      </c>
      <c r="I36" s="905" t="s">
        <v>323</v>
      </c>
      <c r="J36" s="179" t="str">
        <f t="shared" si="36"/>
        <v/>
      </c>
      <c r="K36" s="672" t="s">
        <v>783</v>
      </c>
      <c r="L36" s="179" t="s">
        <v>122</v>
      </c>
      <c r="M36" s="672" t="s">
        <v>761</v>
      </c>
      <c r="N36" s="673">
        <v>137</v>
      </c>
      <c r="O36" s="673">
        <v>117.5</v>
      </c>
      <c r="P36" s="197" t="s">
        <v>287</v>
      </c>
      <c r="Q36" s="178" t="s">
        <v>736</v>
      </c>
      <c r="R36" s="176" t="s">
        <v>750</v>
      </c>
      <c r="S36" s="179" t="s">
        <v>289</v>
      </c>
      <c r="T36" s="894">
        <f t="shared" si="1"/>
        <v>414.75</v>
      </c>
      <c r="U36" s="668">
        <v>0.4</v>
      </c>
      <c r="V36" s="669">
        <v>0.5</v>
      </c>
      <c r="W36" s="895">
        <f t="shared" si="2"/>
        <v>120.80000000000001</v>
      </c>
      <c r="X36" s="694">
        <v>0.4</v>
      </c>
      <c r="Y36" s="690">
        <v>0.3</v>
      </c>
      <c r="Z36" s="667">
        <f t="shared" si="32"/>
        <v>321.33</v>
      </c>
      <c r="AA36" s="659">
        <f t="shared" si="33"/>
        <v>321.33</v>
      </c>
      <c r="AB36" s="894">
        <f t="shared" si="3"/>
        <v>535.54999999999995</v>
      </c>
      <c r="AC36" s="895">
        <f t="shared" si="34"/>
        <v>535.54999999999995</v>
      </c>
      <c r="AD36" s="181"/>
      <c r="AE36" s="882">
        <f t="shared" si="4"/>
        <v>12.5</v>
      </c>
      <c r="AF36" s="882">
        <f t="shared" si="5"/>
        <v>6.8500000000000005</v>
      </c>
      <c r="AG36" s="882">
        <f t="shared" si="6"/>
        <v>9</v>
      </c>
      <c r="AH36" s="883">
        <f t="shared" si="7"/>
        <v>8</v>
      </c>
      <c r="AI36" s="317">
        <f t="shared" si="8"/>
        <v>293.35000000000002</v>
      </c>
      <c r="AJ36" s="304">
        <f t="shared" si="9"/>
        <v>134.5</v>
      </c>
      <c r="AK36" s="304">
        <f t="shared" si="10"/>
        <v>118</v>
      </c>
      <c r="AL36" s="318" t="str">
        <f t="shared" si="11"/>
        <v>VERTICAL</v>
      </c>
      <c r="AM36" s="318">
        <f t="shared" si="12"/>
        <v>2.4860169491525426</v>
      </c>
      <c r="AN36" s="319">
        <f t="shared" si="13"/>
        <v>2.5</v>
      </c>
      <c r="AO36" s="319">
        <f t="shared" si="14"/>
        <v>5.4629629629629628</v>
      </c>
      <c r="AP36" s="318">
        <f t="shared" si="15"/>
        <v>10.25</v>
      </c>
      <c r="AQ36" s="320">
        <f t="shared" si="16"/>
        <v>10.25</v>
      </c>
      <c r="AR36" s="306">
        <f t="shared" si="17"/>
        <v>294</v>
      </c>
      <c r="AS36" s="308">
        <f t="shared" si="18"/>
        <v>128.5</v>
      </c>
      <c r="AT36" s="308">
        <f t="shared" si="19"/>
        <v>54</v>
      </c>
      <c r="AU36" s="308" t="str">
        <f t="shared" si="20"/>
        <v>VERTICAL</v>
      </c>
      <c r="AV36" s="308">
        <f t="shared" si="21"/>
        <v>20.900000000000002</v>
      </c>
      <c r="AW36" s="310">
        <f t="shared" si="22"/>
        <v>20.900000000000002</v>
      </c>
      <c r="AX36" s="321">
        <f t="shared" si="23"/>
        <v>12.409420289855071</v>
      </c>
      <c r="AY36" s="308">
        <f t="shared" si="37"/>
        <v>60</v>
      </c>
      <c r="AZ36" s="312">
        <f>IF(C36="","",IF(H36="STOCK",VLOOKUP(I36,'COST - SELL'!$B$26:$G$29,6,0),IF(H36="LINE-ATELIER",VLOOKUP(I36,'COST - SELL'!$J$26:$Q$29,8,0),IF(H36="LINE-VTLUX",VLOOKUP(I36,'COST - SELL'!$B$36:$I$51,8,0),0))))</f>
        <v>31.8</v>
      </c>
      <c r="BA36" s="313">
        <f t="shared" si="25"/>
        <v>325.95</v>
      </c>
      <c r="BB36" s="314">
        <f>IF(C36="","",IF(L36="N/A",0,VLOOKUP(L36,'COST - SELL'!$B$60:$I$63,8,0)))</f>
        <v>0</v>
      </c>
      <c r="BC36" s="313">
        <f t="shared" si="26"/>
        <v>0</v>
      </c>
      <c r="BD36" s="315">
        <f>IF(C36="","",IF(H36="C.O.M.",VLOOKUP(F36,'COST - SELL'!$J$11:$N$19,5,0),VLOOKUP(F36,'COST - SELL'!$B$11:$H$19,7,0)))</f>
        <v>16.25</v>
      </c>
      <c r="BE36" s="315">
        <f t="shared" si="27"/>
        <v>88.773148148148152</v>
      </c>
      <c r="BF36" s="313">
        <f t="shared" si="30"/>
        <v>414.75</v>
      </c>
      <c r="BG36" s="316">
        <f>IF(C36="","",IF(Q36="N/A",0,VLOOKUP(Q36,'COST - SELL'!$B$80:$I$91,8,0)*'FILL QUOTE-CALCULATIONS'!AX36))</f>
        <v>105.4800724637681</v>
      </c>
      <c r="BH36" s="316">
        <f>IF(C36="","",IF(S36="N/A",0,IF(AY36="N/A",0,INDEX('COST - SELL'!$O$70:$S$73,MATCH('FILL QUOTE-CALCULATIONS'!S36,'COST - SELL'!$O$70:$O$73,0),MATCH('FILL QUOTE-CALCULATIONS'!AY36,'COST - SELL'!$O$70:$S$70,0)))))</f>
        <v>15.3</v>
      </c>
      <c r="BI36" s="316">
        <f t="shared" si="28"/>
        <v>120.80000000000001</v>
      </c>
      <c r="BJ36" s="316">
        <f t="shared" si="29"/>
        <v>535.54999999999995</v>
      </c>
    </row>
    <row r="37" spans="2:62" x14ac:dyDescent="0.25">
      <c r="B37" s="231">
        <f t="shared" si="31"/>
        <v>23</v>
      </c>
      <c r="C37" s="180">
        <v>1</v>
      </c>
      <c r="D37" s="178" t="s">
        <v>298</v>
      </c>
      <c r="E37" s="179" t="s">
        <v>131</v>
      </c>
      <c r="F37" s="179" t="s">
        <v>136</v>
      </c>
      <c r="G37" s="671">
        <v>2</v>
      </c>
      <c r="H37" s="905" t="s">
        <v>187</v>
      </c>
      <c r="I37" s="905" t="s">
        <v>321</v>
      </c>
      <c r="J37" s="179" t="str">
        <f t="shared" si="36"/>
        <v/>
      </c>
      <c r="K37" s="672" t="s">
        <v>784</v>
      </c>
      <c r="L37" s="179" t="s">
        <v>122</v>
      </c>
      <c r="M37" s="672" t="s">
        <v>762</v>
      </c>
      <c r="N37" s="673">
        <v>90</v>
      </c>
      <c r="O37" s="673">
        <v>51</v>
      </c>
      <c r="P37" s="197" t="s">
        <v>266</v>
      </c>
      <c r="Q37" s="178" t="s">
        <v>736</v>
      </c>
      <c r="R37" s="176" t="s">
        <v>750</v>
      </c>
      <c r="S37" s="179" t="s">
        <v>289</v>
      </c>
      <c r="T37" s="894">
        <f t="shared" si="1"/>
        <v>305.8</v>
      </c>
      <c r="U37" s="668">
        <v>0.4</v>
      </c>
      <c r="V37" s="669">
        <v>0.5</v>
      </c>
      <c r="W37" s="895">
        <f t="shared" si="2"/>
        <v>78.550000000000011</v>
      </c>
      <c r="X37" s="694">
        <v>0.4</v>
      </c>
      <c r="Y37" s="690">
        <v>0.3</v>
      </c>
      <c r="Z37" s="667">
        <f t="shared" si="32"/>
        <v>230.60999999999999</v>
      </c>
      <c r="AA37" s="659">
        <f t="shared" si="33"/>
        <v>230.60999999999999</v>
      </c>
      <c r="AB37" s="894">
        <f t="shared" si="3"/>
        <v>384.35</v>
      </c>
      <c r="AC37" s="895">
        <f t="shared" si="34"/>
        <v>384.35</v>
      </c>
      <c r="AD37" s="181"/>
      <c r="AE37" s="882">
        <f t="shared" si="4"/>
        <v>12.5</v>
      </c>
      <c r="AF37" s="882">
        <f t="shared" si="5"/>
        <v>4.5</v>
      </c>
      <c r="AG37" s="882">
        <f t="shared" si="6"/>
        <v>9</v>
      </c>
      <c r="AH37" s="883">
        <f t="shared" si="7"/>
        <v>8</v>
      </c>
      <c r="AI37" s="317">
        <f t="shared" si="8"/>
        <v>197</v>
      </c>
      <c r="AJ37" s="304">
        <f t="shared" si="9"/>
        <v>68</v>
      </c>
      <c r="AK37" s="304">
        <f t="shared" si="10"/>
        <v>54</v>
      </c>
      <c r="AL37" s="318" t="str">
        <f t="shared" si="11"/>
        <v>VERTICAL</v>
      </c>
      <c r="AM37" s="318">
        <f t="shared" si="12"/>
        <v>3.6481481481481484</v>
      </c>
      <c r="AN37" s="319">
        <f t="shared" si="13"/>
        <v>4</v>
      </c>
      <c r="AO37" s="319">
        <f t="shared" si="14"/>
        <v>4</v>
      </c>
      <c r="AP37" s="318">
        <f t="shared" si="15"/>
        <v>8.25</v>
      </c>
      <c r="AQ37" s="320">
        <f t="shared" si="16"/>
        <v>8.25</v>
      </c>
      <c r="AR37" s="306">
        <f t="shared" si="17"/>
        <v>197</v>
      </c>
      <c r="AS37" s="308">
        <f t="shared" si="18"/>
        <v>62</v>
      </c>
      <c r="AT37" s="308">
        <f t="shared" si="19"/>
        <v>54</v>
      </c>
      <c r="AU37" s="308" t="str">
        <f t="shared" si="20"/>
        <v>VERTICAL</v>
      </c>
      <c r="AV37" s="308">
        <f t="shared" si="21"/>
        <v>6.9</v>
      </c>
      <c r="AW37" s="310">
        <f t="shared" si="22"/>
        <v>6.9</v>
      </c>
      <c r="AX37" s="321">
        <f t="shared" si="23"/>
        <v>8.1521739130434785</v>
      </c>
      <c r="AY37" s="308">
        <f t="shared" si="37"/>
        <v>36</v>
      </c>
      <c r="AZ37" s="312">
        <f>IF(C37="","",IF(H37="STOCK",VLOOKUP(I37,'COST - SELL'!$B$26:$G$29,6,0),IF(H37="LINE-ATELIER",VLOOKUP(I37,'COST - SELL'!$J$26:$Q$29,8,0),IF(H37="LINE-VTLUX",VLOOKUP(I37,'COST - SELL'!$B$36:$I$51,8,0),0))))</f>
        <v>27.900000000000002</v>
      </c>
      <c r="BA37" s="313">
        <f t="shared" si="25"/>
        <v>230.17500000000001</v>
      </c>
      <c r="BB37" s="314">
        <f>IF(C37="","",IF(L37="N/A",0,VLOOKUP(L37,'COST - SELL'!$B$60:$I$63,8,0)))</f>
        <v>0</v>
      </c>
      <c r="BC37" s="313">
        <f t="shared" si="26"/>
        <v>0</v>
      </c>
      <c r="BD37" s="315">
        <f>IF(C37="","",IF(H37="C.O.M.",VLOOKUP(F37,'COST - SELL'!$J$11:$N$19,5,0),VLOOKUP(F37,'COST - SELL'!$B$11:$H$19,7,0)))</f>
        <v>18.900000000000002</v>
      </c>
      <c r="BE37" s="315">
        <f t="shared" si="27"/>
        <v>75.600000000000009</v>
      </c>
      <c r="BF37" s="313">
        <f t="shared" si="30"/>
        <v>305.8</v>
      </c>
      <c r="BG37" s="316">
        <f>IF(C37="","",IF(Q37="N/A",0,VLOOKUP(Q37,'COST - SELL'!$B$80:$I$91,8,0)*'FILL QUOTE-CALCULATIONS'!AX37))</f>
        <v>69.293478260869563</v>
      </c>
      <c r="BH37" s="316">
        <f>IF(C37="","",IF(S37="N/A",0,IF(AY37="N/A",0,INDEX('COST - SELL'!$O$70:$S$73,MATCH('FILL QUOTE-CALCULATIONS'!S37,'COST - SELL'!$O$70:$O$73,0),MATCH('FILL QUOTE-CALCULATIONS'!AY37,'COST - SELL'!$O$70:$S$70,0)))))</f>
        <v>9.25</v>
      </c>
      <c r="BI37" s="316">
        <f t="shared" si="28"/>
        <v>78.550000000000011</v>
      </c>
      <c r="BJ37" s="316">
        <f t="shared" si="29"/>
        <v>384.35</v>
      </c>
    </row>
    <row r="38" spans="2:62" x14ac:dyDescent="0.25">
      <c r="B38" s="231">
        <f t="shared" si="31"/>
        <v>24</v>
      </c>
      <c r="C38" s="180">
        <v>1</v>
      </c>
      <c r="D38" s="178" t="s">
        <v>298</v>
      </c>
      <c r="E38" s="179" t="s">
        <v>131</v>
      </c>
      <c r="F38" s="179" t="s">
        <v>116</v>
      </c>
      <c r="G38" s="671">
        <v>2</v>
      </c>
      <c r="H38" s="905" t="s">
        <v>187</v>
      </c>
      <c r="I38" s="905" t="s">
        <v>323</v>
      </c>
      <c r="J38" s="179" t="str">
        <f t="shared" si="36"/>
        <v/>
      </c>
      <c r="K38" s="672" t="s">
        <v>783</v>
      </c>
      <c r="L38" s="179" t="s">
        <v>122</v>
      </c>
      <c r="M38" s="672" t="s">
        <v>762</v>
      </c>
      <c r="N38" s="673">
        <v>90</v>
      </c>
      <c r="O38" s="673">
        <v>51</v>
      </c>
      <c r="P38" s="197" t="s">
        <v>266</v>
      </c>
      <c r="Q38" s="178" t="s">
        <v>736</v>
      </c>
      <c r="R38" s="176" t="s">
        <v>750</v>
      </c>
      <c r="S38" s="179" t="s">
        <v>289</v>
      </c>
      <c r="T38" s="894">
        <f t="shared" si="1"/>
        <v>255.8</v>
      </c>
      <c r="U38" s="668">
        <v>0.4</v>
      </c>
      <c r="V38" s="669">
        <v>0.5</v>
      </c>
      <c r="W38" s="895">
        <f t="shared" si="2"/>
        <v>78.550000000000011</v>
      </c>
      <c r="X38" s="694">
        <v>0.4</v>
      </c>
      <c r="Y38" s="690">
        <v>0.3</v>
      </c>
      <c r="Z38" s="667">
        <f t="shared" si="32"/>
        <v>200.60999999999999</v>
      </c>
      <c r="AA38" s="659">
        <f t="shared" si="33"/>
        <v>200.60999999999999</v>
      </c>
      <c r="AB38" s="894">
        <f t="shared" si="3"/>
        <v>334.35</v>
      </c>
      <c r="AC38" s="895">
        <f t="shared" si="34"/>
        <v>334.35</v>
      </c>
      <c r="AD38" s="181"/>
      <c r="AE38" s="882">
        <f t="shared" si="4"/>
        <v>12.5</v>
      </c>
      <c r="AF38" s="882">
        <f t="shared" si="5"/>
        <v>4.5</v>
      </c>
      <c r="AG38" s="882">
        <f t="shared" si="6"/>
        <v>9</v>
      </c>
      <c r="AH38" s="883">
        <f t="shared" si="7"/>
        <v>8</v>
      </c>
      <c r="AI38" s="317">
        <f t="shared" si="8"/>
        <v>197</v>
      </c>
      <c r="AJ38" s="304">
        <f t="shared" si="9"/>
        <v>68</v>
      </c>
      <c r="AK38" s="304">
        <f t="shared" si="10"/>
        <v>118</v>
      </c>
      <c r="AL38" s="318" t="str">
        <f t="shared" si="11"/>
        <v>RAILROAD</v>
      </c>
      <c r="AM38" s="318">
        <f t="shared" si="12"/>
        <v>1.6694915254237288</v>
      </c>
      <c r="AN38" s="319" t="str">
        <f t="shared" si="13"/>
        <v>N/A</v>
      </c>
      <c r="AO38" s="319">
        <f t="shared" si="14"/>
        <v>4</v>
      </c>
      <c r="AP38" s="318">
        <f t="shared" si="15"/>
        <v>6</v>
      </c>
      <c r="AQ38" s="320">
        <f t="shared" si="16"/>
        <v>6</v>
      </c>
      <c r="AR38" s="306">
        <f t="shared" si="17"/>
        <v>197</v>
      </c>
      <c r="AS38" s="308">
        <f t="shared" si="18"/>
        <v>62</v>
      </c>
      <c r="AT38" s="308">
        <f t="shared" si="19"/>
        <v>54</v>
      </c>
      <c r="AU38" s="308" t="str">
        <f t="shared" si="20"/>
        <v>VERTICAL</v>
      </c>
      <c r="AV38" s="308">
        <f t="shared" si="21"/>
        <v>6.9</v>
      </c>
      <c r="AW38" s="310">
        <f t="shared" si="22"/>
        <v>6.9</v>
      </c>
      <c r="AX38" s="321">
        <f t="shared" si="23"/>
        <v>8.1521739130434785</v>
      </c>
      <c r="AY38" s="308">
        <f t="shared" si="37"/>
        <v>36</v>
      </c>
      <c r="AZ38" s="312">
        <f>IF(C38="","",IF(H38="STOCK",VLOOKUP(I38,'COST - SELL'!$B$26:$G$29,6,0),IF(H38="LINE-ATELIER",VLOOKUP(I38,'COST - SELL'!$J$26:$Q$29,8,0),IF(H38="LINE-VTLUX",VLOOKUP(I38,'COST - SELL'!$B$36:$I$51,8,0),0))))</f>
        <v>31.8</v>
      </c>
      <c r="BA38" s="313">
        <f t="shared" si="25"/>
        <v>190.8</v>
      </c>
      <c r="BB38" s="314">
        <f>IF(C38="","",IF(L38="N/A",0,VLOOKUP(L38,'COST - SELL'!$B$60:$I$63,8,0)))</f>
        <v>0</v>
      </c>
      <c r="BC38" s="313">
        <f t="shared" si="26"/>
        <v>0</v>
      </c>
      <c r="BD38" s="315">
        <f>IF(C38="","",IF(H38="C.O.M.",VLOOKUP(F38,'COST - SELL'!$J$11:$N$19,5,0),VLOOKUP(F38,'COST - SELL'!$B$11:$H$19,7,0)))</f>
        <v>16.25</v>
      </c>
      <c r="BE38" s="315">
        <f t="shared" si="27"/>
        <v>65</v>
      </c>
      <c r="BF38" s="313">
        <f t="shared" si="30"/>
        <v>255.8</v>
      </c>
      <c r="BG38" s="316">
        <f>IF(C38="","",IF(Q38="N/A",0,VLOOKUP(Q38,'COST - SELL'!$B$80:$I$91,8,0)*'FILL QUOTE-CALCULATIONS'!AX38))</f>
        <v>69.293478260869563</v>
      </c>
      <c r="BH38" s="316">
        <f>IF(C38="","",IF(S38="N/A",0,IF(AY38="N/A",0,INDEX('COST - SELL'!$O$70:$S$73,MATCH('FILL QUOTE-CALCULATIONS'!S38,'COST - SELL'!$O$70:$O$73,0),MATCH('FILL QUOTE-CALCULATIONS'!AY38,'COST - SELL'!$O$70:$S$70,0)))))</f>
        <v>9.25</v>
      </c>
      <c r="BI38" s="316">
        <f t="shared" si="28"/>
        <v>78.550000000000011</v>
      </c>
      <c r="BJ38" s="316">
        <f t="shared" si="29"/>
        <v>334.35</v>
      </c>
    </row>
    <row r="39" spans="2:62" x14ac:dyDescent="0.25">
      <c r="B39" s="231">
        <f t="shared" si="31"/>
        <v>25</v>
      </c>
      <c r="C39" s="180">
        <v>1</v>
      </c>
      <c r="D39" s="178" t="s">
        <v>298</v>
      </c>
      <c r="E39" s="179" t="s">
        <v>131</v>
      </c>
      <c r="F39" s="179" t="s">
        <v>136</v>
      </c>
      <c r="G39" s="671">
        <v>2</v>
      </c>
      <c r="H39" s="905" t="s">
        <v>187</v>
      </c>
      <c r="I39" s="905" t="s">
        <v>321</v>
      </c>
      <c r="J39" s="179" t="str">
        <f t="shared" si="36"/>
        <v/>
      </c>
      <c r="K39" s="672" t="s">
        <v>784</v>
      </c>
      <c r="L39" s="179" t="s">
        <v>122</v>
      </c>
      <c r="M39" s="672" t="s">
        <v>769</v>
      </c>
      <c r="N39" s="673">
        <v>121</v>
      </c>
      <c r="O39" s="673">
        <v>113.875</v>
      </c>
      <c r="P39" s="197" t="s">
        <v>287</v>
      </c>
      <c r="Q39" s="178" t="s">
        <v>736</v>
      </c>
      <c r="R39" s="176" t="s">
        <v>750</v>
      </c>
      <c r="S39" s="179" t="s">
        <v>289</v>
      </c>
      <c r="T39" s="894">
        <f t="shared" si="1"/>
        <v>645.55000000000007</v>
      </c>
      <c r="U39" s="668">
        <v>0.4</v>
      </c>
      <c r="V39" s="669">
        <v>0.5</v>
      </c>
      <c r="W39" s="895">
        <f t="shared" si="2"/>
        <v>108.5</v>
      </c>
      <c r="X39" s="694">
        <v>0.4</v>
      </c>
      <c r="Y39" s="690">
        <v>0.3</v>
      </c>
      <c r="Z39" s="667">
        <f t="shared" si="32"/>
        <v>452.43000000000006</v>
      </c>
      <c r="AA39" s="659">
        <f t="shared" si="33"/>
        <v>452.43000000000006</v>
      </c>
      <c r="AB39" s="894">
        <f t="shared" si="3"/>
        <v>754.05000000000007</v>
      </c>
      <c r="AC39" s="895">
        <f t="shared" si="34"/>
        <v>754.05000000000007</v>
      </c>
      <c r="AD39" s="181"/>
      <c r="AE39" s="882">
        <f t="shared" si="4"/>
        <v>12.5</v>
      </c>
      <c r="AF39" s="882">
        <f t="shared" si="5"/>
        <v>6.0500000000000007</v>
      </c>
      <c r="AG39" s="882">
        <f t="shared" si="6"/>
        <v>9</v>
      </c>
      <c r="AH39" s="883">
        <f t="shared" si="7"/>
        <v>8</v>
      </c>
      <c r="AI39" s="317">
        <f t="shared" si="8"/>
        <v>260.55</v>
      </c>
      <c r="AJ39" s="304">
        <f t="shared" si="9"/>
        <v>130.875</v>
      </c>
      <c r="AK39" s="304">
        <f t="shared" si="10"/>
        <v>54</v>
      </c>
      <c r="AL39" s="318" t="str">
        <f t="shared" si="11"/>
        <v>VERTICAL</v>
      </c>
      <c r="AM39" s="318">
        <f t="shared" si="12"/>
        <v>4.8250000000000002</v>
      </c>
      <c r="AN39" s="319">
        <f t="shared" si="13"/>
        <v>5</v>
      </c>
      <c r="AO39" s="319">
        <f t="shared" si="14"/>
        <v>5</v>
      </c>
      <c r="AP39" s="318">
        <f t="shared" si="15"/>
        <v>19.75</v>
      </c>
      <c r="AQ39" s="320">
        <f t="shared" si="16"/>
        <v>19.75</v>
      </c>
      <c r="AR39" s="306">
        <f t="shared" si="17"/>
        <v>261</v>
      </c>
      <c r="AS39" s="308">
        <f t="shared" si="18"/>
        <v>124.875</v>
      </c>
      <c r="AT39" s="308">
        <f t="shared" si="19"/>
        <v>54</v>
      </c>
      <c r="AU39" s="308" t="str">
        <f t="shared" si="20"/>
        <v>VERTICAL</v>
      </c>
      <c r="AV39" s="308">
        <f t="shared" si="21"/>
        <v>18.5</v>
      </c>
      <c r="AW39" s="310">
        <f t="shared" si="22"/>
        <v>18.5</v>
      </c>
      <c r="AX39" s="321">
        <f t="shared" si="23"/>
        <v>10.960144927536232</v>
      </c>
      <c r="AY39" s="308">
        <f t="shared" si="37"/>
        <v>60</v>
      </c>
      <c r="AZ39" s="312">
        <f>IF(C39="","",IF(H39="STOCK",VLOOKUP(I39,'COST - SELL'!$B$26:$G$29,6,0),IF(H39="LINE-ATELIER",VLOOKUP(I39,'COST - SELL'!$J$26:$Q$29,8,0),IF(H39="LINE-VTLUX",VLOOKUP(I39,'COST - SELL'!$B$36:$I$51,8,0),0))))</f>
        <v>27.900000000000002</v>
      </c>
      <c r="BA39" s="313">
        <f t="shared" si="25"/>
        <v>551.02500000000009</v>
      </c>
      <c r="BB39" s="314">
        <f>IF(C39="","",IF(L39="N/A",0,VLOOKUP(L39,'COST - SELL'!$B$60:$I$63,8,0)))</f>
        <v>0</v>
      </c>
      <c r="BC39" s="313">
        <f t="shared" si="26"/>
        <v>0</v>
      </c>
      <c r="BD39" s="315">
        <f>IF(C39="","",IF(H39="C.O.M.",VLOOKUP(F39,'COST - SELL'!$J$11:$N$19,5,0),VLOOKUP(F39,'COST - SELL'!$B$11:$H$19,7,0)))</f>
        <v>18.900000000000002</v>
      </c>
      <c r="BE39" s="315">
        <f t="shared" si="27"/>
        <v>94.500000000000014</v>
      </c>
      <c r="BF39" s="313">
        <f t="shared" si="30"/>
        <v>645.55000000000007</v>
      </c>
      <c r="BG39" s="316">
        <f>IF(C39="","",IF(Q39="N/A",0,VLOOKUP(Q39,'COST - SELL'!$B$80:$I$91,8,0)*'FILL QUOTE-CALCULATIONS'!AX39))</f>
        <v>93.161231884057969</v>
      </c>
      <c r="BH39" s="316">
        <f>IF(C39="","",IF(S39="N/A",0,IF(AY39="N/A",0,INDEX('COST - SELL'!$O$70:$S$73,MATCH('FILL QUOTE-CALCULATIONS'!S39,'COST - SELL'!$O$70:$O$73,0),MATCH('FILL QUOTE-CALCULATIONS'!AY39,'COST - SELL'!$O$70:$S$70,0)))))</f>
        <v>15.3</v>
      </c>
      <c r="BI39" s="316">
        <f t="shared" si="28"/>
        <v>108.5</v>
      </c>
      <c r="BJ39" s="316">
        <f t="shared" si="29"/>
        <v>754.05000000000007</v>
      </c>
    </row>
    <row r="40" spans="2:62" x14ac:dyDescent="0.25">
      <c r="B40" s="231">
        <f t="shared" si="31"/>
        <v>26</v>
      </c>
      <c r="C40" s="180">
        <v>1</v>
      </c>
      <c r="D40" s="178" t="s">
        <v>298</v>
      </c>
      <c r="E40" s="179" t="s">
        <v>131</v>
      </c>
      <c r="F40" s="179" t="s">
        <v>116</v>
      </c>
      <c r="G40" s="671">
        <v>2</v>
      </c>
      <c r="H40" s="905" t="s">
        <v>187</v>
      </c>
      <c r="I40" s="905" t="s">
        <v>323</v>
      </c>
      <c r="J40" s="179" t="str">
        <f t="shared" si="36"/>
        <v/>
      </c>
      <c r="K40" s="672" t="s">
        <v>783</v>
      </c>
      <c r="L40" s="179" t="s">
        <v>122</v>
      </c>
      <c r="M40" s="672" t="s">
        <v>769</v>
      </c>
      <c r="N40" s="673">
        <v>121</v>
      </c>
      <c r="O40" s="673">
        <v>113.875</v>
      </c>
      <c r="P40" s="197" t="s">
        <v>287</v>
      </c>
      <c r="Q40" s="178" t="s">
        <v>736</v>
      </c>
      <c r="R40" s="176" t="s">
        <v>750</v>
      </c>
      <c r="S40" s="179" t="s">
        <v>289</v>
      </c>
      <c r="T40" s="894">
        <f t="shared" si="1"/>
        <v>366.1</v>
      </c>
      <c r="U40" s="668">
        <v>0.4</v>
      </c>
      <c r="V40" s="669">
        <v>0.5</v>
      </c>
      <c r="W40" s="895">
        <f t="shared" si="2"/>
        <v>108.5</v>
      </c>
      <c r="X40" s="694">
        <v>0.4</v>
      </c>
      <c r="Y40" s="690">
        <v>0.3</v>
      </c>
      <c r="Z40" s="667">
        <f t="shared" si="32"/>
        <v>284.76</v>
      </c>
      <c r="AA40" s="659">
        <f t="shared" si="33"/>
        <v>284.76</v>
      </c>
      <c r="AB40" s="894">
        <f t="shared" si="3"/>
        <v>474.6</v>
      </c>
      <c r="AC40" s="895">
        <f t="shared" si="34"/>
        <v>474.6</v>
      </c>
      <c r="AD40" s="181"/>
      <c r="AE40" s="882">
        <f t="shared" si="4"/>
        <v>12.5</v>
      </c>
      <c r="AF40" s="882">
        <f t="shared" si="5"/>
        <v>6.0500000000000007</v>
      </c>
      <c r="AG40" s="882">
        <f t="shared" si="6"/>
        <v>9</v>
      </c>
      <c r="AH40" s="883">
        <f t="shared" si="7"/>
        <v>8</v>
      </c>
      <c r="AI40" s="317">
        <f t="shared" si="8"/>
        <v>260.55</v>
      </c>
      <c r="AJ40" s="304">
        <f t="shared" si="9"/>
        <v>130.875</v>
      </c>
      <c r="AK40" s="304">
        <f t="shared" si="10"/>
        <v>118</v>
      </c>
      <c r="AL40" s="318" t="str">
        <f t="shared" si="11"/>
        <v>VERTICAL</v>
      </c>
      <c r="AM40" s="318">
        <f t="shared" si="12"/>
        <v>2.2080508474576273</v>
      </c>
      <c r="AN40" s="319">
        <f t="shared" si="13"/>
        <v>2.25</v>
      </c>
      <c r="AO40" s="319">
        <f t="shared" si="14"/>
        <v>4.916666666666667</v>
      </c>
      <c r="AP40" s="318">
        <f t="shared" si="15"/>
        <v>9</v>
      </c>
      <c r="AQ40" s="320">
        <f t="shared" si="16"/>
        <v>9</v>
      </c>
      <c r="AR40" s="306">
        <f t="shared" si="17"/>
        <v>261</v>
      </c>
      <c r="AS40" s="308">
        <f t="shared" si="18"/>
        <v>124.875</v>
      </c>
      <c r="AT40" s="308">
        <f t="shared" si="19"/>
        <v>54</v>
      </c>
      <c r="AU40" s="308" t="str">
        <f t="shared" si="20"/>
        <v>VERTICAL</v>
      </c>
      <c r="AV40" s="308">
        <f t="shared" si="21"/>
        <v>18.5</v>
      </c>
      <c r="AW40" s="310">
        <f t="shared" si="22"/>
        <v>18.5</v>
      </c>
      <c r="AX40" s="321">
        <f t="shared" si="23"/>
        <v>10.960144927536232</v>
      </c>
      <c r="AY40" s="308">
        <f t="shared" si="37"/>
        <v>60</v>
      </c>
      <c r="AZ40" s="312">
        <f>IF(C40="","",IF(H40="STOCK",VLOOKUP(I40,'COST - SELL'!$B$26:$G$29,6,0),IF(H40="LINE-ATELIER",VLOOKUP(I40,'COST - SELL'!$J$26:$Q$29,8,0),IF(H40="LINE-VTLUX",VLOOKUP(I40,'COST - SELL'!$B$36:$I$51,8,0),0))))</f>
        <v>31.8</v>
      </c>
      <c r="BA40" s="313">
        <f t="shared" si="25"/>
        <v>286.2</v>
      </c>
      <c r="BB40" s="314">
        <f>IF(C40="","",IF(L40="N/A",0,VLOOKUP(L40,'COST - SELL'!$B$60:$I$63,8,0)))</f>
        <v>0</v>
      </c>
      <c r="BC40" s="313">
        <f t="shared" si="26"/>
        <v>0</v>
      </c>
      <c r="BD40" s="315">
        <f>IF(C40="","",IF(H40="C.O.M.",VLOOKUP(F40,'COST - SELL'!$J$11:$N$19,5,0),VLOOKUP(F40,'COST - SELL'!$B$11:$H$19,7,0)))</f>
        <v>16.25</v>
      </c>
      <c r="BE40" s="315">
        <f t="shared" si="27"/>
        <v>79.895833333333343</v>
      </c>
      <c r="BF40" s="313">
        <f t="shared" si="30"/>
        <v>366.1</v>
      </c>
      <c r="BG40" s="316">
        <f>IF(C40="","",IF(Q40="N/A",0,VLOOKUP(Q40,'COST - SELL'!$B$80:$I$91,8,0)*'FILL QUOTE-CALCULATIONS'!AX40))</f>
        <v>93.161231884057969</v>
      </c>
      <c r="BH40" s="316">
        <f>IF(C40="","",IF(S40="N/A",0,IF(AY40="N/A",0,INDEX('COST - SELL'!$O$70:$S$73,MATCH('FILL QUOTE-CALCULATIONS'!S40,'COST - SELL'!$O$70:$O$73,0),MATCH('FILL QUOTE-CALCULATIONS'!AY40,'COST - SELL'!$O$70:$S$70,0)))))</f>
        <v>15.3</v>
      </c>
      <c r="BI40" s="316">
        <f t="shared" si="28"/>
        <v>108.5</v>
      </c>
      <c r="BJ40" s="316">
        <f t="shared" si="29"/>
        <v>474.6</v>
      </c>
    </row>
    <row r="41" spans="2:62" x14ac:dyDescent="0.25">
      <c r="B41" s="231">
        <f t="shared" si="31"/>
        <v>27</v>
      </c>
      <c r="C41" s="180">
        <v>1</v>
      </c>
      <c r="D41" s="178" t="s">
        <v>298</v>
      </c>
      <c r="E41" s="179" t="s">
        <v>131</v>
      </c>
      <c r="F41" s="179" t="s">
        <v>136</v>
      </c>
      <c r="G41" s="671">
        <v>2</v>
      </c>
      <c r="H41" s="905" t="s">
        <v>187</v>
      </c>
      <c r="I41" s="905" t="s">
        <v>321</v>
      </c>
      <c r="J41" s="179" t="str">
        <f t="shared" si="36"/>
        <v/>
      </c>
      <c r="K41" s="672" t="s">
        <v>784</v>
      </c>
      <c r="L41" s="179" t="s">
        <v>122</v>
      </c>
      <c r="M41" s="672" t="s">
        <v>770</v>
      </c>
      <c r="N41" s="673">
        <v>104.5</v>
      </c>
      <c r="O41" s="673">
        <v>115.5</v>
      </c>
      <c r="P41" s="197" t="s">
        <v>287</v>
      </c>
      <c r="Q41" s="178" t="s">
        <v>736</v>
      </c>
      <c r="R41" s="176" t="s">
        <v>750</v>
      </c>
      <c r="S41" s="179" t="s">
        <v>289</v>
      </c>
      <c r="T41" s="894">
        <f t="shared" si="1"/>
        <v>587.25</v>
      </c>
      <c r="U41" s="668">
        <v>0.4</v>
      </c>
      <c r="V41" s="669">
        <v>0.5</v>
      </c>
      <c r="W41" s="895">
        <f t="shared" si="2"/>
        <v>95.800000000000011</v>
      </c>
      <c r="X41" s="694">
        <v>0.4</v>
      </c>
      <c r="Y41" s="690">
        <v>0.3</v>
      </c>
      <c r="Z41" s="667">
        <f t="shared" si="32"/>
        <v>409.83</v>
      </c>
      <c r="AA41" s="659">
        <f t="shared" si="33"/>
        <v>409.83</v>
      </c>
      <c r="AB41" s="894">
        <f t="shared" si="3"/>
        <v>683.05</v>
      </c>
      <c r="AC41" s="895">
        <f t="shared" si="34"/>
        <v>683.05</v>
      </c>
      <c r="AD41" s="181"/>
      <c r="AE41" s="882">
        <f t="shared" si="4"/>
        <v>12.5</v>
      </c>
      <c r="AF41" s="882">
        <f t="shared" si="5"/>
        <v>5.2250000000000005</v>
      </c>
      <c r="AG41" s="882">
        <f t="shared" si="6"/>
        <v>9</v>
      </c>
      <c r="AH41" s="883">
        <f t="shared" si="7"/>
        <v>8</v>
      </c>
      <c r="AI41" s="317">
        <f t="shared" si="8"/>
        <v>226.72499999999999</v>
      </c>
      <c r="AJ41" s="304">
        <f t="shared" si="9"/>
        <v>132.5</v>
      </c>
      <c r="AK41" s="304">
        <f t="shared" si="10"/>
        <v>54</v>
      </c>
      <c r="AL41" s="318" t="str">
        <f t="shared" si="11"/>
        <v>VERTICAL</v>
      </c>
      <c r="AM41" s="318">
        <f t="shared" si="12"/>
        <v>4.1986111111111111</v>
      </c>
      <c r="AN41" s="319">
        <f t="shared" si="13"/>
        <v>4.5</v>
      </c>
      <c r="AO41" s="319">
        <f t="shared" si="14"/>
        <v>4.5</v>
      </c>
      <c r="AP41" s="318">
        <f t="shared" si="15"/>
        <v>18</v>
      </c>
      <c r="AQ41" s="320">
        <f t="shared" si="16"/>
        <v>18</v>
      </c>
      <c r="AR41" s="306">
        <f t="shared" si="17"/>
        <v>227</v>
      </c>
      <c r="AS41" s="308">
        <f t="shared" si="18"/>
        <v>126.5</v>
      </c>
      <c r="AT41" s="308">
        <f t="shared" si="19"/>
        <v>54</v>
      </c>
      <c r="AU41" s="308" t="str">
        <f t="shared" si="20"/>
        <v>VERTICAL</v>
      </c>
      <c r="AV41" s="308">
        <f t="shared" si="21"/>
        <v>15.9</v>
      </c>
      <c r="AW41" s="310">
        <f t="shared" si="22"/>
        <v>15.9</v>
      </c>
      <c r="AX41" s="321">
        <f t="shared" si="23"/>
        <v>9.4655797101449277</v>
      </c>
      <c r="AY41" s="308">
        <f t="shared" si="37"/>
        <v>60</v>
      </c>
      <c r="AZ41" s="312">
        <f>IF(C41="","",IF(H41="STOCK",VLOOKUP(I41,'COST - SELL'!$B$26:$G$29,6,0),IF(H41="LINE-ATELIER",VLOOKUP(I41,'COST - SELL'!$J$26:$Q$29,8,0),IF(H41="LINE-VTLUX",VLOOKUP(I41,'COST - SELL'!$B$36:$I$51,8,0),0))))</f>
        <v>27.900000000000002</v>
      </c>
      <c r="BA41" s="313">
        <f t="shared" si="25"/>
        <v>502.20000000000005</v>
      </c>
      <c r="BB41" s="314">
        <f>IF(C41="","",IF(L41="N/A",0,VLOOKUP(L41,'COST - SELL'!$B$60:$I$63,8,0)))</f>
        <v>0</v>
      </c>
      <c r="BC41" s="313">
        <f t="shared" si="26"/>
        <v>0</v>
      </c>
      <c r="BD41" s="315">
        <f>IF(C41="","",IF(H41="C.O.M.",VLOOKUP(F41,'COST - SELL'!$J$11:$N$19,5,0),VLOOKUP(F41,'COST - SELL'!$B$11:$H$19,7,0)))</f>
        <v>18.900000000000002</v>
      </c>
      <c r="BE41" s="315">
        <f t="shared" si="27"/>
        <v>85.050000000000011</v>
      </c>
      <c r="BF41" s="313">
        <f t="shared" si="30"/>
        <v>587.25</v>
      </c>
      <c r="BG41" s="316">
        <f>IF(C41="","",IF(Q41="N/A",0,VLOOKUP(Q41,'COST - SELL'!$B$80:$I$91,8,0)*'FILL QUOTE-CALCULATIONS'!AX41))</f>
        <v>80.45742753623189</v>
      </c>
      <c r="BH41" s="316">
        <f>IF(C41="","",IF(S41="N/A",0,IF(AY41="N/A",0,INDEX('COST - SELL'!$O$70:$S$73,MATCH('FILL QUOTE-CALCULATIONS'!S41,'COST - SELL'!$O$70:$O$73,0),MATCH('FILL QUOTE-CALCULATIONS'!AY41,'COST - SELL'!$O$70:$S$70,0)))))</f>
        <v>15.3</v>
      </c>
      <c r="BI41" s="316">
        <f t="shared" si="28"/>
        <v>95.800000000000011</v>
      </c>
      <c r="BJ41" s="316">
        <f t="shared" si="29"/>
        <v>683.05</v>
      </c>
    </row>
    <row r="42" spans="2:62" x14ac:dyDescent="0.25">
      <c r="B42" s="231">
        <f t="shared" si="31"/>
        <v>28</v>
      </c>
      <c r="C42" s="180">
        <v>1</v>
      </c>
      <c r="D42" s="178" t="s">
        <v>298</v>
      </c>
      <c r="E42" s="179" t="s">
        <v>131</v>
      </c>
      <c r="F42" s="179" t="s">
        <v>136</v>
      </c>
      <c r="G42" s="671">
        <v>2</v>
      </c>
      <c r="H42" s="905" t="s">
        <v>187</v>
      </c>
      <c r="I42" s="905" t="s">
        <v>321</v>
      </c>
      <c r="J42" s="179" t="str">
        <f t="shared" si="36"/>
        <v/>
      </c>
      <c r="K42" s="672" t="s">
        <v>784</v>
      </c>
      <c r="L42" s="179" t="s">
        <v>122</v>
      </c>
      <c r="M42" s="672" t="s">
        <v>763</v>
      </c>
      <c r="N42" s="673">
        <v>101.25</v>
      </c>
      <c r="O42" s="673">
        <v>115</v>
      </c>
      <c r="P42" s="197" t="s">
        <v>287</v>
      </c>
      <c r="Q42" s="178" t="s">
        <v>736</v>
      </c>
      <c r="R42" s="176" t="s">
        <v>750</v>
      </c>
      <c r="S42" s="179" t="s">
        <v>289</v>
      </c>
      <c r="T42" s="894">
        <f t="shared" si="1"/>
        <v>580.30000000000007</v>
      </c>
      <c r="U42" s="668">
        <v>0.4</v>
      </c>
      <c r="V42" s="669">
        <v>0.5</v>
      </c>
      <c r="W42" s="895">
        <f t="shared" si="2"/>
        <v>93.300000000000011</v>
      </c>
      <c r="X42" s="694">
        <v>0.4</v>
      </c>
      <c r="Y42" s="690">
        <v>0.3</v>
      </c>
      <c r="Z42" s="667">
        <f t="shared" si="32"/>
        <v>404.16</v>
      </c>
      <c r="AA42" s="659">
        <f t="shared" si="33"/>
        <v>404.16</v>
      </c>
      <c r="AB42" s="894">
        <f t="shared" si="3"/>
        <v>673.60000000000014</v>
      </c>
      <c r="AC42" s="895">
        <f t="shared" si="34"/>
        <v>673.60000000000014</v>
      </c>
      <c r="AD42" s="181"/>
      <c r="AE42" s="882">
        <f t="shared" si="4"/>
        <v>12.5</v>
      </c>
      <c r="AF42" s="882">
        <f t="shared" si="5"/>
        <v>5.0625</v>
      </c>
      <c r="AG42" s="882">
        <f t="shared" si="6"/>
        <v>9</v>
      </c>
      <c r="AH42" s="883">
        <f t="shared" si="7"/>
        <v>8</v>
      </c>
      <c r="AI42" s="317">
        <f t="shared" si="8"/>
        <v>220.0625</v>
      </c>
      <c r="AJ42" s="304">
        <f t="shared" si="9"/>
        <v>132</v>
      </c>
      <c r="AK42" s="304">
        <f t="shared" si="10"/>
        <v>54</v>
      </c>
      <c r="AL42" s="318" t="str">
        <f t="shared" si="11"/>
        <v>VERTICAL</v>
      </c>
      <c r="AM42" s="318">
        <f t="shared" si="12"/>
        <v>4.0752314814814818</v>
      </c>
      <c r="AN42" s="319">
        <f t="shared" si="13"/>
        <v>4.5</v>
      </c>
      <c r="AO42" s="319">
        <f t="shared" si="14"/>
        <v>4.5</v>
      </c>
      <c r="AP42" s="318">
        <f t="shared" si="15"/>
        <v>17.75</v>
      </c>
      <c r="AQ42" s="320">
        <f t="shared" si="16"/>
        <v>17.75</v>
      </c>
      <c r="AR42" s="306">
        <f t="shared" si="17"/>
        <v>221</v>
      </c>
      <c r="AS42" s="308">
        <f t="shared" si="18"/>
        <v>126</v>
      </c>
      <c r="AT42" s="308">
        <f t="shared" si="19"/>
        <v>54</v>
      </c>
      <c r="AU42" s="308" t="str">
        <f t="shared" si="20"/>
        <v>VERTICAL</v>
      </c>
      <c r="AV42" s="308">
        <f t="shared" si="21"/>
        <v>15.9</v>
      </c>
      <c r="AW42" s="310">
        <f t="shared" si="22"/>
        <v>15.9</v>
      </c>
      <c r="AX42" s="321">
        <f t="shared" si="23"/>
        <v>9.1711956521739122</v>
      </c>
      <c r="AY42" s="308">
        <f t="shared" si="37"/>
        <v>60</v>
      </c>
      <c r="AZ42" s="312">
        <f>IF(C42="","",IF(H42="STOCK",VLOOKUP(I42,'COST - SELL'!$B$26:$G$29,6,0),IF(H42="LINE-ATELIER",VLOOKUP(I42,'COST - SELL'!$J$26:$Q$29,8,0),IF(H42="LINE-VTLUX",VLOOKUP(I42,'COST - SELL'!$B$36:$I$51,8,0),0))))</f>
        <v>27.900000000000002</v>
      </c>
      <c r="BA42" s="313">
        <f t="shared" si="25"/>
        <v>495.22500000000002</v>
      </c>
      <c r="BB42" s="314">
        <f>IF(C42="","",IF(L42="N/A",0,VLOOKUP(L42,'COST - SELL'!$B$60:$I$63,8,0)))</f>
        <v>0</v>
      </c>
      <c r="BC42" s="313">
        <f t="shared" si="26"/>
        <v>0</v>
      </c>
      <c r="BD42" s="315">
        <f>IF(C42="","",IF(H42="C.O.M.",VLOOKUP(F42,'COST - SELL'!$J$11:$N$19,5,0),VLOOKUP(F42,'COST - SELL'!$B$11:$H$19,7,0)))</f>
        <v>18.900000000000002</v>
      </c>
      <c r="BE42" s="315">
        <f t="shared" si="27"/>
        <v>85.050000000000011</v>
      </c>
      <c r="BF42" s="313">
        <f t="shared" si="30"/>
        <v>580.30000000000007</v>
      </c>
      <c r="BG42" s="316">
        <f>IF(C42="","",IF(Q42="N/A",0,VLOOKUP(Q42,'COST - SELL'!$B$80:$I$91,8,0)*'FILL QUOTE-CALCULATIONS'!AX42))</f>
        <v>77.955163043478251</v>
      </c>
      <c r="BH42" s="316">
        <f>IF(C42="","",IF(S42="N/A",0,IF(AY42="N/A",0,INDEX('COST - SELL'!$O$70:$S$73,MATCH('FILL QUOTE-CALCULATIONS'!S42,'COST - SELL'!$O$70:$O$73,0),MATCH('FILL QUOTE-CALCULATIONS'!AY42,'COST - SELL'!$O$70:$S$70,0)))))</f>
        <v>15.3</v>
      </c>
      <c r="BI42" s="316">
        <f t="shared" si="28"/>
        <v>93.300000000000011</v>
      </c>
      <c r="BJ42" s="316">
        <f t="shared" si="29"/>
        <v>673.60000000000014</v>
      </c>
    </row>
    <row r="43" spans="2:62" x14ac:dyDescent="0.25">
      <c r="B43" s="231">
        <f t="shared" si="31"/>
        <v>29</v>
      </c>
      <c r="C43" s="180">
        <v>1</v>
      </c>
      <c r="D43" s="178" t="s">
        <v>298</v>
      </c>
      <c r="E43" s="179" t="s">
        <v>131</v>
      </c>
      <c r="F43" s="179" t="s">
        <v>136</v>
      </c>
      <c r="G43" s="671">
        <v>2</v>
      </c>
      <c r="H43" s="905" t="s">
        <v>187</v>
      </c>
      <c r="I43" s="905" t="s">
        <v>321</v>
      </c>
      <c r="J43" s="179" t="str">
        <f t="shared" si="36"/>
        <v/>
      </c>
      <c r="K43" s="672" t="s">
        <v>784</v>
      </c>
      <c r="L43" s="179" t="s">
        <v>122</v>
      </c>
      <c r="M43" s="672" t="s">
        <v>764</v>
      </c>
      <c r="N43" s="673">
        <v>128</v>
      </c>
      <c r="O43" s="673">
        <v>114.75</v>
      </c>
      <c r="P43" s="197" t="s">
        <v>287</v>
      </c>
      <c r="Q43" s="178" t="s">
        <v>736</v>
      </c>
      <c r="R43" s="176" t="s">
        <v>750</v>
      </c>
      <c r="S43" s="179" t="s">
        <v>289</v>
      </c>
      <c r="T43" s="894">
        <f t="shared" si="1"/>
        <v>710.80000000000007</v>
      </c>
      <c r="U43" s="668">
        <v>0.4</v>
      </c>
      <c r="V43" s="669">
        <v>0.5</v>
      </c>
      <c r="W43" s="895">
        <f t="shared" si="2"/>
        <v>113.9</v>
      </c>
      <c r="X43" s="694">
        <v>0.4</v>
      </c>
      <c r="Y43" s="690">
        <v>0.3</v>
      </c>
      <c r="Z43" s="667">
        <f t="shared" si="32"/>
        <v>494.82000000000005</v>
      </c>
      <c r="AA43" s="659">
        <f t="shared" si="33"/>
        <v>494.82000000000005</v>
      </c>
      <c r="AB43" s="894">
        <f t="shared" si="3"/>
        <v>824.7</v>
      </c>
      <c r="AC43" s="895">
        <f t="shared" si="34"/>
        <v>824.7</v>
      </c>
      <c r="AD43" s="181"/>
      <c r="AE43" s="882">
        <f t="shared" si="4"/>
        <v>12.5</v>
      </c>
      <c r="AF43" s="882">
        <f t="shared" si="5"/>
        <v>6.4</v>
      </c>
      <c r="AG43" s="882">
        <f t="shared" si="6"/>
        <v>9</v>
      </c>
      <c r="AH43" s="883">
        <f t="shared" si="7"/>
        <v>8</v>
      </c>
      <c r="AI43" s="317">
        <f t="shared" si="8"/>
        <v>274.89999999999998</v>
      </c>
      <c r="AJ43" s="304">
        <f t="shared" si="9"/>
        <v>131.75</v>
      </c>
      <c r="AK43" s="304">
        <f t="shared" si="10"/>
        <v>54</v>
      </c>
      <c r="AL43" s="318" t="str">
        <f t="shared" si="11"/>
        <v>VERTICAL</v>
      </c>
      <c r="AM43" s="318">
        <f t="shared" si="12"/>
        <v>5.0907407407407401</v>
      </c>
      <c r="AN43" s="319">
        <f t="shared" si="13"/>
        <v>5.5</v>
      </c>
      <c r="AO43" s="319">
        <f t="shared" si="14"/>
        <v>5.5</v>
      </c>
      <c r="AP43" s="318">
        <f t="shared" si="15"/>
        <v>21.75</v>
      </c>
      <c r="AQ43" s="320">
        <f t="shared" si="16"/>
        <v>21.75</v>
      </c>
      <c r="AR43" s="306">
        <f t="shared" si="17"/>
        <v>275</v>
      </c>
      <c r="AS43" s="308">
        <f t="shared" si="18"/>
        <v>125.75</v>
      </c>
      <c r="AT43" s="308">
        <f t="shared" si="19"/>
        <v>54</v>
      </c>
      <c r="AU43" s="308" t="str">
        <f t="shared" si="20"/>
        <v>VERTICAL</v>
      </c>
      <c r="AV43" s="308">
        <f t="shared" si="21"/>
        <v>19.600000000000001</v>
      </c>
      <c r="AW43" s="310">
        <f t="shared" si="22"/>
        <v>19.600000000000001</v>
      </c>
      <c r="AX43" s="321">
        <f t="shared" si="23"/>
        <v>11.594202898550723</v>
      </c>
      <c r="AY43" s="308">
        <f t="shared" si="37"/>
        <v>60</v>
      </c>
      <c r="AZ43" s="312">
        <f>IF(C43="","",IF(H43="STOCK",VLOOKUP(I43,'COST - SELL'!$B$26:$G$29,6,0),IF(H43="LINE-ATELIER",VLOOKUP(I43,'COST - SELL'!$J$26:$Q$29,8,0),IF(H43="LINE-VTLUX",VLOOKUP(I43,'COST - SELL'!$B$36:$I$51,8,0),0))))</f>
        <v>27.900000000000002</v>
      </c>
      <c r="BA43" s="313">
        <f t="shared" si="25"/>
        <v>606.82500000000005</v>
      </c>
      <c r="BB43" s="314">
        <f>IF(C43="","",IF(L43="N/A",0,VLOOKUP(L43,'COST - SELL'!$B$60:$I$63,8,0)))</f>
        <v>0</v>
      </c>
      <c r="BC43" s="313">
        <f t="shared" si="26"/>
        <v>0</v>
      </c>
      <c r="BD43" s="315">
        <f>IF(C43="","",IF(H43="C.O.M.",VLOOKUP(F43,'COST - SELL'!$J$11:$N$19,5,0),VLOOKUP(F43,'COST - SELL'!$B$11:$H$19,7,0)))</f>
        <v>18.900000000000002</v>
      </c>
      <c r="BE43" s="315">
        <f t="shared" si="27"/>
        <v>103.95000000000002</v>
      </c>
      <c r="BF43" s="313">
        <f t="shared" si="30"/>
        <v>710.80000000000007</v>
      </c>
      <c r="BG43" s="316">
        <f>IF(C43="","",IF(Q43="N/A",0,VLOOKUP(Q43,'COST - SELL'!$B$80:$I$91,8,0)*'FILL QUOTE-CALCULATIONS'!AX43))</f>
        <v>98.550724637681142</v>
      </c>
      <c r="BH43" s="316">
        <f>IF(C43="","",IF(S43="N/A",0,IF(AY43="N/A",0,INDEX('COST - SELL'!$O$70:$S$73,MATCH('FILL QUOTE-CALCULATIONS'!S43,'COST - SELL'!$O$70:$O$73,0),MATCH('FILL QUOTE-CALCULATIONS'!AY43,'COST - SELL'!$O$70:$S$70,0)))))</f>
        <v>15.3</v>
      </c>
      <c r="BI43" s="316">
        <f t="shared" si="28"/>
        <v>113.9</v>
      </c>
      <c r="BJ43" s="316">
        <f t="shared" si="29"/>
        <v>824.7</v>
      </c>
    </row>
    <row r="44" spans="2:62" x14ac:dyDescent="0.25">
      <c r="B44" s="231">
        <f t="shared" si="31"/>
        <v>30</v>
      </c>
      <c r="C44" s="180"/>
      <c r="D44" s="178"/>
      <c r="E44" s="179"/>
      <c r="F44" s="179"/>
      <c r="G44" s="671"/>
      <c r="H44" s="905"/>
      <c r="I44" s="905"/>
      <c r="J44" s="179" t="str">
        <f t="shared" si="36"/>
        <v/>
      </c>
      <c r="K44" s="672"/>
      <c r="L44" s="179" t="s">
        <v>122</v>
      </c>
      <c r="M44" s="672"/>
      <c r="N44" s="673"/>
      <c r="O44" s="673"/>
      <c r="P44" s="197"/>
      <c r="Q44" s="178"/>
      <c r="R44" s="176"/>
      <c r="S44" s="179"/>
      <c r="T44" s="894">
        <f t="shared" si="1"/>
        <v>0</v>
      </c>
      <c r="U44" s="668">
        <v>0.4</v>
      </c>
      <c r="V44" s="669">
        <v>0.5</v>
      </c>
      <c r="W44" s="895" t="str">
        <f t="shared" si="2"/>
        <v/>
      </c>
      <c r="X44" s="694">
        <v>0.4</v>
      </c>
      <c r="Y44" s="690">
        <v>0.3</v>
      </c>
      <c r="Z44" s="667">
        <f t="shared" si="32"/>
        <v>0</v>
      </c>
      <c r="AA44" s="659">
        <f t="shared" si="33"/>
        <v>0</v>
      </c>
      <c r="AB44" s="894">
        <f t="shared" si="3"/>
        <v>0</v>
      </c>
      <c r="AC44" s="895">
        <f t="shared" si="34"/>
        <v>0</v>
      </c>
      <c r="AD44" s="181"/>
      <c r="AE44" s="882" t="str">
        <f t="shared" si="4"/>
        <v/>
      </c>
      <c r="AF44" s="882" t="str">
        <f t="shared" si="5"/>
        <v/>
      </c>
      <c r="AG44" s="882" t="str">
        <f t="shared" si="6"/>
        <v/>
      </c>
      <c r="AH44" s="883" t="str">
        <f t="shared" si="7"/>
        <v/>
      </c>
      <c r="AI44" s="317" t="str">
        <f t="shared" si="8"/>
        <v/>
      </c>
      <c r="AJ44" s="304" t="str">
        <f t="shared" si="9"/>
        <v/>
      </c>
      <c r="AK44" s="304" t="str">
        <f t="shared" si="10"/>
        <v/>
      </c>
      <c r="AL44" s="318" t="str">
        <f t="shared" si="11"/>
        <v/>
      </c>
      <c r="AM44" s="318" t="str">
        <f t="shared" si="12"/>
        <v/>
      </c>
      <c r="AN44" s="319" t="str">
        <f t="shared" si="13"/>
        <v/>
      </c>
      <c r="AO44" s="319" t="str">
        <f t="shared" si="14"/>
        <v/>
      </c>
      <c r="AP44" s="318" t="str">
        <f t="shared" si="15"/>
        <v/>
      </c>
      <c r="AQ44" s="320" t="str">
        <f t="shared" si="16"/>
        <v/>
      </c>
      <c r="AR44" s="306" t="str">
        <f t="shared" si="17"/>
        <v/>
      </c>
      <c r="AS44" s="308" t="str">
        <f t="shared" si="18"/>
        <v/>
      </c>
      <c r="AT44" s="308" t="str">
        <f t="shared" si="19"/>
        <v/>
      </c>
      <c r="AU44" s="308" t="str">
        <f t="shared" si="20"/>
        <v/>
      </c>
      <c r="AV44" s="308" t="str">
        <f t="shared" si="21"/>
        <v/>
      </c>
      <c r="AW44" s="310" t="str">
        <f t="shared" si="22"/>
        <v/>
      </c>
      <c r="AX44" s="321" t="str">
        <f t="shared" si="23"/>
        <v/>
      </c>
      <c r="AY44" s="308" t="str">
        <f t="shared" si="37"/>
        <v/>
      </c>
      <c r="AZ44" s="312" t="str">
        <f>IF(C44="","",IF(H44="STOCK",VLOOKUP(I44,'COST - SELL'!$B$26:$G$29,6,0),IF(H44="LINE-ATELIER",VLOOKUP(I44,'COST - SELL'!$J$26:$Q$29,8,0),IF(H44="LINE-VTLUX",VLOOKUP(I44,'COST - SELL'!$B$36:$I$51,8,0),0))))</f>
        <v/>
      </c>
      <c r="BA44" s="313" t="str">
        <f t="shared" si="25"/>
        <v/>
      </c>
      <c r="BB44" s="314" t="str">
        <f>IF(C44="","",IF(L44="N/A",0,VLOOKUP(L44,'COST - SELL'!$B$60:$I$63,8,0)))</f>
        <v/>
      </c>
      <c r="BC44" s="313" t="str">
        <f t="shared" si="26"/>
        <v/>
      </c>
      <c r="BD44" s="315" t="str">
        <f>IF(C44="","",IF(H44="C.O.M.",VLOOKUP(F44,'COST - SELL'!$J$11:$N$19,5,0),VLOOKUP(F44,'COST - SELL'!$B$11:$H$19,7,0)))</f>
        <v/>
      </c>
      <c r="BE44" s="315" t="str">
        <f t="shared" si="27"/>
        <v/>
      </c>
      <c r="BF44" s="313" t="str">
        <f t="shared" si="30"/>
        <v/>
      </c>
      <c r="BG44" s="316" t="str">
        <f>IF(C44="","",IF(Q44="N/A",0,VLOOKUP(Q44,'COST - SELL'!$B$80:$I$91,8,0)*'FILL QUOTE-CALCULATIONS'!AX44))</f>
        <v/>
      </c>
      <c r="BH44" s="316" t="str">
        <f>IF(C44="","",IF(S44="N/A",0,IF(AY44="N/A",0,INDEX('COST - SELL'!$O$70:$S$73,MATCH('FILL QUOTE-CALCULATIONS'!S44,'COST - SELL'!$O$70:$O$73,0),MATCH('FILL QUOTE-CALCULATIONS'!AY44,'COST - SELL'!$O$70:$S$70,0)))))</f>
        <v/>
      </c>
      <c r="BI44" s="316" t="str">
        <f t="shared" si="28"/>
        <v/>
      </c>
      <c r="BJ44" s="316" t="str">
        <f t="shared" si="29"/>
        <v/>
      </c>
    </row>
    <row r="45" spans="2:62" x14ac:dyDescent="0.25">
      <c r="B45" s="231">
        <f t="shared" si="31"/>
        <v>31</v>
      </c>
      <c r="C45" s="180">
        <v>1</v>
      </c>
      <c r="D45" s="178" t="s">
        <v>298</v>
      </c>
      <c r="E45" s="179" t="s">
        <v>131</v>
      </c>
      <c r="F45" s="179" t="s">
        <v>136</v>
      </c>
      <c r="G45" s="671">
        <v>2</v>
      </c>
      <c r="H45" s="905" t="s">
        <v>187</v>
      </c>
      <c r="I45" s="905" t="s">
        <v>321</v>
      </c>
      <c r="J45" s="179" t="str">
        <f t="shared" si="36"/>
        <v/>
      </c>
      <c r="K45" s="672" t="s">
        <v>784</v>
      </c>
      <c r="L45" s="179" t="s">
        <v>122</v>
      </c>
      <c r="M45" s="672" t="s">
        <v>771</v>
      </c>
      <c r="N45" s="673">
        <v>131</v>
      </c>
      <c r="O45" s="673">
        <v>117.5</v>
      </c>
      <c r="P45" s="197" t="s">
        <v>287</v>
      </c>
      <c r="Q45" s="178" t="s">
        <v>736</v>
      </c>
      <c r="R45" s="176" t="s">
        <v>750</v>
      </c>
      <c r="S45" s="179" t="s">
        <v>289</v>
      </c>
      <c r="T45" s="894">
        <f t="shared" si="1"/>
        <v>724.75</v>
      </c>
      <c r="U45" s="668">
        <v>0.4</v>
      </c>
      <c r="V45" s="669">
        <v>0.5</v>
      </c>
      <c r="W45" s="895">
        <f t="shared" si="2"/>
        <v>116.2</v>
      </c>
      <c r="X45" s="694">
        <v>0.4</v>
      </c>
      <c r="Y45" s="690">
        <v>0.3</v>
      </c>
      <c r="Z45" s="667">
        <f t="shared" si="32"/>
        <v>504.56999999999994</v>
      </c>
      <c r="AA45" s="659">
        <f t="shared" si="33"/>
        <v>504.56999999999994</v>
      </c>
      <c r="AB45" s="894">
        <f t="shared" si="3"/>
        <v>840.95</v>
      </c>
      <c r="AC45" s="895">
        <f t="shared" si="34"/>
        <v>840.95</v>
      </c>
      <c r="AD45" s="181"/>
      <c r="AE45" s="882">
        <f t="shared" si="4"/>
        <v>12.5</v>
      </c>
      <c r="AF45" s="882">
        <f t="shared" si="5"/>
        <v>6.5500000000000007</v>
      </c>
      <c r="AG45" s="882">
        <f t="shared" si="6"/>
        <v>9</v>
      </c>
      <c r="AH45" s="883">
        <f t="shared" si="7"/>
        <v>8</v>
      </c>
      <c r="AI45" s="317">
        <f t="shared" si="8"/>
        <v>281.05</v>
      </c>
      <c r="AJ45" s="304">
        <f t="shared" si="9"/>
        <v>134.5</v>
      </c>
      <c r="AK45" s="304">
        <f t="shared" si="10"/>
        <v>54</v>
      </c>
      <c r="AL45" s="318" t="str">
        <f t="shared" si="11"/>
        <v>VERTICAL</v>
      </c>
      <c r="AM45" s="318">
        <f t="shared" si="12"/>
        <v>5.2046296296296299</v>
      </c>
      <c r="AN45" s="319">
        <f t="shared" si="13"/>
        <v>5.5</v>
      </c>
      <c r="AO45" s="319">
        <f t="shared" si="14"/>
        <v>5.5</v>
      </c>
      <c r="AP45" s="318">
        <f t="shared" si="15"/>
        <v>22.25</v>
      </c>
      <c r="AQ45" s="320">
        <f t="shared" si="16"/>
        <v>22.25</v>
      </c>
      <c r="AR45" s="306">
        <f t="shared" si="17"/>
        <v>282</v>
      </c>
      <c r="AS45" s="308">
        <f t="shared" si="18"/>
        <v>128.5</v>
      </c>
      <c r="AT45" s="308">
        <f t="shared" si="19"/>
        <v>54</v>
      </c>
      <c r="AU45" s="308" t="str">
        <f t="shared" si="20"/>
        <v>VERTICAL</v>
      </c>
      <c r="AV45" s="308">
        <f t="shared" si="21"/>
        <v>20</v>
      </c>
      <c r="AW45" s="310">
        <f t="shared" si="22"/>
        <v>20</v>
      </c>
      <c r="AX45" s="321">
        <f t="shared" si="23"/>
        <v>11.865942028985506</v>
      </c>
      <c r="AY45" s="308">
        <f t="shared" si="37"/>
        <v>60</v>
      </c>
      <c r="AZ45" s="312">
        <f>IF(C45="","",IF(H45="STOCK",VLOOKUP(I45,'COST - SELL'!$B$26:$G$29,6,0),IF(H45="LINE-ATELIER",VLOOKUP(I45,'COST - SELL'!$J$26:$Q$29,8,0),IF(H45="LINE-VTLUX",VLOOKUP(I45,'COST - SELL'!$B$36:$I$51,8,0),0))))</f>
        <v>27.900000000000002</v>
      </c>
      <c r="BA45" s="313">
        <f t="shared" si="25"/>
        <v>620.77500000000009</v>
      </c>
      <c r="BB45" s="314">
        <f>IF(C45="","",IF(L45="N/A",0,VLOOKUP(L45,'COST - SELL'!$B$60:$I$63,8,0)))</f>
        <v>0</v>
      </c>
      <c r="BC45" s="313">
        <f t="shared" si="26"/>
        <v>0</v>
      </c>
      <c r="BD45" s="315">
        <f>IF(C45="","",IF(H45="C.O.M.",VLOOKUP(F45,'COST - SELL'!$J$11:$N$19,5,0),VLOOKUP(F45,'COST - SELL'!$B$11:$H$19,7,0)))</f>
        <v>18.900000000000002</v>
      </c>
      <c r="BE45" s="315">
        <f t="shared" si="27"/>
        <v>103.95000000000002</v>
      </c>
      <c r="BF45" s="313">
        <f t="shared" si="30"/>
        <v>724.75</v>
      </c>
      <c r="BG45" s="316">
        <f>IF(C45="","",IF(Q45="N/A",0,VLOOKUP(Q45,'COST - SELL'!$B$80:$I$91,8,0)*'FILL QUOTE-CALCULATIONS'!AX45))</f>
        <v>100.8605072463768</v>
      </c>
      <c r="BH45" s="316">
        <f>IF(C45="","",IF(S45="N/A",0,IF(AY45="N/A",0,INDEX('COST - SELL'!$O$70:$S$73,MATCH('FILL QUOTE-CALCULATIONS'!S45,'COST - SELL'!$O$70:$O$73,0),MATCH('FILL QUOTE-CALCULATIONS'!AY45,'COST - SELL'!$O$70:$S$70,0)))))</f>
        <v>15.3</v>
      </c>
      <c r="BI45" s="316">
        <f t="shared" si="28"/>
        <v>116.2</v>
      </c>
      <c r="BJ45" s="316">
        <f t="shared" si="29"/>
        <v>840.95</v>
      </c>
    </row>
    <row r="46" spans="2:62" x14ac:dyDescent="0.25">
      <c r="B46" s="231">
        <f t="shared" si="31"/>
        <v>32</v>
      </c>
      <c r="C46" s="180"/>
      <c r="D46" s="178"/>
      <c r="E46" s="179"/>
      <c r="F46" s="179"/>
      <c r="G46" s="671"/>
      <c r="H46" s="905"/>
      <c r="I46" s="905"/>
      <c r="J46" s="179" t="str">
        <f t="shared" si="36"/>
        <v/>
      </c>
      <c r="K46" s="672"/>
      <c r="L46" s="179"/>
      <c r="M46" s="672"/>
      <c r="N46" s="673"/>
      <c r="O46" s="673"/>
      <c r="P46" s="197"/>
      <c r="Q46" s="178"/>
      <c r="R46" s="176"/>
      <c r="S46" s="179"/>
      <c r="T46" s="894">
        <f t="shared" si="1"/>
        <v>0</v>
      </c>
      <c r="U46" s="668">
        <v>0.4</v>
      </c>
      <c r="V46" s="669">
        <v>0.5</v>
      </c>
      <c r="W46" s="895" t="str">
        <f t="shared" si="2"/>
        <v/>
      </c>
      <c r="X46" s="694">
        <v>0.4</v>
      </c>
      <c r="Y46" s="690">
        <v>0.3</v>
      </c>
      <c r="Z46" s="667">
        <f t="shared" si="32"/>
        <v>0</v>
      </c>
      <c r="AA46" s="659">
        <f t="shared" si="33"/>
        <v>0</v>
      </c>
      <c r="AB46" s="894">
        <f t="shared" si="3"/>
        <v>0</v>
      </c>
      <c r="AC46" s="895">
        <f t="shared" si="34"/>
        <v>0</v>
      </c>
      <c r="AD46" s="181"/>
      <c r="AE46" s="882" t="str">
        <f t="shared" si="4"/>
        <v/>
      </c>
      <c r="AF46" s="882" t="str">
        <f t="shared" si="5"/>
        <v/>
      </c>
      <c r="AG46" s="882" t="str">
        <f t="shared" si="6"/>
        <v/>
      </c>
      <c r="AH46" s="883" t="str">
        <f t="shared" si="7"/>
        <v/>
      </c>
      <c r="AI46" s="317" t="str">
        <f t="shared" si="8"/>
        <v/>
      </c>
      <c r="AJ46" s="304" t="str">
        <f t="shared" si="9"/>
        <v/>
      </c>
      <c r="AK46" s="304" t="str">
        <f t="shared" si="10"/>
        <v/>
      </c>
      <c r="AL46" s="318" t="str">
        <f t="shared" si="11"/>
        <v/>
      </c>
      <c r="AM46" s="318" t="str">
        <f t="shared" si="12"/>
        <v/>
      </c>
      <c r="AN46" s="319" t="str">
        <f t="shared" si="13"/>
        <v/>
      </c>
      <c r="AO46" s="319" t="str">
        <f t="shared" si="14"/>
        <v/>
      </c>
      <c r="AP46" s="318" t="str">
        <f t="shared" si="15"/>
        <v/>
      </c>
      <c r="AQ46" s="320" t="str">
        <f t="shared" si="16"/>
        <v/>
      </c>
      <c r="AR46" s="306" t="str">
        <f t="shared" si="17"/>
        <v/>
      </c>
      <c r="AS46" s="308" t="str">
        <f t="shared" si="18"/>
        <v/>
      </c>
      <c r="AT46" s="308" t="str">
        <f t="shared" si="19"/>
        <v/>
      </c>
      <c r="AU46" s="308" t="str">
        <f t="shared" si="20"/>
        <v/>
      </c>
      <c r="AV46" s="308" t="str">
        <f t="shared" si="21"/>
        <v/>
      </c>
      <c r="AW46" s="310" t="str">
        <f t="shared" si="22"/>
        <v/>
      </c>
      <c r="AX46" s="321" t="str">
        <f t="shared" si="23"/>
        <v/>
      </c>
      <c r="AY46" s="308" t="str">
        <f t="shared" si="37"/>
        <v/>
      </c>
      <c r="AZ46" s="312" t="str">
        <f>IF(C46="","",IF(H46="STOCK",VLOOKUP(I46,'COST - SELL'!$B$26:$G$29,6,0),IF(H46="LINE-ATELIER",VLOOKUP(I46,'COST - SELL'!$J$26:$Q$29,8,0),IF(H46="LINE-VTLUX",VLOOKUP(I46,'COST - SELL'!$B$36:$I$51,8,0),0))))</f>
        <v/>
      </c>
      <c r="BA46" s="313" t="str">
        <f t="shared" si="25"/>
        <v/>
      </c>
      <c r="BB46" s="314" t="str">
        <f>IF(C46="","",IF(L46="N/A",0,VLOOKUP(L46,'COST - SELL'!$B$60:$I$63,8,0)))</f>
        <v/>
      </c>
      <c r="BC46" s="313" t="str">
        <f t="shared" si="26"/>
        <v/>
      </c>
      <c r="BD46" s="315" t="str">
        <f>IF(C46="","",IF(H46="C.O.M.",VLOOKUP(F46,'COST - SELL'!$J$11:$N$19,5,0),VLOOKUP(F46,'COST - SELL'!$B$11:$H$19,7,0)))</f>
        <v/>
      </c>
      <c r="BE46" s="315" t="str">
        <f t="shared" si="27"/>
        <v/>
      </c>
      <c r="BF46" s="313" t="str">
        <f t="shared" si="30"/>
        <v/>
      </c>
      <c r="BG46" s="316" t="str">
        <f>IF(C46="","",IF(Q46="N/A",0,VLOOKUP(Q46,'COST - SELL'!$B$80:$I$91,8,0)*'FILL QUOTE-CALCULATIONS'!AX46))</f>
        <v/>
      </c>
      <c r="BH46" s="316" t="str">
        <f>IF(C46="","",IF(S46="N/A",0,IF(AY46="N/A",0,INDEX('COST - SELL'!$O$70:$S$73,MATCH('FILL QUOTE-CALCULATIONS'!S46,'COST - SELL'!$O$70:$O$73,0),MATCH('FILL QUOTE-CALCULATIONS'!AY46,'COST - SELL'!$O$70:$S$70,0)))))</f>
        <v/>
      </c>
      <c r="BI46" s="316" t="str">
        <f t="shared" si="28"/>
        <v/>
      </c>
      <c r="BJ46" s="316" t="str">
        <f t="shared" si="29"/>
        <v/>
      </c>
    </row>
    <row r="47" spans="2:62" x14ac:dyDescent="0.25">
      <c r="B47" s="231">
        <f t="shared" si="31"/>
        <v>33</v>
      </c>
      <c r="C47" s="180">
        <v>1</v>
      </c>
      <c r="D47" s="178" t="s">
        <v>298</v>
      </c>
      <c r="E47" s="179" t="s">
        <v>131</v>
      </c>
      <c r="F47" s="179" t="s">
        <v>136</v>
      </c>
      <c r="G47" s="671">
        <v>2</v>
      </c>
      <c r="H47" s="905" t="s">
        <v>187</v>
      </c>
      <c r="I47" s="905" t="s">
        <v>321</v>
      </c>
      <c r="J47" s="179" t="str">
        <f t="shared" si="36"/>
        <v/>
      </c>
      <c r="K47" s="672" t="s">
        <v>784</v>
      </c>
      <c r="L47" s="179" t="s">
        <v>122</v>
      </c>
      <c r="M47" s="672" t="s">
        <v>772</v>
      </c>
      <c r="N47" s="673">
        <v>103</v>
      </c>
      <c r="O47" s="673">
        <v>117.5</v>
      </c>
      <c r="P47" s="197" t="s">
        <v>287</v>
      </c>
      <c r="Q47" s="178" t="s">
        <v>736</v>
      </c>
      <c r="R47" s="176" t="s">
        <v>750</v>
      </c>
      <c r="S47" s="179" t="s">
        <v>289</v>
      </c>
      <c r="T47" s="894">
        <f t="shared" si="1"/>
        <v>594.25</v>
      </c>
      <c r="U47" s="668">
        <v>0.4</v>
      </c>
      <c r="V47" s="669">
        <v>0.5</v>
      </c>
      <c r="W47" s="895">
        <f t="shared" si="2"/>
        <v>94.65</v>
      </c>
      <c r="X47" s="694">
        <v>0.4</v>
      </c>
      <c r="Y47" s="690">
        <v>0.3</v>
      </c>
      <c r="Z47" s="667">
        <f t="shared" si="32"/>
        <v>413.34000000000003</v>
      </c>
      <c r="AA47" s="659">
        <f t="shared" si="33"/>
        <v>413.34000000000003</v>
      </c>
      <c r="AB47" s="894">
        <f t="shared" si="3"/>
        <v>688.9</v>
      </c>
      <c r="AC47" s="895">
        <f t="shared" si="34"/>
        <v>688.9</v>
      </c>
      <c r="AD47" s="181"/>
      <c r="AE47" s="882">
        <f t="shared" si="4"/>
        <v>12.5</v>
      </c>
      <c r="AF47" s="882">
        <f t="shared" si="5"/>
        <v>5.15</v>
      </c>
      <c r="AG47" s="882">
        <f t="shared" si="6"/>
        <v>9</v>
      </c>
      <c r="AH47" s="883">
        <f t="shared" si="7"/>
        <v>8</v>
      </c>
      <c r="AI47" s="317">
        <f t="shared" si="8"/>
        <v>223.65</v>
      </c>
      <c r="AJ47" s="304">
        <f t="shared" si="9"/>
        <v>134.5</v>
      </c>
      <c r="AK47" s="304">
        <f t="shared" si="10"/>
        <v>54</v>
      </c>
      <c r="AL47" s="318" t="str">
        <f t="shared" si="11"/>
        <v>VERTICAL</v>
      </c>
      <c r="AM47" s="318">
        <f t="shared" si="12"/>
        <v>4.1416666666666666</v>
      </c>
      <c r="AN47" s="319">
        <f t="shared" si="13"/>
        <v>4.5</v>
      </c>
      <c r="AO47" s="319">
        <f t="shared" si="14"/>
        <v>4.5</v>
      </c>
      <c r="AP47" s="318">
        <f t="shared" si="15"/>
        <v>18.25</v>
      </c>
      <c r="AQ47" s="320">
        <f t="shared" si="16"/>
        <v>18.25</v>
      </c>
      <c r="AR47" s="306">
        <f t="shared" si="17"/>
        <v>224</v>
      </c>
      <c r="AS47" s="308">
        <f t="shared" si="18"/>
        <v>128.5</v>
      </c>
      <c r="AT47" s="308">
        <f t="shared" si="19"/>
        <v>54</v>
      </c>
      <c r="AU47" s="308" t="str">
        <f t="shared" si="20"/>
        <v>VERTICAL</v>
      </c>
      <c r="AV47" s="308">
        <f t="shared" si="21"/>
        <v>16.2</v>
      </c>
      <c r="AW47" s="310">
        <f t="shared" si="22"/>
        <v>16.2</v>
      </c>
      <c r="AX47" s="321">
        <f t="shared" si="23"/>
        <v>9.329710144927537</v>
      </c>
      <c r="AY47" s="308">
        <f t="shared" si="37"/>
        <v>60</v>
      </c>
      <c r="AZ47" s="312">
        <f>IF(C47="","",IF(H47="STOCK",VLOOKUP(I47,'COST - SELL'!$B$26:$G$29,6,0),IF(H47="LINE-ATELIER",VLOOKUP(I47,'COST - SELL'!$J$26:$Q$29,8,0),IF(H47="LINE-VTLUX",VLOOKUP(I47,'COST - SELL'!$B$36:$I$51,8,0),0))))</f>
        <v>27.900000000000002</v>
      </c>
      <c r="BA47" s="313">
        <f t="shared" si="25"/>
        <v>509.17500000000001</v>
      </c>
      <c r="BB47" s="314">
        <f>IF(C47="","",IF(L47="N/A",0,VLOOKUP(L47,'COST - SELL'!$B$60:$I$63,8,0)))</f>
        <v>0</v>
      </c>
      <c r="BC47" s="313">
        <f t="shared" si="26"/>
        <v>0</v>
      </c>
      <c r="BD47" s="315">
        <f>IF(C47="","",IF(H47="C.O.M.",VLOOKUP(F47,'COST - SELL'!$J$11:$N$19,5,0),VLOOKUP(F47,'COST - SELL'!$B$11:$H$19,7,0)))</f>
        <v>18.900000000000002</v>
      </c>
      <c r="BE47" s="315">
        <f t="shared" si="27"/>
        <v>85.050000000000011</v>
      </c>
      <c r="BF47" s="313">
        <f t="shared" si="30"/>
        <v>594.25</v>
      </c>
      <c r="BG47" s="316">
        <f>IF(C47="","",IF(Q47="N/A",0,VLOOKUP(Q47,'COST - SELL'!$B$80:$I$91,8,0)*'FILL QUOTE-CALCULATIONS'!AX47))</f>
        <v>79.302536231884062</v>
      </c>
      <c r="BH47" s="316">
        <f>IF(C47="","",IF(S47="N/A",0,IF(AY47="N/A",0,INDEX('COST - SELL'!$O$70:$S$73,MATCH('FILL QUOTE-CALCULATIONS'!S47,'COST - SELL'!$O$70:$O$73,0),MATCH('FILL QUOTE-CALCULATIONS'!AY47,'COST - SELL'!$O$70:$S$70,0)))))</f>
        <v>15.3</v>
      </c>
      <c r="BI47" s="316">
        <f t="shared" si="28"/>
        <v>94.65</v>
      </c>
      <c r="BJ47" s="316">
        <f t="shared" si="29"/>
        <v>688.9</v>
      </c>
    </row>
    <row r="48" spans="2:62" x14ac:dyDescent="0.25">
      <c r="B48" s="231">
        <f t="shared" si="31"/>
        <v>34</v>
      </c>
      <c r="C48" s="180">
        <v>1</v>
      </c>
      <c r="D48" s="178" t="s">
        <v>298</v>
      </c>
      <c r="E48" s="179" t="s">
        <v>131</v>
      </c>
      <c r="F48" s="179" t="s">
        <v>136</v>
      </c>
      <c r="G48" s="671">
        <v>2</v>
      </c>
      <c r="H48" s="905" t="s">
        <v>187</v>
      </c>
      <c r="I48" s="905" t="s">
        <v>321</v>
      </c>
      <c r="J48" s="179" t="str">
        <f t="shared" si="36"/>
        <v/>
      </c>
      <c r="K48" s="672" t="s">
        <v>784</v>
      </c>
      <c r="L48" s="179" t="s">
        <v>122</v>
      </c>
      <c r="M48" s="672" t="s">
        <v>765</v>
      </c>
      <c r="N48" s="673">
        <v>91</v>
      </c>
      <c r="O48" s="673">
        <v>117.25</v>
      </c>
      <c r="P48" s="197" t="s">
        <v>287</v>
      </c>
      <c r="Q48" s="178" t="s">
        <v>736</v>
      </c>
      <c r="R48" s="176" t="s">
        <v>750</v>
      </c>
      <c r="S48" s="179" t="s">
        <v>289</v>
      </c>
      <c r="T48" s="894">
        <f t="shared" si="1"/>
        <v>529</v>
      </c>
      <c r="U48" s="668">
        <v>0.4</v>
      </c>
      <c r="V48" s="669">
        <v>0.5</v>
      </c>
      <c r="W48" s="895">
        <f t="shared" si="2"/>
        <v>85.4</v>
      </c>
      <c r="X48" s="694">
        <v>0.4</v>
      </c>
      <c r="Y48" s="690">
        <v>0.3</v>
      </c>
      <c r="Z48" s="667">
        <f t="shared" si="32"/>
        <v>368.64</v>
      </c>
      <c r="AA48" s="659">
        <f t="shared" si="33"/>
        <v>368.64</v>
      </c>
      <c r="AB48" s="894">
        <f t="shared" si="3"/>
        <v>614.4</v>
      </c>
      <c r="AC48" s="895">
        <f t="shared" si="34"/>
        <v>614.4</v>
      </c>
      <c r="AD48" s="181"/>
      <c r="AE48" s="882">
        <f t="shared" si="4"/>
        <v>12.5</v>
      </c>
      <c r="AF48" s="882">
        <f t="shared" si="5"/>
        <v>4.55</v>
      </c>
      <c r="AG48" s="882">
        <f t="shared" si="6"/>
        <v>9</v>
      </c>
      <c r="AH48" s="883">
        <f t="shared" si="7"/>
        <v>8</v>
      </c>
      <c r="AI48" s="317">
        <f t="shared" si="8"/>
        <v>199.05</v>
      </c>
      <c r="AJ48" s="304">
        <f t="shared" si="9"/>
        <v>134.25</v>
      </c>
      <c r="AK48" s="304">
        <f t="shared" si="10"/>
        <v>54</v>
      </c>
      <c r="AL48" s="318" t="str">
        <f t="shared" si="11"/>
        <v>VERTICAL</v>
      </c>
      <c r="AM48" s="318">
        <f t="shared" si="12"/>
        <v>3.6861111111111113</v>
      </c>
      <c r="AN48" s="319">
        <f t="shared" si="13"/>
        <v>4</v>
      </c>
      <c r="AO48" s="319">
        <f t="shared" si="14"/>
        <v>4</v>
      </c>
      <c r="AP48" s="318">
        <f t="shared" si="15"/>
        <v>16.25</v>
      </c>
      <c r="AQ48" s="320">
        <f t="shared" si="16"/>
        <v>16.25</v>
      </c>
      <c r="AR48" s="306">
        <f t="shared" si="17"/>
        <v>200</v>
      </c>
      <c r="AS48" s="308">
        <f t="shared" si="18"/>
        <v>128.25</v>
      </c>
      <c r="AT48" s="308">
        <f t="shared" si="19"/>
        <v>54</v>
      </c>
      <c r="AU48" s="308" t="str">
        <f t="shared" si="20"/>
        <v>VERTICAL</v>
      </c>
      <c r="AV48" s="308">
        <f t="shared" si="21"/>
        <v>14.3</v>
      </c>
      <c r="AW48" s="310">
        <f t="shared" si="22"/>
        <v>14.3</v>
      </c>
      <c r="AX48" s="321">
        <f t="shared" si="23"/>
        <v>8.2427536231884044</v>
      </c>
      <c r="AY48" s="308">
        <f t="shared" si="37"/>
        <v>60</v>
      </c>
      <c r="AZ48" s="312">
        <f>IF(C48="","",IF(H48="STOCK",VLOOKUP(I48,'COST - SELL'!$B$26:$G$29,6,0),IF(H48="LINE-ATELIER",VLOOKUP(I48,'COST - SELL'!$J$26:$Q$29,8,0),IF(H48="LINE-VTLUX",VLOOKUP(I48,'COST - SELL'!$B$36:$I$51,8,0),0))))</f>
        <v>27.900000000000002</v>
      </c>
      <c r="BA48" s="313">
        <f t="shared" si="25"/>
        <v>453.37500000000006</v>
      </c>
      <c r="BB48" s="314">
        <f>IF(C48="","",IF(L48="N/A",0,VLOOKUP(L48,'COST - SELL'!$B$60:$I$63,8,0)))</f>
        <v>0</v>
      </c>
      <c r="BC48" s="313">
        <f t="shared" si="26"/>
        <v>0</v>
      </c>
      <c r="BD48" s="315">
        <f>IF(C48="","",IF(H48="C.O.M.",VLOOKUP(F48,'COST - SELL'!$J$11:$N$19,5,0),VLOOKUP(F48,'COST - SELL'!$B$11:$H$19,7,0)))</f>
        <v>18.900000000000002</v>
      </c>
      <c r="BE48" s="315">
        <f t="shared" si="27"/>
        <v>75.600000000000009</v>
      </c>
      <c r="BF48" s="313">
        <f t="shared" si="30"/>
        <v>529</v>
      </c>
      <c r="BG48" s="316">
        <f>IF(C48="","",IF(Q48="N/A",0,VLOOKUP(Q48,'COST - SELL'!$B$80:$I$91,8,0)*'FILL QUOTE-CALCULATIONS'!AX48))</f>
        <v>70.063405797101439</v>
      </c>
      <c r="BH48" s="316">
        <f>IF(C48="","",IF(S48="N/A",0,IF(AY48="N/A",0,INDEX('COST - SELL'!$O$70:$S$73,MATCH('FILL QUOTE-CALCULATIONS'!S48,'COST - SELL'!$O$70:$O$73,0),MATCH('FILL QUOTE-CALCULATIONS'!AY48,'COST - SELL'!$O$70:$S$70,0)))))</f>
        <v>15.3</v>
      </c>
      <c r="BI48" s="316">
        <f t="shared" si="28"/>
        <v>85.4</v>
      </c>
      <c r="BJ48" s="316">
        <f t="shared" si="29"/>
        <v>614.4</v>
      </c>
    </row>
    <row r="49" spans="2:62" x14ac:dyDescent="0.25">
      <c r="B49" s="231">
        <f t="shared" si="31"/>
        <v>35</v>
      </c>
      <c r="C49" s="180">
        <v>1</v>
      </c>
      <c r="D49" s="178" t="s">
        <v>298</v>
      </c>
      <c r="E49" s="179" t="s">
        <v>131</v>
      </c>
      <c r="F49" s="179" t="s">
        <v>136</v>
      </c>
      <c r="G49" s="671">
        <v>2</v>
      </c>
      <c r="H49" s="905" t="s">
        <v>187</v>
      </c>
      <c r="I49" s="905" t="s">
        <v>321</v>
      </c>
      <c r="J49" s="179" t="str">
        <f t="shared" si="36"/>
        <v/>
      </c>
      <c r="K49" s="672" t="s">
        <v>784</v>
      </c>
      <c r="L49" s="179" t="s">
        <v>122</v>
      </c>
      <c r="M49" s="672" t="s">
        <v>766</v>
      </c>
      <c r="N49" s="673">
        <v>131</v>
      </c>
      <c r="O49" s="673">
        <v>116.875</v>
      </c>
      <c r="P49" s="197" t="s">
        <v>287</v>
      </c>
      <c r="Q49" s="178" t="s">
        <v>736</v>
      </c>
      <c r="R49" s="176" t="s">
        <v>750</v>
      </c>
      <c r="S49" s="179" t="s">
        <v>289</v>
      </c>
      <c r="T49" s="894">
        <f t="shared" si="1"/>
        <v>717.75</v>
      </c>
      <c r="U49" s="668">
        <v>0.4</v>
      </c>
      <c r="V49" s="669">
        <v>0.5</v>
      </c>
      <c r="W49" s="895">
        <f t="shared" si="2"/>
        <v>116.2</v>
      </c>
      <c r="X49" s="694">
        <v>0.4</v>
      </c>
      <c r="Y49" s="690">
        <v>0.3</v>
      </c>
      <c r="Z49" s="667">
        <f t="shared" si="32"/>
        <v>500.37</v>
      </c>
      <c r="AA49" s="659">
        <f t="shared" si="33"/>
        <v>500.37</v>
      </c>
      <c r="AB49" s="894">
        <f t="shared" si="3"/>
        <v>833.95</v>
      </c>
      <c r="AC49" s="895">
        <f t="shared" si="34"/>
        <v>833.95</v>
      </c>
      <c r="AD49" s="181"/>
      <c r="AE49" s="882">
        <f t="shared" si="4"/>
        <v>12.5</v>
      </c>
      <c r="AF49" s="882">
        <f t="shared" si="5"/>
        <v>6.5500000000000007</v>
      </c>
      <c r="AG49" s="882">
        <f t="shared" si="6"/>
        <v>9</v>
      </c>
      <c r="AH49" s="883">
        <f t="shared" si="7"/>
        <v>8</v>
      </c>
      <c r="AI49" s="317">
        <f t="shared" si="8"/>
        <v>281.05</v>
      </c>
      <c r="AJ49" s="304">
        <f t="shared" si="9"/>
        <v>133.875</v>
      </c>
      <c r="AK49" s="304">
        <f t="shared" si="10"/>
        <v>54</v>
      </c>
      <c r="AL49" s="318" t="str">
        <f t="shared" si="11"/>
        <v>VERTICAL</v>
      </c>
      <c r="AM49" s="318">
        <f t="shared" si="12"/>
        <v>5.2046296296296299</v>
      </c>
      <c r="AN49" s="319">
        <f t="shared" si="13"/>
        <v>5.5</v>
      </c>
      <c r="AO49" s="319">
        <f t="shared" si="14"/>
        <v>5.5</v>
      </c>
      <c r="AP49" s="318">
        <f t="shared" si="15"/>
        <v>22</v>
      </c>
      <c r="AQ49" s="320">
        <f t="shared" si="16"/>
        <v>22</v>
      </c>
      <c r="AR49" s="306">
        <f t="shared" si="17"/>
        <v>282</v>
      </c>
      <c r="AS49" s="308">
        <f t="shared" si="18"/>
        <v>127.875</v>
      </c>
      <c r="AT49" s="308">
        <f t="shared" si="19"/>
        <v>54</v>
      </c>
      <c r="AU49" s="308" t="str">
        <f t="shared" si="20"/>
        <v>VERTICAL</v>
      </c>
      <c r="AV49" s="308">
        <f t="shared" si="21"/>
        <v>19.900000000000002</v>
      </c>
      <c r="AW49" s="310">
        <f t="shared" si="22"/>
        <v>19.900000000000002</v>
      </c>
      <c r="AX49" s="321">
        <f t="shared" si="23"/>
        <v>11.865942028985506</v>
      </c>
      <c r="AY49" s="308">
        <f t="shared" si="37"/>
        <v>60</v>
      </c>
      <c r="AZ49" s="312">
        <f>IF(C49="","",IF(H49="STOCK",VLOOKUP(I49,'COST - SELL'!$B$26:$G$29,6,0),IF(H49="LINE-ATELIER",VLOOKUP(I49,'COST - SELL'!$J$26:$Q$29,8,0),IF(H49="LINE-VTLUX",VLOOKUP(I49,'COST - SELL'!$B$36:$I$51,8,0),0))))</f>
        <v>27.900000000000002</v>
      </c>
      <c r="BA49" s="313">
        <f t="shared" si="25"/>
        <v>613.80000000000007</v>
      </c>
      <c r="BB49" s="314">
        <f>IF(C49="","",IF(L49="N/A",0,VLOOKUP(L49,'COST - SELL'!$B$60:$I$63,8,0)))</f>
        <v>0</v>
      </c>
      <c r="BC49" s="313">
        <f t="shared" si="26"/>
        <v>0</v>
      </c>
      <c r="BD49" s="315">
        <f>IF(C49="","",IF(H49="C.O.M.",VLOOKUP(F49,'COST - SELL'!$J$11:$N$19,5,0),VLOOKUP(F49,'COST - SELL'!$B$11:$H$19,7,0)))</f>
        <v>18.900000000000002</v>
      </c>
      <c r="BE49" s="315">
        <f t="shared" si="27"/>
        <v>103.95000000000002</v>
      </c>
      <c r="BF49" s="313">
        <f t="shared" si="30"/>
        <v>717.75</v>
      </c>
      <c r="BG49" s="316">
        <f>IF(C49="","",IF(Q49="N/A",0,VLOOKUP(Q49,'COST - SELL'!$B$80:$I$91,8,0)*'FILL QUOTE-CALCULATIONS'!AX49))</f>
        <v>100.8605072463768</v>
      </c>
      <c r="BH49" s="316">
        <f>IF(C49="","",IF(S49="N/A",0,IF(AY49="N/A",0,INDEX('COST - SELL'!$O$70:$S$73,MATCH('FILL QUOTE-CALCULATIONS'!S49,'COST - SELL'!$O$70:$O$73,0),MATCH('FILL QUOTE-CALCULATIONS'!AY49,'COST - SELL'!$O$70:$S$70,0)))))</f>
        <v>15.3</v>
      </c>
      <c r="BI49" s="316">
        <f t="shared" si="28"/>
        <v>116.2</v>
      </c>
      <c r="BJ49" s="316">
        <f t="shared" si="29"/>
        <v>833.95</v>
      </c>
    </row>
    <row r="50" spans="2:62" x14ac:dyDescent="0.25">
      <c r="B50" s="231">
        <f t="shared" si="31"/>
        <v>36</v>
      </c>
      <c r="C50" s="180"/>
      <c r="D50" s="178"/>
      <c r="E50" s="179"/>
      <c r="F50" s="179"/>
      <c r="G50" s="671"/>
      <c r="H50" s="905"/>
      <c r="I50" s="905"/>
      <c r="J50" s="179" t="str">
        <f t="shared" si="36"/>
        <v/>
      </c>
      <c r="K50" s="672"/>
      <c r="L50" s="179"/>
      <c r="M50" s="672"/>
      <c r="N50" s="673"/>
      <c r="O50" s="673"/>
      <c r="P50" s="197"/>
      <c r="Q50" s="178"/>
      <c r="R50" s="176"/>
      <c r="S50" s="179"/>
      <c r="T50" s="894">
        <f t="shared" si="1"/>
        <v>0</v>
      </c>
      <c r="U50" s="668">
        <v>0.4</v>
      </c>
      <c r="V50" s="669">
        <v>0.5</v>
      </c>
      <c r="W50" s="895" t="str">
        <f t="shared" si="2"/>
        <v/>
      </c>
      <c r="X50" s="694">
        <v>0.4</v>
      </c>
      <c r="Y50" s="690">
        <v>0.3</v>
      </c>
      <c r="Z50" s="667">
        <f t="shared" si="32"/>
        <v>0</v>
      </c>
      <c r="AA50" s="659">
        <f t="shared" si="33"/>
        <v>0</v>
      </c>
      <c r="AB50" s="894">
        <f t="shared" si="3"/>
        <v>0</v>
      </c>
      <c r="AC50" s="895">
        <f t="shared" si="34"/>
        <v>0</v>
      </c>
      <c r="AD50" s="181"/>
      <c r="AE50" s="882" t="str">
        <f t="shared" si="4"/>
        <v/>
      </c>
      <c r="AF50" s="882" t="str">
        <f t="shared" si="5"/>
        <v/>
      </c>
      <c r="AG50" s="882" t="str">
        <f t="shared" si="6"/>
        <v/>
      </c>
      <c r="AH50" s="883" t="str">
        <f t="shared" si="7"/>
        <v/>
      </c>
      <c r="AI50" s="317" t="str">
        <f t="shared" si="8"/>
        <v/>
      </c>
      <c r="AJ50" s="304" t="str">
        <f t="shared" si="9"/>
        <v/>
      </c>
      <c r="AK50" s="304" t="str">
        <f t="shared" si="10"/>
        <v/>
      </c>
      <c r="AL50" s="318" t="str">
        <f t="shared" si="11"/>
        <v/>
      </c>
      <c r="AM50" s="318" t="str">
        <f t="shared" si="12"/>
        <v/>
      </c>
      <c r="AN50" s="319" t="str">
        <f t="shared" si="13"/>
        <v/>
      </c>
      <c r="AO50" s="319" t="str">
        <f t="shared" si="14"/>
        <v/>
      </c>
      <c r="AP50" s="318" t="str">
        <f t="shared" si="15"/>
        <v/>
      </c>
      <c r="AQ50" s="320" t="str">
        <f t="shared" si="16"/>
        <v/>
      </c>
      <c r="AR50" s="306" t="str">
        <f t="shared" si="17"/>
        <v/>
      </c>
      <c r="AS50" s="308" t="str">
        <f t="shared" si="18"/>
        <v/>
      </c>
      <c r="AT50" s="308" t="str">
        <f t="shared" si="19"/>
        <v/>
      </c>
      <c r="AU50" s="308" t="str">
        <f t="shared" si="20"/>
        <v/>
      </c>
      <c r="AV50" s="308" t="str">
        <f t="shared" si="21"/>
        <v/>
      </c>
      <c r="AW50" s="310" t="str">
        <f t="shared" si="22"/>
        <v/>
      </c>
      <c r="AX50" s="321" t="str">
        <f t="shared" si="23"/>
        <v/>
      </c>
      <c r="AY50" s="308" t="str">
        <f t="shared" si="37"/>
        <v/>
      </c>
      <c r="AZ50" s="312" t="str">
        <f>IF(C50="","",IF(H50="STOCK",VLOOKUP(I50,'COST - SELL'!$B$26:$G$29,6,0),IF(H50="LINE-ATELIER",VLOOKUP(I50,'COST - SELL'!$J$26:$Q$29,8,0),IF(H50="LINE-VTLUX",VLOOKUP(I50,'COST - SELL'!$B$36:$I$51,8,0),0))))</f>
        <v/>
      </c>
      <c r="BA50" s="313" t="str">
        <f t="shared" si="25"/>
        <v/>
      </c>
      <c r="BB50" s="314" t="str">
        <f>IF(C50="","",IF(L50="N/A",0,VLOOKUP(L50,'COST - SELL'!$B$60:$I$63,8,0)))</f>
        <v/>
      </c>
      <c r="BC50" s="313" t="str">
        <f t="shared" si="26"/>
        <v/>
      </c>
      <c r="BD50" s="315" t="str">
        <f>IF(C50="","",IF(H50="C.O.M.",VLOOKUP(F50,'COST - SELL'!$J$11:$N$19,5,0),VLOOKUP(F50,'COST - SELL'!$B$11:$H$19,7,0)))</f>
        <v/>
      </c>
      <c r="BE50" s="315" t="str">
        <f t="shared" si="27"/>
        <v/>
      </c>
      <c r="BF50" s="313" t="str">
        <f t="shared" si="30"/>
        <v/>
      </c>
      <c r="BG50" s="316" t="str">
        <f>IF(C50="","",IF(Q50="N/A",0,VLOOKUP(Q50,'COST - SELL'!$B$80:$I$91,8,0)*'FILL QUOTE-CALCULATIONS'!AX50))</f>
        <v/>
      </c>
      <c r="BH50" s="316" t="str">
        <f>IF(C50="","",IF(S50="N/A",0,IF(AY50="N/A",0,INDEX('COST - SELL'!$O$70:$S$73,MATCH('FILL QUOTE-CALCULATIONS'!S50,'COST - SELL'!$O$70:$O$73,0),MATCH('FILL QUOTE-CALCULATIONS'!AY50,'COST - SELL'!$O$70:$S$70,0)))))</f>
        <v/>
      </c>
      <c r="BI50" s="316" t="str">
        <f t="shared" si="28"/>
        <v/>
      </c>
      <c r="BJ50" s="316" t="str">
        <f t="shared" si="29"/>
        <v/>
      </c>
    </row>
    <row r="51" spans="2:62" x14ac:dyDescent="0.25">
      <c r="B51" s="231">
        <f t="shared" si="31"/>
        <v>37</v>
      </c>
      <c r="C51" s="180">
        <v>1</v>
      </c>
      <c r="D51" s="178" t="s">
        <v>298</v>
      </c>
      <c r="E51" s="179" t="s">
        <v>131</v>
      </c>
      <c r="F51" s="179" t="s">
        <v>136</v>
      </c>
      <c r="G51" s="671">
        <v>2</v>
      </c>
      <c r="H51" s="179" t="s">
        <v>187</v>
      </c>
      <c r="I51" s="905" t="s">
        <v>321</v>
      </c>
      <c r="J51" s="179" t="str">
        <f t="shared" si="36"/>
        <v/>
      </c>
      <c r="K51" s="672" t="s">
        <v>784</v>
      </c>
      <c r="L51" s="179" t="s">
        <v>122</v>
      </c>
      <c r="M51" s="672" t="s">
        <v>773</v>
      </c>
      <c r="N51" s="673">
        <v>136</v>
      </c>
      <c r="O51" s="673">
        <v>115.5</v>
      </c>
      <c r="P51" s="197" t="s">
        <v>287</v>
      </c>
      <c r="Q51" s="178" t="s">
        <v>736</v>
      </c>
      <c r="R51" s="176" t="s">
        <v>750</v>
      </c>
      <c r="S51" s="179" t="s">
        <v>289</v>
      </c>
      <c r="T51" s="894">
        <f t="shared" si="1"/>
        <v>717.75</v>
      </c>
      <c r="U51" s="668">
        <v>0.4</v>
      </c>
      <c r="V51" s="669">
        <v>0.5</v>
      </c>
      <c r="W51" s="895">
        <f t="shared" si="2"/>
        <v>120.05000000000001</v>
      </c>
      <c r="X51" s="694">
        <v>0.4</v>
      </c>
      <c r="Y51" s="690">
        <v>0.3</v>
      </c>
      <c r="Z51" s="667">
        <f t="shared" si="32"/>
        <v>502.67999999999995</v>
      </c>
      <c r="AA51" s="659">
        <f t="shared" si="33"/>
        <v>502.67999999999995</v>
      </c>
      <c r="AB51" s="894">
        <f t="shared" si="3"/>
        <v>837.8</v>
      </c>
      <c r="AC51" s="895">
        <f t="shared" si="34"/>
        <v>837.8</v>
      </c>
      <c r="AD51" s="181"/>
      <c r="AE51" s="882">
        <f t="shared" si="4"/>
        <v>12.5</v>
      </c>
      <c r="AF51" s="882">
        <f t="shared" si="5"/>
        <v>6.8000000000000007</v>
      </c>
      <c r="AG51" s="882">
        <f t="shared" si="6"/>
        <v>9</v>
      </c>
      <c r="AH51" s="883">
        <f t="shared" si="7"/>
        <v>8</v>
      </c>
      <c r="AI51" s="317">
        <f t="shared" si="8"/>
        <v>291.3</v>
      </c>
      <c r="AJ51" s="304">
        <f t="shared" si="9"/>
        <v>132.5</v>
      </c>
      <c r="AK51" s="304">
        <f t="shared" si="10"/>
        <v>54</v>
      </c>
      <c r="AL51" s="318" t="str">
        <f t="shared" si="11"/>
        <v>VERTICAL</v>
      </c>
      <c r="AM51" s="318">
        <f t="shared" si="12"/>
        <v>5.3944444444444448</v>
      </c>
      <c r="AN51" s="319">
        <f t="shared" si="13"/>
        <v>5.5</v>
      </c>
      <c r="AO51" s="319">
        <f t="shared" si="14"/>
        <v>5.5</v>
      </c>
      <c r="AP51" s="318">
        <f t="shared" si="15"/>
        <v>22</v>
      </c>
      <c r="AQ51" s="320">
        <f t="shared" si="16"/>
        <v>22</v>
      </c>
      <c r="AR51" s="306">
        <f t="shared" si="17"/>
        <v>292</v>
      </c>
      <c r="AS51" s="308">
        <f t="shared" si="18"/>
        <v>126.5</v>
      </c>
      <c r="AT51" s="308">
        <f t="shared" si="19"/>
        <v>54</v>
      </c>
      <c r="AU51" s="308" t="str">
        <f t="shared" si="20"/>
        <v>VERTICAL</v>
      </c>
      <c r="AV51" s="308">
        <f t="shared" si="21"/>
        <v>20.6</v>
      </c>
      <c r="AW51" s="310">
        <f t="shared" si="22"/>
        <v>20.6</v>
      </c>
      <c r="AX51" s="321">
        <f t="shared" si="23"/>
        <v>12.318840579710145</v>
      </c>
      <c r="AY51" s="308">
        <f t="shared" si="37"/>
        <v>60</v>
      </c>
      <c r="AZ51" s="312">
        <f>IF(C51="","",IF(H51="STOCK",VLOOKUP(I51,'COST - SELL'!$B$26:$G$29,6,0),IF(H51="LINE-ATELIER",VLOOKUP(I51,'COST - SELL'!$J$26:$Q$29,8,0),IF(H51="LINE-VTLUX",VLOOKUP(I51,'COST - SELL'!$B$36:$I$51,8,0),0))))</f>
        <v>27.900000000000002</v>
      </c>
      <c r="BA51" s="313">
        <f t="shared" si="25"/>
        <v>613.80000000000007</v>
      </c>
      <c r="BB51" s="314">
        <f>IF(C51="","",IF(L51="N/A",0,VLOOKUP(L51,'COST - SELL'!$B$60:$I$63,8,0)))</f>
        <v>0</v>
      </c>
      <c r="BC51" s="313">
        <f t="shared" si="26"/>
        <v>0</v>
      </c>
      <c r="BD51" s="315">
        <f>IF(C51="","",IF(H51="C.O.M.",VLOOKUP(F51,'COST - SELL'!$J$11:$N$19,5,0),VLOOKUP(F51,'COST - SELL'!$B$11:$H$19,7,0)))</f>
        <v>18.900000000000002</v>
      </c>
      <c r="BE51" s="315">
        <f t="shared" si="27"/>
        <v>103.95000000000002</v>
      </c>
      <c r="BF51" s="313">
        <f t="shared" si="30"/>
        <v>717.75</v>
      </c>
      <c r="BG51" s="316">
        <f>IF(C51="","",IF(Q51="N/A",0,VLOOKUP(Q51,'COST - SELL'!$B$80:$I$91,8,0)*'FILL QUOTE-CALCULATIONS'!AX51))</f>
        <v>104.71014492753623</v>
      </c>
      <c r="BH51" s="316">
        <f>IF(C51="","",IF(S51="N/A",0,IF(AY51="N/A",0,INDEX('COST - SELL'!$O$70:$S$73,MATCH('FILL QUOTE-CALCULATIONS'!S51,'COST - SELL'!$O$70:$O$73,0),MATCH('FILL QUOTE-CALCULATIONS'!AY51,'COST - SELL'!$O$70:$S$70,0)))))</f>
        <v>15.3</v>
      </c>
      <c r="BI51" s="316">
        <f t="shared" si="28"/>
        <v>120.05000000000001</v>
      </c>
      <c r="BJ51" s="316">
        <f t="shared" si="29"/>
        <v>837.8</v>
      </c>
    </row>
    <row r="52" spans="2:62" x14ac:dyDescent="0.25">
      <c r="B52" s="231">
        <f t="shared" si="31"/>
        <v>38</v>
      </c>
      <c r="C52" s="180"/>
      <c r="D52" s="178"/>
      <c r="E52" s="179"/>
      <c r="F52" s="179"/>
      <c r="G52" s="671"/>
      <c r="H52" s="179"/>
      <c r="I52" s="905"/>
      <c r="J52" s="179" t="str">
        <f t="shared" si="36"/>
        <v/>
      </c>
      <c r="K52" s="672"/>
      <c r="L52" s="179"/>
      <c r="M52" s="672"/>
      <c r="N52" s="673"/>
      <c r="O52" s="673"/>
      <c r="P52" s="197"/>
      <c r="Q52" s="178"/>
      <c r="R52" s="176"/>
      <c r="S52" s="179"/>
      <c r="T52" s="894">
        <f t="shared" si="1"/>
        <v>0</v>
      </c>
      <c r="U52" s="668">
        <v>0.4</v>
      </c>
      <c r="V52" s="669">
        <v>0.5</v>
      </c>
      <c r="W52" s="895" t="str">
        <f t="shared" si="2"/>
        <v/>
      </c>
      <c r="X52" s="694">
        <v>0.4</v>
      </c>
      <c r="Y52" s="690">
        <v>0.3</v>
      </c>
      <c r="Z52" s="667">
        <f t="shared" si="32"/>
        <v>0</v>
      </c>
      <c r="AA52" s="659">
        <f t="shared" si="33"/>
        <v>0</v>
      </c>
      <c r="AB52" s="894">
        <f t="shared" si="3"/>
        <v>0</v>
      </c>
      <c r="AC52" s="895">
        <f t="shared" si="34"/>
        <v>0</v>
      </c>
      <c r="AD52" s="181"/>
      <c r="AE52" s="882" t="str">
        <f t="shared" si="4"/>
        <v/>
      </c>
      <c r="AF52" s="882" t="str">
        <f t="shared" si="5"/>
        <v/>
      </c>
      <c r="AG52" s="882" t="str">
        <f t="shared" si="6"/>
        <v/>
      </c>
      <c r="AH52" s="883" t="str">
        <f t="shared" si="7"/>
        <v/>
      </c>
      <c r="AI52" s="317" t="str">
        <f t="shared" si="8"/>
        <v/>
      </c>
      <c r="AJ52" s="304" t="str">
        <f t="shared" si="9"/>
        <v/>
      </c>
      <c r="AK52" s="304" t="str">
        <f t="shared" si="10"/>
        <v/>
      </c>
      <c r="AL52" s="318" t="str">
        <f t="shared" si="11"/>
        <v/>
      </c>
      <c r="AM52" s="318" t="str">
        <f t="shared" si="12"/>
        <v/>
      </c>
      <c r="AN52" s="319" t="str">
        <f t="shared" si="13"/>
        <v/>
      </c>
      <c r="AO52" s="319" t="str">
        <f t="shared" si="14"/>
        <v/>
      </c>
      <c r="AP52" s="318" t="str">
        <f t="shared" si="15"/>
        <v/>
      </c>
      <c r="AQ52" s="320" t="str">
        <f t="shared" si="16"/>
        <v/>
      </c>
      <c r="AR52" s="306" t="str">
        <f t="shared" si="17"/>
        <v/>
      </c>
      <c r="AS52" s="308" t="str">
        <f t="shared" si="18"/>
        <v/>
      </c>
      <c r="AT52" s="308" t="str">
        <f t="shared" si="19"/>
        <v/>
      </c>
      <c r="AU52" s="308" t="str">
        <f t="shared" si="20"/>
        <v/>
      </c>
      <c r="AV52" s="308" t="str">
        <f t="shared" si="21"/>
        <v/>
      </c>
      <c r="AW52" s="310" t="str">
        <f t="shared" si="22"/>
        <v/>
      </c>
      <c r="AX52" s="321" t="str">
        <f t="shared" si="23"/>
        <v/>
      </c>
      <c r="AY52" s="308" t="str">
        <f t="shared" si="37"/>
        <v/>
      </c>
      <c r="AZ52" s="312" t="str">
        <f>IF(C52="","",IF(H52="STOCK",VLOOKUP(I52,'COST - SELL'!$B$26:$G$29,6,0),IF(H52="LINE-ATELIER",VLOOKUP(I52,'COST - SELL'!$J$26:$Q$29,8,0),IF(H52="LINE-VTLUX",VLOOKUP(I52,'COST - SELL'!$B$36:$I$51,8,0),0))))</f>
        <v/>
      </c>
      <c r="BA52" s="313" t="str">
        <f t="shared" si="25"/>
        <v/>
      </c>
      <c r="BB52" s="314" t="str">
        <f>IF(C52="","",IF(L52="N/A",0,VLOOKUP(L52,'COST - SELL'!$B$60:$I$63,8,0)))</f>
        <v/>
      </c>
      <c r="BC52" s="313" t="str">
        <f t="shared" si="26"/>
        <v/>
      </c>
      <c r="BD52" s="315" t="str">
        <f>IF(C52="","",IF(H52="C.O.M.",VLOOKUP(F52,'COST - SELL'!$J$11:$N$19,5,0),VLOOKUP(F52,'COST - SELL'!$B$11:$H$19,7,0)))</f>
        <v/>
      </c>
      <c r="BE52" s="315" t="str">
        <f t="shared" si="27"/>
        <v/>
      </c>
      <c r="BF52" s="313" t="str">
        <f t="shared" si="30"/>
        <v/>
      </c>
      <c r="BG52" s="316" t="str">
        <f>IF(C52="","",IF(Q52="N/A",0,VLOOKUP(Q52,'COST - SELL'!$B$80:$I$91,8,0)*'FILL QUOTE-CALCULATIONS'!AX52))</f>
        <v/>
      </c>
      <c r="BH52" s="316" t="str">
        <f>IF(C52="","",IF(S52="N/A",0,IF(AY52="N/A",0,INDEX('COST - SELL'!$O$70:$S$73,MATCH('FILL QUOTE-CALCULATIONS'!S52,'COST - SELL'!$O$70:$O$73,0),MATCH('FILL QUOTE-CALCULATIONS'!AY52,'COST - SELL'!$O$70:$S$70,0)))))</f>
        <v/>
      </c>
      <c r="BI52" s="316" t="str">
        <f t="shared" si="28"/>
        <v/>
      </c>
      <c r="BJ52" s="316" t="str">
        <f t="shared" si="29"/>
        <v/>
      </c>
    </row>
    <row r="53" spans="2:62" x14ac:dyDescent="0.25">
      <c r="B53" s="231">
        <f t="shared" si="31"/>
        <v>39</v>
      </c>
      <c r="C53" s="180">
        <v>1</v>
      </c>
      <c r="D53" s="178" t="s">
        <v>298</v>
      </c>
      <c r="E53" s="179" t="s">
        <v>131</v>
      </c>
      <c r="F53" s="179" t="s">
        <v>136</v>
      </c>
      <c r="G53" s="671">
        <v>2</v>
      </c>
      <c r="H53" s="179" t="s">
        <v>187</v>
      </c>
      <c r="I53" s="905" t="s">
        <v>321</v>
      </c>
      <c r="J53" s="179" t="str">
        <f t="shared" si="36"/>
        <v/>
      </c>
      <c r="K53" s="672" t="s">
        <v>784</v>
      </c>
      <c r="L53" s="179" t="s">
        <v>122</v>
      </c>
      <c r="M53" s="672" t="s">
        <v>774</v>
      </c>
      <c r="N53" s="673">
        <v>105</v>
      </c>
      <c r="O53" s="673">
        <v>116.25</v>
      </c>
      <c r="P53" s="197" t="s">
        <v>287</v>
      </c>
      <c r="Q53" s="178" t="s">
        <v>736</v>
      </c>
      <c r="R53" s="176" t="s">
        <v>750</v>
      </c>
      <c r="S53" s="179" t="s">
        <v>289</v>
      </c>
      <c r="T53" s="894">
        <f t="shared" si="1"/>
        <v>587.25</v>
      </c>
      <c r="U53" s="668">
        <v>0.4</v>
      </c>
      <c r="V53" s="669">
        <v>0.5</v>
      </c>
      <c r="W53" s="895">
        <f t="shared" si="2"/>
        <v>96.15</v>
      </c>
      <c r="X53" s="694">
        <v>0.4</v>
      </c>
      <c r="Y53" s="690">
        <v>0.3</v>
      </c>
      <c r="Z53" s="667">
        <f t="shared" si="32"/>
        <v>410.03999999999996</v>
      </c>
      <c r="AA53" s="659">
        <f t="shared" si="33"/>
        <v>410.03999999999996</v>
      </c>
      <c r="AB53" s="894">
        <f t="shared" si="3"/>
        <v>683.4</v>
      </c>
      <c r="AC53" s="895">
        <f t="shared" si="34"/>
        <v>683.4</v>
      </c>
      <c r="AD53" s="181"/>
      <c r="AE53" s="882">
        <f t="shared" si="4"/>
        <v>12.5</v>
      </c>
      <c r="AF53" s="882">
        <f t="shared" si="5"/>
        <v>5.25</v>
      </c>
      <c r="AG53" s="882">
        <f t="shared" si="6"/>
        <v>9</v>
      </c>
      <c r="AH53" s="883">
        <f t="shared" si="7"/>
        <v>8</v>
      </c>
      <c r="AI53" s="317">
        <f t="shared" si="8"/>
        <v>227.75</v>
      </c>
      <c r="AJ53" s="304">
        <f t="shared" si="9"/>
        <v>133.25</v>
      </c>
      <c r="AK53" s="304">
        <f t="shared" si="10"/>
        <v>54</v>
      </c>
      <c r="AL53" s="318" t="str">
        <f t="shared" si="11"/>
        <v>VERTICAL</v>
      </c>
      <c r="AM53" s="318">
        <f t="shared" si="12"/>
        <v>4.2175925925925926</v>
      </c>
      <c r="AN53" s="319">
        <f t="shared" si="13"/>
        <v>4.5</v>
      </c>
      <c r="AO53" s="319">
        <f t="shared" si="14"/>
        <v>4.5</v>
      </c>
      <c r="AP53" s="318">
        <f t="shared" si="15"/>
        <v>18</v>
      </c>
      <c r="AQ53" s="320">
        <f t="shared" si="16"/>
        <v>18</v>
      </c>
      <c r="AR53" s="306">
        <f t="shared" si="17"/>
        <v>228</v>
      </c>
      <c r="AS53" s="308">
        <f t="shared" si="18"/>
        <v>127.25</v>
      </c>
      <c r="AT53" s="308">
        <f t="shared" si="19"/>
        <v>54</v>
      </c>
      <c r="AU53" s="308" t="str">
        <f t="shared" si="20"/>
        <v>VERTICAL</v>
      </c>
      <c r="AV53" s="308">
        <f t="shared" si="21"/>
        <v>16</v>
      </c>
      <c r="AW53" s="310">
        <f t="shared" si="22"/>
        <v>16</v>
      </c>
      <c r="AX53" s="321">
        <f t="shared" si="23"/>
        <v>9.5108695652173907</v>
      </c>
      <c r="AY53" s="308">
        <f t="shared" si="37"/>
        <v>60</v>
      </c>
      <c r="AZ53" s="312">
        <f>IF(C53="","",IF(H53="STOCK",VLOOKUP(I53,'COST - SELL'!$B$26:$G$29,6,0),IF(H53="LINE-ATELIER",VLOOKUP(I53,'COST - SELL'!$J$26:$Q$29,8,0),IF(H53="LINE-VTLUX",VLOOKUP(I53,'COST - SELL'!$B$36:$I$51,8,0),0))))</f>
        <v>27.900000000000002</v>
      </c>
      <c r="BA53" s="313">
        <f t="shared" si="25"/>
        <v>502.20000000000005</v>
      </c>
      <c r="BB53" s="314">
        <f>IF(C53="","",IF(L53="N/A",0,VLOOKUP(L53,'COST - SELL'!$B$60:$I$63,8,0)))</f>
        <v>0</v>
      </c>
      <c r="BC53" s="313">
        <f t="shared" si="26"/>
        <v>0</v>
      </c>
      <c r="BD53" s="315">
        <f>IF(C53="","",IF(H53="C.O.M.",VLOOKUP(F53,'COST - SELL'!$J$11:$N$19,5,0),VLOOKUP(F53,'COST - SELL'!$B$11:$H$19,7,0)))</f>
        <v>18.900000000000002</v>
      </c>
      <c r="BE53" s="315">
        <f t="shared" si="27"/>
        <v>85.050000000000011</v>
      </c>
      <c r="BF53" s="313">
        <f t="shared" si="30"/>
        <v>587.25</v>
      </c>
      <c r="BG53" s="316">
        <f>IF(C53="","",IF(Q53="N/A",0,VLOOKUP(Q53,'COST - SELL'!$B$80:$I$91,8,0)*'FILL QUOTE-CALCULATIONS'!AX53))</f>
        <v>80.842391304347814</v>
      </c>
      <c r="BH53" s="316">
        <f>IF(C53="","",IF(S53="N/A",0,IF(AY53="N/A",0,INDEX('COST - SELL'!$O$70:$S$73,MATCH('FILL QUOTE-CALCULATIONS'!S53,'COST - SELL'!$O$70:$O$73,0),MATCH('FILL QUOTE-CALCULATIONS'!AY53,'COST - SELL'!$O$70:$S$70,0)))))</f>
        <v>15.3</v>
      </c>
      <c r="BI53" s="316">
        <f t="shared" si="28"/>
        <v>96.15</v>
      </c>
      <c r="BJ53" s="316">
        <f t="shared" si="29"/>
        <v>683.4</v>
      </c>
    </row>
    <row r="54" spans="2:62" x14ac:dyDescent="0.25">
      <c r="B54" s="231">
        <f t="shared" si="31"/>
        <v>40</v>
      </c>
      <c r="C54" s="180">
        <v>1</v>
      </c>
      <c r="D54" s="178" t="s">
        <v>298</v>
      </c>
      <c r="E54" s="179" t="s">
        <v>131</v>
      </c>
      <c r="F54" s="179" t="s">
        <v>136</v>
      </c>
      <c r="G54" s="671">
        <v>2</v>
      </c>
      <c r="H54" s="179" t="s">
        <v>187</v>
      </c>
      <c r="I54" s="905" t="s">
        <v>321</v>
      </c>
      <c r="J54" s="179" t="str">
        <f t="shared" si="36"/>
        <v/>
      </c>
      <c r="K54" s="672" t="s">
        <v>784</v>
      </c>
      <c r="L54" s="179" t="s">
        <v>122</v>
      </c>
      <c r="M54" s="672" t="s">
        <v>767</v>
      </c>
      <c r="N54" s="673">
        <v>102</v>
      </c>
      <c r="O54" s="673">
        <v>116.25</v>
      </c>
      <c r="P54" s="197" t="s">
        <v>287</v>
      </c>
      <c r="Q54" s="178" t="s">
        <v>736</v>
      </c>
      <c r="R54" s="176" t="s">
        <v>750</v>
      </c>
      <c r="S54" s="179" t="s">
        <v>289</v>
      </c>
      <c r="T54" s="894">
        <f t="shared" si="1"/>
        <v>587.25</v>
      </c>
      <c r="U54" s="668">
        <v>0.4</v>
      </c>
      <c r="V54" s="669">
        <v>0.5</v>
      </c>
      <c r="W54" s="895">
        <f t="shared" si="2"/>
        <v>93.850000000000009</v>
      </c>
      <c r="X54" s="694">
        <v>0.4</v>
      </c>
      <c r="Y54" s="690">
        <v>0.3</v>
      </c>
      <c r="Z54" s="667">
        <f t="shared" si="32"/>
        <v>408.65999999999997</v>
      </c>
      <c r="AA54" s="659">
        <f t="shared" si="33"/>
        <v>408.65999999999997</v>
      </c>
      <c r="AB54" s="894">
        <f t="shared" si="3"/>
        <v>681.1</v>
      </c>
      <c r="AC54" s="895">
        <f t="shared" si="34"/>
        <v>681.1</v>
      </c>
      <c r="AD54" s="181"/>
      <c r="AE54" s="882">
        <f t="shared" si="4"/>
        <v>12.5</v>
      </c>
      <c r="AF54" s="882">
        <f t="shared" si="5"/>
        <v>5.1000000000000005</v>
      </c>
      <c r="AG54" s="882">
        <f t="shared" si="6"/>
        <v>9</v>
      </c>
      <c r="AH54" s="883">
        <f t="shared" si="7"/>
        <v>8</v>
      </c>
      <c r="AI54" s="317">
        <f t="shared" si="8"/>
        <v>221.6</v>
      </c>
      <c r="AJ54" s="304">
        <f t="shared" si="9"/>
        <v>133.25</v>
      </c>
      <c r="AK54" s="304">
        <f t="shared" si="10"/>
        <v>54</v>
      </c>
      <c r="AL54" s="318" t="str">
        <f t="shared" si="11"/>
        <v>VERTICAL</v>
      </c>
      <c r="AM54" s="318">
        <f t="shared" si="12"/>
        <v>4.1037037037037036</v>
      </c>
      <c r="AN54" s="319">
        <f t="shared" si="13"/>
        <v>4.5</v>
      </c>
      <c r="AO54" s="319">
        <f t="shared" si="14"/>
        <v>4.5</v>
      </c>
      <c r="AP54" s="318">
        <f t="shared" si="15"/>
        <v>18</v>
      </c>
      <c r="AQ54" s="320">
        <f t="shared" si="16"/>
        <v>18</v>
      </c>
      <c r="AR54" s="306">
        <f t="shared" si="17"/>
        <v>222</v>
      </c>
      <c r="AS54" s="308">
        <f t="shared" si="18"/>
        <v>127.25</v>
      </c>
      <c r="AT54" s="308">
        <f t="shared" si="19"/>
        <v>54</v>
      </c>
      <c r="AU54" s="308" t="str">
        <f t="shared" si="20"/>
        <v>VERTICAL</v>
      </c>
      <c r="AV54" s="308">
        <f t="shared" si="21"/>
        <v>16</v>
      </c>
      <c r="AW54" s="310">
        <f t="shared" si="22"/>
        <v>16</v>
      </c>
      <c r="AX54" s="321">
        <f t="shared" si="23"/>
        <v>9.2391304347826075</v>
      </c>
      <c r="AY54" s="308">
        <f t="shared" si="37"/>
        <v>60</v>
      </c>
      <c r="AZ54" s="312">
        <f>IF(C54="","",IF(H54="STOCK",VLOOKUP(I54,'COST - SELL'!$B$26:$G$29,6,0),IF(H54="LINE-ATELIER",VLOOKUP(I54,'COST - SELL'!$J$26:$Q$29,8,0),IF(H54="LINE-VTLUX",VLOOKUP(I54,'COST - SELL'!$B$36:$I$51,8,0),0))))</f>
        <v>27.900000000000002</v>
      </c>
      <c r="BA54" s="313">
        <f t="shared" si="25"/>
        <v>502.20000000000005</v>
      </c>
      <c r="BB54" s="314">
        <f>IF(C54="","",IF(L54="N/A",0,VLOOKUP(L54,'COST - SELL'!$B$60:$I$63,8,0)))</f>
        <v>0</v>
      </c>
      <c r="BC54" s="313">
        <f t="shared" si="26"/>
        <v>0</v>
      </c>
      <c r="BD54" s="315">
        <f>IF(C54="","",IF(H54="C.O.M.",VLOOKUP(F54,'COST - SELL'!$J$11:$N$19,5,0),VLOOKUP(F54,'COST - SELL'!$B$11:$H$19,7,0)))</f>
        <v>18.900000000000002</v>
      </c>
      <c r="BE54" s="315">
        <f t="shared" si="27"/>
        <v>85.050000000000011</v>
      </c>
      <c r="BF54" s="313">
        <f t="shared" si="30"/>
        <v>587.25</v>
      </c>
      <c r="BG54" s="316">
        <f>IF(C54="","",IF(Q54="N/A",0,VLOOKUP(Q54,'COST - SELL'!$B$80:$I$91,8,0)*'FILL QUOTE-CALCULATIONS'!AX54))</f>
        <v>78.532608695652158</v>
      </c>
      <c r="BH54" s="316">
        <f>IF(C54="","",IF(S54="N/A",0,IF(AY54="N/A",0,INDEX('COST - SELL'!$O$70:$S$73,MATCH('FILL QUOTE-CALCULATIONS'!S54,'COST - SELL'!$O$70:$O$73,0),MATCH('FILL QUOTE-CALCULATIONS'!AY54,'COST - SELL'!$O$70:$S$70,0)))))</f>
        <v>15.3</v>
      </c>
      <c r="BI54" s="316">
        <f t="shared" si="28"/>
        <v>93.850000000000009</v>
      </c>
      <c r="BJ54" s="316">
        <f t="shared" si="29"/>
        <v>681.1</v>
      </c>
    </row>
    <row r="55" spans="2:62" x14ac:dyDescent="0.25">
      <c r="B55" s="231">
        <f t="shared" si="31"/>
        <v>41</v>
      </c>
      <c r="C55" s="180">
        <v>1</v>
      </c>
      <c r="D55" s="178" t="s">
        <v>298</v>
      </c>
      <c r="E55" s="179" t="s">
        <v>131</v>
      </c>
      <c r="F55" s="179" t="s">
        <v>136</v>
      </c>
      <c r="G55" s="671">
        <v>2</v>
      </c>
      <c r="H55" s="179" t="s">
        <v>187</v>
      </c>
      <c r="I55" s="905" t="s">
        <v>321</v>
      </c>
      <c r="J55" s="179" t="str">
        <f t="shared" si="36"/>
        <v/>
      </c>
      <c r="K55" s="672" t="s">
        <v>784</v>
      </c>
      <c r="L55" s="179" t="s">
        <v>122</v>
      </c>
      <c r="M55" s="672" t="s">
        <v>768</v>
      </c>
      <c r="N55" s="673">
        <v>125</v>
      </c>
      <c r="O55" s="673">
        <v>115.25</v>
      </c>
      <c r="P55" s="197" t="s">
        <v>287</v>
      </c>
      <c r="Q55" s="178" t="s">
        <v>736</v>
      </c>
      <c r="R55" s="176" t="s">
        <v>750</v>
      </c>
      <c r="S55" s="179" t="s">
        <v>289</v>
      </c>
      <c r="T55" s="894">
        <f t="shared" si="1"/>
        <v>652.5</v>
      </c>
      <c r="U55" s="668">
        <v>0.4</v>
      </c>
      <c r="V55" s="669">
        <v>0.5</v>
      </c>
      <c r="W55" s="895">
        <f t="shared" si="2"/>
        <v>111.55000000000001</v>
      </c>
      <c r="X55" s="694">
        <v>0.4</v>
      </c>
      <c r="Y55" s="690">
        <v>0.3</v>
      </c>
      <c r="Z55" s="667">
        <f t="shared" si="32"/>
        <v>458.43</v>
      </c>
      <c r="AA55" s="659">
        <f t="shared" si="33"/>
        <v>458.43</v>
      </c>
      <c r="AB55" s="894">
        <f t="shared" si="3"/>
        <v>764.05</v>
      </c>
      <c r="AC55" s="895">
        <f t="shared" si="34"/>
        <v>764.05</v>
      </c>
      <c r="AD55" s="181"/>
      <c r="AE55" s="882">
        <f t="shared" si="4"/>
        <v>12.5</v>
      </c>
      <c r="AF55" s="882">
        <f t="shared" si="5"/>
        <v>6.25</v>
      </c>
      <c r="AG55" s="882">
        <f t="shared" si="6"/>
        <v>9</v>
      </c>
      <c r="AH55" s="883">
        <f t="shared" si="7"/>
        <v>8</v>
      </c>
      <c r="AI55" s="317">
        <f t="shared" si="8"/>
        <v>268.75</v>
      </c>
      <c r="AJ55" s="304">
        <f t="shared" si="9"/>
        <v>132.25</v>
      </c>
      <c r="AK55" s="304">
        <f t="shared" si="10"/>
        <v>54</v>
      </c>
      <c r="AL55" s="318" t="str">
        <f t="shared" si="11"/>
        <v>VERTICAL</v>
      </c>
      <c r="AM55" s="318">
        <f t="shared" si="12"/>
        <v>4.9768518518518521</v>
      </c>
      <c r="AN55" s="319">
        <f t="shared" si="13"/>
        <v>5</v>
      </c>
      <c r="AO55" s="319">
        <f t="shared" si="14"/>
        <v>5</v>
      </c>
      <c r="AP55" s="318">
        <f t="shared" si="15"/>
        <v>20</v>
      </c>
      <c r="AQ55" s="320">
        <f t="shared" si="16"/>
        <v>20</v>
      </c>
      <c r="AR55" s="306">
        <f t="shared" si="17"/>
        <v>269</v>
      </c>
      <c r="AS55" s="308">
        <f t="shared" si="18"/>
        <v>126.25</v>
      </c>
      <c r="AT55" s="308">
        <f t="shared" si="19"/>
        <v>54</v>
      </c>
      <c r="AU55" s="308" t="str">
        <f t="shared" si="20"/>
        <v>VERTICAL</v>
      </c>
      <c r="AV55" s="308">
        <f t="shared" si="21"/>
        <v>18.7</v>
      </c>
      <c r="AW55" s="310">
        <f t="shared" si="22"/>
        <v>18.7</v>
      </c>
      <c r="AX55" s="321">
        <f t="shared" si="23"/>
        <v>11.322463768115941</v>
      </c>
      <c r="AY55" s="308">
        <f t="shared" si="37"/>
        <v>60</v>
      </c>
      <c r="AZ55" s="312">
        <f>IF(C55="","",IF(H55="STOCK",VLOOKUP(I55,'COST - SELL'!$B$26:$G$29,6,0),IF(H55="LINE-ATELIER",VLOOKUP(I55,'COST - SELL'!$J$26:$Q$29,8,0),IF(H55="LINE-VTLUX",VLOOKUP(I55,'COST - SELL'!$B$36:$I$51,8,0),0))))</f>
        <v>27.900000000000002</v>
      </c>
      <c r="BA55" s="313">
        <f t="shared" si="25"/>
        <v>558</v>
      </c>
      <c r="BB55" s="314">
        <f>IF(C55="","",IF(L55="N/A",0,VLOOKUP(L55,'COST - SELL'!$B$60:$I$63,8,0)))</f>
        <v>0</v>
      </c>
      <c r="BC55" s="313">
        <f t="shared" si="26"/>
        <v>0</v>
      </c>
      <c r="BD55" s="315">
        <f>IF(C55="","",IF(H55="C.O.M.",VLOOKUP(F55,'COST - SELL'!$J$11:$N$19,5,0),VLOOKUP(F55,'COST - SELL'!$B$11:$H$19,7,0)))</f>
        <v>18.900000000000002</v>
      </c>
      <c r="BE55" s="315">
        <f t="shared" si="27"/>
        <v>94.500000000000014</v>
      </c>
      <c r="BF55" s="313">
        <f t="shared" si="30"/>
        <v>652.5</v>
      </c>
      <c r="BG55" s="316">
        <f>IF(C55="","",IF(Q55="N/A",0,VLOOKUP(Q55,'COST - SELL'!$B$80:$I$91,8,0)*'FILL QUOTE-CALCULATIONS'!AX55))</f>
        <v>96.240942028985501</v>
      </c>
      <c r="BH55" s="316">
        <f>IF(C55="","",IF(S55="N/A",0,IF(AY55="N/A",0,INDEX('COST - SELL'!$O$70:$S$73,MATCH('FILL QUOTE-CALCULATIONS'!S55,'COST - SELL'!$O$70:$O$73,0),MATCH('FILL QUOTE-CALCULATIONS'!AY55,'COST - SELL'!$O$70:$S$70,0)))))</f>
        <v>15.3</v>
      </c>
      <c r="BI55" s="316">
        <f t="shared" si="28"/>
        <v>111.55000000000001</v>
      </c>
      <c r="BJ55" s="316">
        <f t="shared" si="29"/>
        <v>764.05</v>
      </c>
    </row>
    <row r="56" spans="2:62" x14ac:dyDescent="0.25">
      <c r="B56" s="231">
        <f t="shared" si="31"/>
        <v>42</v>
      </c>
      <c r="C56" s="180"/>
      <c r="D56" s="178"/>
      <c r="E56" s="179"/>
      <c r="F56" s="179"/>
      <c r="G56" s="671"/>
      <c r="H56" s="179"/>
      <c r="I56" s="905"/>
      <c r="J56" s="179" t="str">
        <f t="shared" si="36"/>
        <v/>
      </c>
      <c r="K56" s="672"/>
      <c r="L56" s="179"/>
      <c r="M56" s="672"/>
      <c r="N56" s="673"/>
      <c r="O56" s="673"/>
      <c r="P56" s="197"/>
      <c r="Q56" s="178"/>
      <c r="R56" s="176"/>
      <c r="S56" s="179"/>
      <c r="T56" s="894">
        <f t="shared" si="1"/>
        <v>0</v>
      </c>
      <c r="U56" s="668">
        <v>0.4</v>
      </c>
      <c r="V56" s="669">
        <v>0.5</v>
      </c>
      <c r="W56" s="895" t="str">
        <f t="shared" si="2"/>
        <v/>
      </c>
      <c r="X56" s="694">
        <v>0.4</v>
      </c>
      <c r="Y56" s="690">
        <v>0.3</v>
      </c>
      <c r="Z56" s="667">
        <f t="shared" si="32"/>
        <v>0</v>
      </c>
      <c r="AA56" s="659">
        <f t="shared" si="33"/>
        <v>0</v>
      </c>
      <c r="AB56" s="894">
        <f t="shared" si="3"/>
        <v>0</v>
      </c>
      <c r="AC56" s="895">
        <f t="shared" si="34"/>
        <v>0</v>
      </c>
      <c r="AD56" s="181"/>
      <c r="AE56" s="882" t="str">
        <f t="shared" si="4"/>
        <v/>
      </c>
      <c r="AF56" s="882" t="str">
        <f t="shared" si="5"/>
        <v/>
      </c>
      <c r="AG56" s="882" t="str">
        <f t="shared" si="6"/>
        <v/>
      </c>
      <c r="AH56" s="883" t="str">
        <f t="shared" si="7"/>
        <v/>
      </c>
      <c r="AI56" s="317" t="str">
        <f t="shared" si="8"/>
        <v/>
      </c>
      <c r="AJ56" s="304" t="str">
        <f t="shared" si="9"/>
        <v/>
      </c>
      <c r="AK56" s="304" t="str">
        <f t="shared" si="10"/>
        <v/>
      </c>
      <c r="AL56" s="318" t="str">
        <f t="shared" si="11"/>
        <v/>
      </c>
      <c r="AM56" s="318" t="str">
        <f t="shared" si="12"/>
        <v/>
      </c>
      <c r="AN56" s="319" t="str">
        <f t="shared" si="13"/>
        <v/>
      </c>
      <c r="AO56" s="319" t="str">
        <f t="shared" si="14"/>
        <v/>
      </c>
      <c r="AP56" s="318" t="str">
        <f t="shared" si="15"/>
        <v/>
      </c>
      <c r="AQ56" s="320" t="str">
        <f t="shared" si="16"/>
        <v/>
      </c>
      <c r="AR56" s="306" t="str">
        <f t="shared" si="17"/>
        <v/>
      </c>
      <c r="AS56" s="308" t="str">
        <f t="shared" si="18"/>
        <v/>
      </c>
      <c r="AT56" s="308" t="str">
        <f t="shared" si="19"/>
        <v/>
      </c>
      <c r="AU56" s="308" t="str">
        <f t="shared" si="20"/>
        <v/>
      </c>
      <c r="AV56" s="308" t="str">
        <f t="shared" si="21"/>
        <v/>
      </c>
      <c r="AW56" s="310" t="str">
        <f t="shared" si="22"/>
        <v/>
      </c>
      <c r="AX56" s="321" t="str">
        <f t="shared" si="23"/>
        <v/>
      </c>
      <c r="AY56" s="308" t="str">
        <f t="shared" si="37"/>
        <v/>
      </c>
      <c r="AZ56" s="312" t="str">
        <f>IF(C56="","",IF(H56="STOCK",VLOOKUP(I56,'COST - SELL'!$B$26:$G$29,6,0),IF(H56="LINE-ATELIER",VLOOKUP(I56,'COST - SELL'!$J$26:$Q$29,8,0),IF(H56="LINE-VTLUX",VLOOKUP(I56,'COST - SELL'!$B$36:$I$51,8,0),0))))</f>
        <v/>
      </c>
      <c r="BA56" s="313" t="str">
        <f t="shared" si="25"/>
        <v/>
      </c>
      <c r="BB56" s="314" t="str">
        <f>IF(C56="","",IF(L56="N/A",0,VLOOKUP(L56,'COST - SELL'!$B$60:$I$63,8,0)))</f>
        <v/>
      </c>
      <c r="BC56" s="313" t="str">
        <f t="shared" si="26"/>
        <v/>
      </c>
      <c r="BD56" s="315" t="str">
        <f>IF(C56="","",IF(H56="C.O.M.",VLOOKUP(F56,'COST - SELL'!$J$11:$N$19,5,0),VLOOKUP(F56,'COST - SELL'!$B$11:$H$19,7,0)))</f>
        <v/>
      </c>
      <c r="BE56" s="315" t="str">
        <f t="shared" si="27"/>
        <v/>
      </c>
      <c r="BF56" s="313" t="str">
        <f t="shared" si="30"/>
        <v/>
      </c>
      <c r="BG56" s="316" t="str">
        <f>IF(C56="","",IF(Q56="N/A",0,VLOOKUP(Q56,'COST - SELL'!$B$80:$I$91,8,0)*'FILL QUOTE-CALCULATIONS'!AX56))</f>
        <v/>
      </c>
      <c r="BH56" s="316" t="str">
        <f>IF(C56="","",IF(S56="N/A",0,IF(AY56="N/A",0,INDEX('COST - SELL'!$O$70:$S$73,MATCH('FILL QUOTE-CALCULATIONS'!S56,'COST - SELL'!$O$70:$O$73,0),MATCH('FILL QUOTE-CALCULATIONS'!AY56,'COST - SELL'!$O$70:$S$70,0)))))</f>
        <v/>
      </c>
      <c r="BI56" s="316" t="str">
        <f t="shared" si="28"/>
        <v/>
      </c>
      <c r="BJ56" s="316" t="str">
        <f t="shared" si="29"/>
        <v/>
      </c>
    </row>
    <row r="57" spans="2:62" x14ac:dyDescent="0.25">
      <c r="B57" s="231">
        <f t="shared" si="31"/>
        <v>43</v>
      </c>
      <c r="C57" s="180">
        <v>1</v>
      </c>
      <c r="D57" s="178" t="s">
        <v>298</v>
      </c>
      <c r="E57" s="179" t="s">
        <v>131</v>
      </c>
      <c r="F57" s="179" t="s">
        <v>136</v>
      </c>
      <c r="G57" s="671">
        <v>2</v>
      </c>
      <c r="H57" s="179" t="s">
        <v>187</v>
      </c>
      <c r="I57" s="905" t="s">
        <v>321</v>
      </c>
      <c r="J57" s="179" t="str">
        <f t="shared" si="36"/>
        <v/>
      </c>
      <c r="K57" s="672" t="s">
        <v>784</v>
      </c>
      <c r="L57" s="179" t="s">
        <v>122</v>
      </c>
      <c r="M57" s="672" t="s">
        <v>775</v>
      </c>
      <c r="N57" s="673">
        <v>138</v>
      </c>
      <c r="O57" s="673">
        <v>117.625</v>
      </c>
      <c r="P57" s="197" t="s">
        <v>287</v>
      </c>
      <c r="Q57" s="178" t="s">
        <v>736</v>
      </c>
      <c r="R57" s="176" t="s">
        <v>750</v>
      </c>
      <c r="S57" s="179" t="s">
        <v>289</v>
      </c>
      <c r="T57" s="894">
        <f t="shared" si="1"/>
        <v>724.75</v>
      </c>
      <c r="U57" s="668">
        <v>0.4</v>
      </c>
      <c r="V57" s="669">
        <v>0.5</v>
      </c>
      <c r="W57" s="895">
        <f t="shared" si="2"/>
        <v>121.55000000000001</v>
      </c>
      <c r="X57" s="694">
        <v>0.4</v>
      </c>
      <c r="Y57" s="690">
        <v>0.3</v>
      </c>
      <c r="Z57" s="667">
        <f t="shared" si="32"/>
        <v>507.78</v>
      </c>
      <c r="AA57" s="659">
        <f t="shared" si="33"/>
        <v>507.78</v>
      </c>
      <c r="AB57" s="894">
        <f t="shared" si="3"/>
        <v>846.3</v>
      </c>
      <c r="AC57" s="895">
        <f t="shared" si="34"/>
        <v>846.3</v>
      </c>
      <c r="AD57" s="181"/>
      <c r="AE57" s="882">
        <f t="shared" si="4"/>
        <v>12.5</v>
      </c>
      <c r="AF57" s="882">
        <f t="shared" si="5"/>
        <v>6.9</v>
      </c>
      <c r="AG57" s="882">
        <f t="shared" si="6"/>
        <v>9</v>
      </c>
      <c r="AH57" s="883">
        <f t="shared" si="7"/>
        <v>8</v>
      </c>
      <c r="AI57" s="317">
        <f t="shared" si="8"/>
        <v>295.39999999999998</v>
      </c>
      <c r="AJ57" s="304">
        <f t="shared" si="9"/>
        <v>134.625</v>
      </c>
      <c r="AK57" s="304">
        <f t="shared" si="10"/>
        <v>54</v>
      </c>
      <c r="AL57" s="318" t="str">
        <f t="shared" si="11"/>
        <v>VERTICAL</v>
      </c>
      <c r="AM57" s="318">
        <f t="shared" si="12"/>
        <v>5.4703703703703699</v>
      </c>
      <c r="AN57" s="319">
        <f t="shared" si="13"/>
        <v>5.5</v>
      </c>
      <c r="AO57" s="319">
        <f t="shared" si="14"/>
        <v>5.5</v>
      </c>
      <c r="AP57" s="318">
        <f t="shared" si="15"/>
        <v>22.25</v>
      </c>
      <c r="AQ57" s="320">
        <f t="shared" si="16"/>
        <v>22.25</v>
      </c>
      <c r="AR57" s="306">
        <f t="shared" si="17"/>
        <v>296</v>
      </c>
      <c r="AS57" s="308">
        <f t="shared" si="18"/>
        <v>128.625</v>
      </c>
      <c r="AT57" s="308">
        <f t="shared" si="19"/>
        <v>54</v>
      </c>
      <c r="AU57" s="308" t="str">
        <f t="shared" si="20"/>
        <v>VERTICAL</v>
      </c>
      <c r="AV57" s="308">
        <f t="shared" si="21"/>
        <v>21</v>
      </c>
      <c r="AW57" s="310">
        <f t="shared" si="22"/>
        <v>21</v>
      </c>
      <c r="AX57" s="321">
        <f t="shared" si="23"/>
        <v>12.5</v>
      </c>
      <c r="AY57" s="308">
        <f t="shared" si="37"/>
        <v>60</v>
      </c>
      <c r="AZ57" s="312">
        <f>IF(C57="","",IF(H57="STOCK",VLOOKUP(I57,'COST - SELL'!$B$26:$G$29,6,0),IF(H57="LINE-ATELIER",VLOOKUP(I57,'COST - SELL'!$J$26:$Q$29,8,0),IF(H57="LINE-VTLUX",VLOOKUP(I57,'COST - SELL'!$B$36:$I$51,8,0),0))))</f>
        <v>27.900000000000002</v>
      </c>
      <c r="BA57" s="313">
        <f t="shared" si="25"/>
        <v>620.77500000000009</v>
      </c>
      <c r="BB57" s="314">
        <f>IF(C57="","",IF(L57="N/A",0,VLOOKUP(L57,'COST - SELL'!$B$60:$I$63,8,0)))</f>
        <v>0</v>
      </c>
      <c r="BC57" s="313">
        <f t="shared" si="26"/>
        <v>0</v>
      </c>
      <c r="BD57" s="315">
        <f>IF(C57="","",IF(H57="C.O.M.",VLOOKUP(F57,'COST - SELL'!$J$11:$N$19,5,0),VLOOKUP(F57,'COST - SELL'!$B$11:$H$19,7,0)))</f>
        <v>18.900000000000002</v>
      </c>
      <c r="BE57" s="315">
        <f t="shared" si="27"/>
        <v>103.95000000000002</v>
      </c>
      <c r="BF57" s="313">
        <f t="shared" si="30"/>
        <v>724.75</v>
      </c>
      <c r="BG57" s="316">
        <f>IF(C57="","",IF(Q57="N/A",0,VLOOKUP(Q57,'COST - SELL'!$B$80:$I$91,8,0)*'FILL QUOTE-CALCULATIONS'!AX57))</f>
        <v>106.25</v>
      </c>
      <c r="BH57" s="316">
        <f>IF(C57="","",IF(S57="N/A",0,IF(AY57="N/A",0,INDEX('COST - SELL'!$O$70:$S$73,MATCH('FILL QUOTE-CALCULATIONS'!S57,'COST - SELL'!$O$70:$O$73,0),MATCH('FILL QUOTE-CALCULATIONS'!AY57,'COST - SELL'!$O$70:$S$70,0)))))</f>
        <v>15.3</v>
      </c>
      <c r="BI57" s="316">
        <f t="shared" si="28"/>
        <v>121.55000000000001</v>
      </c>
      <c r="BJ57" s="316">
        <f t="shared" si="29"/>
        <v>846.3</v>
      </c>
    </row>
    <row r="58" spans="2:62" x14ac:dyDescent="0.25">
      <c r="B58" s="231">
        <f t="shared" si="31"/>
        <v>44</v>
      </c>
      <c r="C58" s="180"/>
      <c r="D58" s="178"/>
      <c r="E58" s="179"/>
      <c r="F58" s="179"/>
      <c r="G58" s="671"/>
      <c r="H58" s="179"/>
      <c r="I58" s="905"/>
      <c r="J58" s="179" t="str">
        <f t="shared" si="36"/>
        <v/>
      </c>
      <c r="K58" s="672"/>
      <c r="L58" s="179"/>
      <c r="M58" s="672"/>
      <c r="N58" s="673"/>
      <c r="O58" s="673"/>
      <c r="P58" s="197"/>
      <c r="Q58" s="178"/>
      <c r="R58" s="176"/>
      <c r="S58" s="179"/>
      <c r="T58" s="894">
        <f t="shared" si="1"/>
        <v>0</v>
      </c>
      <c r="U58" s="668">
        <v>0.4</v>
      </c>
      <c r="V58" s="669">
        <v>0.5</v>
      </c>
      <c r="W58" s="895" t="str">
        <f t="shared" si="2"/>
        <v/>
      </c>
      <c r="X58" s="694">
        <v>0.4</v>
      </c>
      <c r="Y58" s="690">
        <v>0.3</v>
      </c>
      <c r="Z58" s="667">
        <f t="shared" si="32"/>
        <v>0</v>
      </c>
      <c r="AA58" s="659">
        <f t="shared" si="33"/>
        <v>0</v>
      </c>
      <c r="AB58" s="894">
        <f t="shared" si="3"/>
        <v>0</v>
      </c>
      <c r="AC58" s="895">
        <f t="shared" si="34"/>
        <v>0</v>
      </c>
      <c r="AD58" s="181"/>
      <c r="AE58" s="882" t="str">
        <f t="shared" si="4"/>
        <v/>
      </c>
      <c r="AF58" s="882" t="str">
        <f t="shared" si="5"/>
        <v/>
      </c>
      <c r="AG58" s="882" t="str">
        <f t="shared" si="6"/>
        <v/>
      </c>
      <c r="AH58" s="883" t="str">
        <f t="shared" si="7"/>
        <v/>
      </c>
      <c r="AI58" s="317" t="str">
        <f t="shared" si="8"/>
        <v/>
      </c>
      <c r="AJ58" s="304" t="str">
        <f t="shared" si="9"/>
        <v/>
      </c>
      <c r="AK58" s="304" t="str">
        <f t="shared" si="10"/>
        <v/>
      </c>
      <c r="AL58" s="318" t="str">
        <f t="shared" si="11"/>
        <v/>
      </c>
      <c r="AM58" s="318" t="str">
        <f t="shared" si="12"/>
        <v/>
      </c>
      <c r="AN58" s="319" t="str">
        <f t="shared" si="13"/>
        <v/>
      </c>
      <c r="AO58" s="319" t="str">
        <f t="shared" si="14"/>
        <v/>
      </c>
      <c r="AP58" s="318" t="str">
        <f t="shared" si="15"/>
        <v/>
      </c>
      <c r="AQ58" s="320" t="str">
        <f t="shared" si="16"/>
        <v/>
      </c>
      <c r="AR58" s="306" t="str">
        <f t="shared" si="17"/>
        <v/>
      </c>
      <c r="AS58" s="308" t="str">
        <f t="shared" si="18"/>
        <v/>
      </c>
      <c r="AT58" s="308" t="str">
        <f t="shared" si="19"/>
        <v/>
      </c>
      <c r="AU58" s="308" t="str">
        <f t="shared" si="20"/>
        <v/>
      </c>
      <c r="AV58" s="308" t="str">
        <f t="shared" si="21"/>
        <v/>
      </c>
      <c r="AW58" s="310" t="str">
        <f t="shared" si="22"/>
        <v/>
      </c>
      <c r="AX58" s="321" t="str">
        <f t="shared" si="23"/>
        <v/>
      </c>
      <c r="AY58" s="308" t="str">
        <f t="shared" si="37"/>
        <v/>
      </c>
      <c r="AZ58" s="312" t="str">
        <f>IF(C58="","",IF(H58="STOCK",VLOOKUP(I58,'COST - SELL'!$B$26:$G$29,6,0),IF(H58="LINE-ATELIER",VLOOKUP(I58,'COST - SELL'!$J$26:$Q$29,8,0),IF(H58="LINE-VTLUX",VLOOKUP(I58,'COST - SELL'!$B$36:$I$51,8,0),0))))</f>
        <v/>
      </c>
      <c r="BA58" s="313" t="str">
        <f t="shared" si="25"/>
        <v/>
      </c>
      <c r="BB58" s="314" t="str">
        <f>IF(C58="","",IF(L58="N/A",0,VLOOKUP(L58,'COST - SELL'!$B$60:$I$63,8,0)))</f>
        <v/>
      </c>
      <c r="BC58" s="313" t="str">
        <f t="shared" si="26"/>
        <v/>
      </c>
      <c r="BD58" s="315" t="str">
        <f>IF(C58="","",IF(H58="C.O.M.",VLOOKUP(F58,'COST - SELL'!$J$11:$N$19,5,0),VLOOKUP(F58,'COST - SELL'!$B$11:$H$19,7,0)))</f>
        <v/>
      </c>
      <c r="BE58" s="315" t="str">
        <f t="shared" si="27"/>
        <v/>
      </c>
      <c r="BF58" s="313" t="str">
        <f t="shared" si="30"/>
        <v/>
      </c>
      <c r="BG58" s="316" t="str">
        <f>IF(C58="","",IF(Q58="N/A",0,VLOOKUP(Q58,'COST - SELL'!$B$80:$I$91,8,0)*'FILL QUOTE-CALCULATIONS'!AX58))</f>
        <v/>
      </c>
      <c r="BH58" s="316" t="str">
        <f>IF(C58="","",IF(S58="N/A",0,IF(AY58="N/A",0,INDEX('COST - SELL'!$O$70:$S$73,MATCH('FILL QUOTE-CALCULATIONS'!S58,'COST - SELL'!$O$70:$O$73,0),MATCH('FILL QUOTE-CALCULATIONS'!AY58,'COST - SELL'!$O$70:$S$70,0)))))</f>
        <v/>
      </c>
      <c r="BI58" s="316" t="str">
        <f t="shared" si="28"/>
        <v/>
      </c>
      <c r="BJ58" s="316" t="str">
        <f t="shared" si="29"/>
        <v/>
      </c>
    </row>
    <row r="59" spans="2:62" x14ac:dyDescent="0.25">
      <c r="B59" s="231">
        <f t="shared" si="31"/>
        <v>45</v>
      </c>
      <c r="C59" s="180">
        <v>1</v>
      </c>
      <c r="D59" s="178" t="s">
        <v>298</v>
      </c>
      <c r="E59" s="179" t="s">
        <v>131</v>
      </c>
      <c r="F59" s="179" t="s">
        <v>136</v>
      </c>
      <c r="G59" s="671">
        <v>2</v>
      </c>
      <c r="H59" s="179" t="s">
        <v>187</v>
      </c>
      <c r="I59" s="905" t="s">
        <v>321</v>
      </c>
      <c r="J59" s="179" t="str">
        <f t="shared" si="36"/>
        <v/>
      </c>
      <c r="K59" s="672" t="s">
        <v>784</v>
      </c>
      <c r="L59" s="179" t="s">
        <v>122</v>
      </c>
      <c r="M59" s="672" t="s">
        <v>776</v>
      </c>
      <c r="N59" s="673">
        <v>100</v>
      </c>
      <c r="O59" s="673">
        <v>117.25</v>
      </c>
      <c r="P59" s="197" t="s">
        <v>287</v>
      </c>
      <c r="Q59" s="178" t="s">
        <v>736</v>
      </c>
      <c r="R59" s="176" t="s">
        <v>750</v>
      </c>
      <c r="S59" s="179" t="s">
        <v>289</v>
      </c>
      <c r="T59" s="894">
        <f t="shared" si="1"/>
        <v>594.25</v>
      </c>
      <c r="U59" s="668">
        <v>0.4</v>
      </c>
      <c r="V59" s="669">
        <v>0.5</v>
      </c>
      <c r="W59" s="895">
        <f t="shared" si="2"/>
        <v>92.300000000000011</v>
      </c>
      <c r="X59" s="694">
        <v>0.4</v>
      </c>
      <c r="Y59" s="690">
        <v>0.3</v>
      </c>
      <c r="Z59" s="667">
        <f t="shared" si="32"/>
        <v>411.93</v>
      </c>
      <c r="AA59" s="659">
        <f t="shared" si="33"/>
        <v>411.93</v>
      </c>
      <c r="AB59" s="894">
        <f t="shared" si="3"/>
        <v>686.55</v>
      </c>
      <c r="AC59" s="895">
        <f t="shared" si="34"/>
        <v>686.55</v>
      </c>
      <c r="AD59" s="181"/>
      <c r="AE59" s="882">
        <f t="shared" si="4"/>
        <v>12.5</v>
      </c>
      <c r="AF59" s="882">
        <f t="shared" si="5"/>
        <v>5</v>
      </c>
      <c r="AG59" s="882">
        <f t="shared" si="6"/>
        <v>9</v>
      </c>
      <c r="AH59" s="883">
        <f t="shared" si="7"/>
        <v>8</v>
      </c>
      <c r="AI59" s="317">
        <f t="shared" si="8"/>
        <v>217.5</v>
      </c>
      <c r="AJ59" s="304">
        <f t="shared" si="9"/>
        <v>134.25</v>
      </c>
      <c r="AK59" s="304">
        <f t="shared" si="10"/>
        <v>54</v>
      </c>
      <c r="AL59" s="318" t="str">
        <f t="shared" si="11"/>
        <v>VERTICAL</v>
      </c>
      <c r="AM59" s="318">
        <f t="shared" si="12"/>
        <v>4.0277777777777777</v>
      </c>
      <c r="AN59" s="319">
        <f t="shared" si="13"/>
        <v>4.5</v>
      </c>
      <c r="AO59" s="319">
        <f t="shared" si="14"/>
        <v>4.5</v>
      </c>
      <c r="AP59" s="318">
        <f t="shared" si="15"/>
        <v>18.25</v>
      </c>
      <c r="AQ59" s="320">
        <f t="shared" si="16"/>
        <v>18.25</v>
      </c>
      <c r="AR59" s="306">
        <f t="shared" si="17"/>
        <v>218</v>
      </c>
      <c r="AS59" s="308">
        <f t="shared" si="18"/>
        <v>128.25</v>
      </c>
      <c r="AT59" s="308">
        <f t="shared" si="19"/>
        <v>54</v>
      </c>
      <c r="AU59" s="308" t="str">
        <f t="shared" si="20"/>
        <v>VERTICAL</v>
      </c>
      <c r="AV59" s="308">
        <f t="shared" si="21"/>
        <v>16.2</v>
      </c>
      <c r="AW59" s="310">
        <f t="shared" si="22"/>
        <v>16.2</v>
      </c>
      <c r="AX59" s="321">
        <f t="shared" si="23"/>
        <v>9.0579710144927539</v>
      </c>
      <c r="AY59" s="308">
        <f t="shared" si="37"/>
        <v>60</v>
      </c>
      <c r="AZ59" s="312">
        <f>IF(C59="","",IF(H59="STOCK",VLOOKUP(I59,'COST - SELL'!$B$26:$G$29,6,0),IF(H59="LINE-ATELIER",VLOOKUP(I59,'COST - SELL'!$J$26:$Q$29,8,0),IF(H59="LINE-VTLUX",VLOOKUP(I59,'COST - SELL'!$B$36:$I$51,8,0),0))))</f>
        <v>27.900000000000002</v>
      </c>
      <c r="BA59" s="313">
        <f t="shared" si="25"/>
        <v>509.17500000000001</v>
      </c>
      <c r="BB59" s="314">
        <f>IF(C59="","",IF(L59="N/A",0,VLOOKUP(L59,'COST - SELL'!$B$60:$I$63,8,0)))</f>
        <v>0</v>
      </c>
      <c r="BC59" s="313">
        <f t="shared" si="26"/>
        <v>0</v>
      </c>
      <c r="BD59" s="315">
        <f>IF(C59="","",IF(H59="C.O.M.",VLOOKUP(F59,'COST - SELL'!$J$11:$N$19,5,0),VLOOKUP(F59,'COST - SELL'!$B$11:$H$19,7,0)))</f>
        <v>18.900000000000002</v>
      </c>
      <c r="BE59" s="315">
        <f t="shared" si="27"/>
        <v>85.050000000000011</v>
      </c>
      <c r="BF59" s="313">
        <f t="shared" si="30"/>
        <v>594.25</v>
      </c>
      <c r="BG59" s="316">
        <f>IF(C59="","",IF(Q59="N/A",0,VLOOKUP(Q59,'COST - SELL'!$B$80:$I$91,8,0)*'FILL QUOTE-CALCULATIONS'!AX59))</f>
        <v>76.992753623188406</v>
      </c>
      <c r="BH59" s="316">
        <f>IF(C59="","",IF(S59="N/A",0,IF(AY59="N/A",0,INDEX('COST - SELL'!$O$70:$S$73,MATCH('FILL QUOTE-CALCULATIONS'!S59,'COST - SELL'!$O$70:$O$73,0),MATCH('FILL QUOTE-CALCULATIONS'!AY59,'COST - SELL'!$O$70:$S$70,0)))))</f>
        <v>15.3</v>
      </c>
      <c r="BI59" s="316">
        <f t="shared" si="28"/>
        <v>92.300000000000011</v>
      </c>
      <c r="BJ59" s="316">
        <f t="shared" si="29"/>
        <v>686.55</v>
      </c>
    </row>
    <row r="60" spans="2:62" x14ac:dyDescent="0.25">
      <c r="B60" s="231">
        <f t="shared" si="31"/>
        <v>46</v>
      </c>
      <c r="C60" s="180">
        <v>1</v>
      </c>
      <c r="D60" s="178" t="s">
        <v>298</v>
      </c>
      <c r="E60" s="179" t="s">
        <v>131</v>
      </c>
      <c r="F60" s="179" t="s">
        <v>136</v>
      </c>
      <c r="G60" s="671">
        <v>2</v>
      </c>
      <c r="H60" s="179" t="s">
        <v>187</v>
      </c>
      <c r="I60" s="905" t="s">
        <v>321</v>
      </c>
      <c r="J60" s="179" t="str">
        <f t="shared" si="36"/>
        <v/>
      </c>
      <c r="K60" s="672" t="s">
        <v>784</v>
      </c>
      <c r="L60" s="179" t="s">
        <v>122</v>
      </c>
      <c r="M60" s="672" t="s">
        <v>777</v>
      </c>
      <c r="N60" s="673">
        <v>100.5</v>
      </c>
      <c r="O60" s="673">
        <v>117.5</v>
      </c>
      <c r="P60" s="197" t="s">
        <v>287</v>
      </c>
      <c r="Q60" s="178" t="s">
        <v>736</v>
      </c>
      <c r="R60" s="176" t="s">
        <v>750</v>
      </c>
      <c r="S60" s="179" t="s">
        <v>289</v>
      </c>
      <c r="T60" s="894">
        <f t="shared" si="1"/>
        <v>594.25</v>
      </c>
      <c r="U60" s="668">
        <v>0.4</v>
      </c>
      <c r="V60" s="669">
        <v>0.5</v>
      </c>
      <c r="W60" s="895">
        <f t="shared" si="2"/>
        <v>92.7</v>
      </c>
      <c r="X60" s="694">
        <v>0.4</v>
      </c>
      <c r="Y60" s="690">
        <v>0.3</v>
      </c>
      <c r="Z60" s="667">
        <f t="shared" si="32"/>
        <v>412.17</v>
      </c>
      <c r="AA60" s="659">
        <f t="shared" si="33"/>
        <v>412.17</v>
      </c>
      <c r="AB60" s="894">
        <f t="shared" si="3"/>
        <v>686.95</v>
      </c>
      <c r="AC60" s="895">
        <f t="shared" si="34"/>
        <v>686.95</v>
      </c>
      <c r="AD60" s="181"/>
      <c r="AE60" s="882">
        <f t="shared" si="4"/>
        <v>12.5</v>
      </c>
      <c r="AF60" s="882">
        <f t="shared" si="5"/>
        <v>5.0250000000000004</v>
      </c>
      <c r="AG60" s="882">
        <f t="shared" si="6"/>
        <v>9</v>
      </c>
      <c r="AH60" s="883">
        <f t="shared" si="7"/>
        <v>8</v>
      </c>
      <c r="AI60" s="317">
        <f t="shared" si="8"/>
        <v>218.52500000000001</v>
      </c>
      <c r="AJ60" s="304">
        <f t="shared" si="9"/>
        <v>134.5</v>
      </c>
      <c r="AK60" s="304">
        <f t="shared" si="10"/>
        <v>54</v>
      </c>
      <c r="AL60" s="318" t="str">
        <f t="shared" si="11"/>
        <v>VERTICAL</v>
      </c>
      <c r="AM60" s="318">
        <f t="shared" si="12"/>
        <v>4.0467592592592592</v>
      </c>
      <c r="AN60" s="319">
        <f t="shared" si="13"/>
        <v>4.5</v>
      </c>
      <c r="AO60" s="319">
        <f t="shared" si="14"/>
        <v>4.5</v>
      </c>
      <c r="AP60" s="318">
        <f t="shared" si="15"/>
        <v>18.25</v>
      </c>
      <c r="AQ60" s="320">
        <f t="shared" si="16"/>
        <v>18.25</v>
      </c>
      <c r="AR60" s="306">
        <f t="shared" si="17"/>
        <v>219</v>
      </c>
      <c r="AS60" s="308">
        <f t="shared" si="18"/>
        <v>128.5</v>
      </c>
      <c r="AT60" s="308">
        <f t="shared" si="19"/>
        <v>54</v>
      </c>
      <c r="AU60" s="308" t="str">
        <f t="shared" si="20"/>
        <v>VERTICAL</v>
      </c>
      <c r="AV60" s="308">
        <f t="shared" si="21"/>
        <v>16.2</v>
      </c>
      <c r="AW60" s="310">
        <f t="shared" si="22"/>
        <v>16.2</v>
      </c>
      <c r="AX60" s="321">
        <f t="shared" si="23"/>
        <v>9.1032608695652169</v>
      </c>
      <c r="AY60" s="308">
        <f t="shared" si="37"/>
        <v>60</v>
      </c>
      <c r="AZ60" s="312">
        <f>IF(C60="","",IF(H60="STOCK",VLOOKUP(I60,'COST - SELL'!$B$26:$G$29,6,0),IF(H60="LINE-ATELIER",VLOOKUP(I60,'COST - SELL'!$J$26:$Q$29,8,0),IF(H60="LINE-VTLUX",VLOOKUP(I60,'COST - SELL'!$B$36:$I$51,8,0),0))))</f>
        <v>27.900000000000002</v>
      </c>
      <c r="BA60" s="313">
        <f t="shared" si="25"/>
        <v>509.17500000000001</v>
      </c>
      <c r="BB60" s="314">
        <f>IF(C60="","",IF(L60="N/A",0,VLOOKUP(L60,'COST - SELL'!$B$60:$I$63,8,0)))</f>
        <v>0</v>
      </c>
      <c r="BC60" s="313">
        <f t="shared" si="26"/>
        <v>0</v>
      </c>
      <c r="BD60" s="315">
        <f>IF(C60="","",IF(H60="C.O.M.",VLOOKUP(F60,'COST - SELL'!$J$11:$N$19,5,0),VLOOKUP(F60,'COST - SELL'!$B$11:$H$19,7,0)))</f>
        <v>18.900000000000002</v>
      </c>
      <c r="BE60" s="315">
        <f t="shared" si="27"/>
        <v>85.050000000000011</v>
      </c>
      <c r="BF60" s="313">
        <f t="shared" si="30"/>
        <v>594.25</v>
      </c>
      <c r="BG60" s="316">
        <f>IF(C60="","",IF(Q60="N/A",0,VLOOKUP(Q60,'COST - SELL'!$B$80:$I$91,8,0)*'FILL QUOTE-CALCULATIONS'!AX60))</f>
        <v>77.377717391304344</v>
      </c>
      <c r="BH60" s="316">
        <f>IF(C60="","",IF(S60="N/A",0,IF(AY60="N/A",0,INDEX('COST - SELL'!$O$70:$S$73,MATCH('FILL QUOTE-CALCULATIONS'!S60,'COST - SELL'!$O$70:$O$73,0),MATCH('FILL QUOTE-CALCULATIONS'!AY60,'COST - SELL'!$O$70:$S$70,0)))))</f>
        <v>15.3</v>
      </c>
      <c r="BI60" s="316">
        <f t="shared" si="28"/>
        <v>92.7</v>
      </c>
      <c r="BJ60" s="316">
        <f t="shared" si="29"/>
        <v>686.95</v>
      </c>
    </row>
    <row r="61" spans="2:62" x14ac:dyDescent="0.25">
      <c r="B61" s="231">
        <f t="shared" si="31"/>
        <v>47</v>
      </c>
      <c r="C61" s="180">
        <v>1</v>
      </c>
      <c r="D61" s="178" t="s">
        <v>298</v>
      </c>
      <c r="E61" s="179" t="s">
        <v>131</v>
      </c>
      <c r="F61" s="179" t="s">
        <v>136</v>
      </c>
      <c r="G61" s="671">
        <v>2</v>
      </c>
      <c r="H61" s="179" t="s">
        <v>187</v>
      </c>
      <c r="I61" s="905" t="s">
        <v>321</v>
      </c>
      <c r="J61" s="179" t="str">
        <f t="shared" si="36"/>
        <v/>
      </c>
      <c r="K61" s="672" t="s">
        <v>784</v>
      </c>
      <c r="L61" s="179" t="s">
        <v>122</v>
      </c>
      <c r="M61" s="672" t="s">
        <v>778</v>
      </c>
      <c r="N61" s="673">
        <v>126</v>
      </c>
      <c r="O61" s="673">
        <v>117.625</v>
      </c>
      <c r="P61" s="197" t="s">
        <v>287</v>
      </c>
      <c r="Q61" s="178" t="s">
        <v>736</v>
      </c>
      <c r="R61" s="176" t="s">
        <v>750</v>
      </c>
      <c r="S61" s="179" t="s">
        <v>289</v>
      </c>
      <c r="T61" s="894">
        <f t="shared" si="1"/>
        <v>724.75</v>
      </c>
      <c r="U61" s="668">
        <v>0.4</v>
      </c>
      <c r="V61" s="669">
        <v>0.5</v>
      </c>
      <c r="W61" s="895">
        <f t="shared" si="2"/>
        <v>112.35000000000001</v>
      </c>
      <c r="X61" s="694">
        <v>0.4</v>
      </c>
      <c r="Y61" s="690">
        <v>0.3</v>
      </c>
      <c r="Z61" s="667">
        <f t="shared" si="32"/>
        <v>502.26</v>
      </c>
      <c r="AA61" s="659">
        <f t="shared" si="33"/>
        <v>502.26</v>
      </c>
      <c r="AB61" s="894">
        <f t="shared" si="3"/>
        <v>837.1</v>
      </c>
      <c r="AC61" s="895">
        <f t="shared" si="34"/>
        <v>837.1</v>
      </c>
      <c r="AD61" s="181"/>
      <c r="AE61" s="882">
        <f t="shared" si="4"/>
        <v>12.5</v>
      </c>
      <c r="AF61" s="882">
        <f t="shared" si="5"/>
        <v>6.3000000000000007</v>
      </c>
      <c r="AG61" s="882">
        <f t="shared" si="6"/>
        <v>9</v>
      </c>
      <c r="AH61" s="883">
        <f t="shared" si="7"/>
        <v>8</v>
      </c>
      <c r="AI61" s="317">
        <f t="shared" si="8"/>
        <v>270.8</v>
      </c>
      <c r="AJ61" s="304">
        <f t="shared" si="9"/>
        <v>134.625</v>
      </c>
      <c r="AK61" s="304">
        <f t="shared" si="10"/>
        <v>54</v>
      </c>
      <c r="AL61" s="318" t="str">
        <f t="shared" si="11"/>
        <v>VERTICAL</v>
      </c>
      <c r="AM61" s="318">
        <f t="shared" si="12"/>
        <v>5.0148148148148151</v>
      </c>
      <c r="AN61" s="319">
        <f t="shared" si="13"/>
        <v>5.5</v>
      </c>
      <c r="AO61" s="319">
        <f t="shared" si="14"/>
        <v>5.5</v>
      </c>
      <c r="AP61" s="318">
        <f t="shared" si="15"/>
        <v>22.25</v>
      </c>
      <c r="AQ61" s="320">
        <f t="shared" si="16"/>
        <v>22.25</v>
      </c>
      <c r="AR61" s="306">
        <f t="shared" si="17"/>
        <v>271</v>
      </c>
      <c r="AS61" s="308">
        <f t="shared" si="18"/>
        <v>128.625</v>
      </c>
      <c r="AT61" s="308">
        <f t="shared" si="19"/>
        <v>54</v>
      </c>
      <c r="AU61" s="308" t="str">
        <f t="shared" si="20"/>
        <v>VERTICAL</v>
      </c>
      <c r="AV61" s="308">
        <f t="shared" si="21"/>
        <v>20</v>
      </c>
      <c r="AW61" s="310">
        <f t="shared" si="22"/>
        <v>20</v>
      </c>
      <c r="AX61" s="321">
        <f t="shared" si="23"/>
        <v>11.413043478260869</v>
      </c>
      <c r="AY61" s="308">
        <f t="shared" si="37"/>
        <v>60</v>
      </c>
      <c r="AZ61" s="312">
        <f>IF(C61="","",IF(H61="STOCK",VLOOKUP(I61,'COST - SELL'!$B$26:$G$29,6,0),IF(H61="LINE-ATELIER",VLOOKUP(I61,'COST - SELL'!$J$26:$Q$29,8,0),IF(H61="LINE-VTLUX",VLOOKUP(I61,'COST - SELL'!$B$36:$I$51,8,0),0))))</f>
        <v>27.900000000000002</v>
      </c>
      <c r="BA61" s="313">
        <f t="shared" si="25"/>
        <v>620.77500000000009</v>
      </c>
      <c r="BB61" s="314">
        <f>IF(C61="","",IF(L61="N/A",0,VLOOKUP(L61,'COST - SELL'!$B$60:$I$63,8,0)))</f>
        <v>0</v>
      </c>
      <c r="BC61" s="313">
        <f t="shared" si="26"/>
        <v>0</v>
      </c>
      <c r="BD61" s="315">
        <f>IF(C61="","",IF(H61="C.O.M.",VLOOKUP(F61,'COST - SELL'!$J$11:$N$19,5,0),VLOOKUP(F61,'COST - SELL'!$B$11:$H$19,7,0)))</f>
        <v>18.900000000000002</v>
      </c>
      <c r="BE61" s="315">
        <f t="shared" si="27"/>
        <v>103.95000000000002</v>
      </c>
      <c r="BF61" s="313">
        <f t="shared" si="30"/>
        <v>724.75</v>
      </c>
      <c r="BG61" s="316">
        <f>IF(C61="","",IF(Q61="N/A",0,VLOOKUP(Q61,'COST - SELL'!$B$80:$I$91,8,0)*'FILL QUOTE-CALCULATIONS'!AX61))</f>
        <v>97.010869565217391</v>
      </c>
      <c r="BH61" s="316">
        <f>IF(C61="","",IF(S61="N/A",0,IF(AY61="N/A",0,INDEX('COST - SELL'!$O$70:$S$73,MATCH('FILL QUOTE-CALCULATIONS'!S61,'COST - SELL'!$O$70:$O$73,0),MATCH('FILL QUOTE-CALCULATIONS'!AY61,'COST - SELL'!$O$70:$S$70,0)))))</f>
        <v>15.3</v>
      </c>
      <c r="BI61" s="316">
        <f t="shared" si="28"/>
        <v>112.35000000000001</v>
      </c>
      <c r="BJ61" s="316">
        <f t="shared" si="29"/>
        <v>837.1</v>
      </c>
    </row>
    <row r="62" spans="2:62" ht="15.75" thickBot="1" x14ac:dyDescent="0.3">
      <c r="B62" s="231">
        <f t="shared" si="31"/>
        <v>48</v>
      </c>
      <c r="C62" s="180"/>
      <c r="D62" s="178"/>
      <c r="E62" s="179"/>
      <c r="F62" s="179"/>
      <c r="G62" s="671"/>
      <c r="H62" s="179"/>
      <c r="I62" s="905"/>
      <c r="J62" s="179" t="str">
        <f t="shared" si="36"/>
        <v/>
      </c>
      <c r="K62" s="672"/>
      <c r="L62" s="179"/>
      <c r="M62" s="672"/>
      <c r="N62" s="673"/>
      <c r="O62" s="673"/>
      <c r="P62" s="197"/>
      <c r="Q62" s="178"/>
      <c r="R62" s="176"/>
      <c r="S62" s="179"/>
      <c r="T62" s="894">
        <f t="shared" si="1"/>
        <v>0</v>
      </c>
      <c r="U62" s="668">
        <v>0.4</v>
      </c>
      <c r="V62" s="669">
        <v>0.5</v>
      </c>
      <c r="W62" s="895" t="str">
        <f t="shared" si="2"/>
        <v/>
      </c>
      <c r="X62" s="694">
        <v>0.4</v>
      </c>
      <c r="Y62" s="690">
        <v>0.3</v>
      </c>
      <c r="Z62" s="667">
        <f t="shared" si="32"/>
        <v>0</v>
      </c>
      <c r="AA62" s="659">
        <f t="shared" si="33"/>
        <v>0</v>
      </c>
      <c r="AB62" s="894">
        <f t="shared" si="3"/>
        <v>0</v>
      </c>
      <c r="AC62" s="895">
        <f t="shared" si="34"/>
        <v>0</v>
      </c>
      <c r="AD62" s="181"/>
      <c r="AE62" s="882" t="str">
        <f t="shared" si="4"/>
        <v/>
      </c>
      <c r="AF62" s="882" t="str">
        <f t="shared" si="5"/>
        <v/>
      </c>
      <c r="AG62" s="882" t="str">
        <f t="shared" si="6"/>
        <v/>
      </c>
      <c r="AH62" s="883" t="str">
        <f t="shared" si="7"/>
        <v/>
      </c>
      <c r="AI62" s="317" t="str">
        <f t="shared" si="8"/>
        <v/>
      </c>
      <c r="AJ62" s="304" t="str">
        <f t="shared" si="9"/>
        <v/>
      </c>
      <c r="AK62" s="304" t="str">
        <f t="shared" si="10"/>
        <v/>
      </c>
      <c r="AL62" s="318" t="str">
        <f t="shared" si="11"/>
        <v/>
      </c>
      <c r="AM62" s="318" t="str">
        <f t="shared" si="12"/>
        <v/>
      </c>
      <c r="AN62" s="319" t="str">
        <f t="shared" si="13"/>
        <v/>
      </c>
      <c r="AO62" s="319" t="str">
        <f t="shared" si="14"/>
        <v/>
      </c>
      <c r="AP62" s="318" t="str">
        <f t="shared" si="15"/>
        <v/>
      </c>
      <c r="AQ62" s="320" t="str">
        <f t="shared" si="16"/>
        <v/>
      </c>
      <c r="AR62" s="306" t="str">
        <f t="shared" si="17"/>
        <v/>
      </c>
      <c r="AS62" s="308" t="str">
        <f t="shared" si="18"/>
        <v/>
      </c>
      <c r="AT62" s="308" t="str">
        <f t="shared" si="19"/>
        <v/>
      </c>
      <c r="AU62" s="308" t="str">
        <f t="shared" si="20"/>
        <v/>
      </c>
      <c r="AV62" s="308" t="str">
        <f t="shared" si="21"/>
        <v/>
      </c>
      <c r="AW62" s="310" t="str">
        <f t="shared" si="22"/>
        <v/>
      </c>
      <c r="AX62" s="321" t="str">
        <f t="shared" si="23"/>
        <v/>
      </c>
      <c r="AY62" s="308" t="str">
        <f t="shared" si="37"/>
        <v/>
      </c>
      <c r="AZ62" s="312" t="str">
        <f>IF(C62="","",IF(H62="STOCK",VLOOKUP(I62,'COST - SELL'!$B$26:$G$29,6,0),IF(H62="LINE-ATELIER",VLOOKUP(I62,'COST - SELL'!$J$26:$Q$29,8,0),IF(H62="LINE-VTLUX",VLOOKUP(I62,'COST - SELL'!$B$36:$I$51,8,0),0))))</f>
        <v/>
      </c>
      <c r="BA62" s="313" t="str">
        <f t="shared" si="25"/>
        <v/>
      </c>
      <c r="BB62" s="314" t="str">
        <f>IF(C62="","",IF(L62="N/A",0,VLOOKUP(L62,'COST - SELL'!$B$60:$I$63,8,0)))</f>
        <v/>
      </c>
      <c r="BC62" s="313" t="str">
        <f t="shared" si="26"/>
        <v/>
      </c>
      <c r="BD62" s="315" t="str">
        <f>IF(C62="","",IF(H62="C.O.M.",VLOOKUP(F62,'COST - SELL'!$J$11:$N$19,5,0),VLOOKUP(F62,'COST - SELL'!$B$11:$H$19,7,0)))</f>
        <v/>
      </c>
      <c r="BE62" s="315" t="str">
        <f t="shared" si="27"/>
        <v/>
      </c>
      <c r="BF62" s="313" t="str">
        <f t="shared" si="30"/>
        <v/>
      </c>
      <c r="BG62" s="316" t="str">
        <f>IF(C62="","",IF(Q62="N/A",0,VLOOKUP(Q62,'COST - SELL'!$B$80:$I$91,8,0)*'FILL QUOTE-CALCULATIONS'!AX62))</f>
        <v/>
      </c>
      <c r="BH62" s="316" t="str">
        <f>IF(C62="","",IF(S62="N/A",0,IF(AY62="N/A",0,INDEX('COST - SELL'!$O$70:$S$73,MATCH('FILL QUOTE-CALCULATIONS'!S62,'COST - SELL'!$O$70:$O$73,0),MATCH('FILL QUOTE-CALCULATIONS'!AY62,'COST - SELL'!$O$70:$S$70,0)))))</f>
        <v/>
      </c>
      <c r="BI62" s="316" t="str">
        <f t="shared" si="28"/>
        <v/>
      </c>
      <c r="BJ62" s="316" t="str">
        <f t="shared" si="29"/>
        <v/>
      </c>
    </row>
    <row r="63" spans="2:62" ht="15.75" thickBot="1" x14ac:dyDescent="0.3">
      <c r="B63" s="232" t="str">
        <f>IF('FILL QUOTE-CALCULATIONS'!S4="INGLES","ITEM","ART.")</f>
        <v>ART.</v>
      </c>
      <c r="C63" s="410" t="str">
        <f>IF('FILL QUOTE-CALCULATIONS'!S4="INGLES","QTY.","CANT.")</f>
        <v>CANT.</v>
      </c>
      <c r="D63" s="914" t="str">
        <f>IF('FILL QUOTE-CALCULATIONS'!S4="INGLES","DESCRIPTION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233"/>
      <c r="AC63" s="234"/>
      <c r="AD63" s="181"/>
    </row>
    <row r="64" spans="2:62" ht="18.75" x14ac:dyDescent="0.25">
      <c r="B64" s="235">
        <v>1</v>
      </c>
      <c r="C64" s="193">
        <v>1</v>
      </c>
      <c r="D64" s="236" t="s">
        <v>786</v>
      </c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8">
        <v>1214.96</v>
      </c>
      <c r="AC64" s="896">
        <f>IF(C64="","",IF($S$3="PESOS",C64*AB64*$AC$4,C64*AB64))</f>
        <v>1214.96</v>
      </c>
      <c r="AD64" s="181"/>
    </row>
    <row r="65" spans="2:35" ht="18.75" x14ac:dyDescent="0.25">
      <c r="B65" s="231">
        <f t="shared" ref="B65:B67" si="38">1+B64</f>
        <v>2</v>
      </c>
      <c r="C65" s="180"/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1"/>
      <c r="AC65" s="897" t="str">
        <f>IF(C65="","",IF($S$3="PESOS",C65*AB65*$AC$4,C65*AB65))</f>
        <v/>
      </c>
      <c r="AD65" s="181"/>
      <c r="AF65" s="222"/>
    </row>
    <row r="66" spans="2:35" ht="18.75" x14ac:dyDescent="0.25">
      <c r="B66" s="231">
        <f t="shared" si="38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1"/>
      <c r="AC66" s="897" t="str">
        <f t="shared" ref="AC66:AC67" si="39">IF(C66="","",IF($S$3="PESOS",C66*AB66*$AC$4,C66*AB66))</f>
        <v/>
      </c>
      <c r="AD66" s="181"/>
      <c r="AF66" s="222"/>
    </row>
    <row r="67" spans="2:35" ht="19.5" thickBot="1" x14ac:dyDescent="0.3">
      <c r="B67" s="242">
        <f t="shared" si="38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5"/>
      <c r="AC67" s="898" t="str">
        <f t="shared" si="39"/>
        <v/>
      </c>
      <c r="AD67" s="181"/>
    </row>
    <row r="68" spans="2:35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7"/>
      <c r="V68" s="247"/>
      <c r="W68" s="248"/>
      <c r="X68" s="247"/>
      <c r="Y68" s="247"/>
      <c r="Z68" s="247"/>
      <c r="AA68" s="247"/>
      <c r="AC68" s="265"/>
      <c r="AD68" s="181"/>
    </row>
    <row r="69" spans="2:35" ht="19.5" thickBot="1" x14ac:dyDescent="0.35">
      <c r="B69" s="175" t="str">
        <f>IF(S3="DOLLARS",AJ3,AQ3)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1" t="s">
        <v>221</v>
      </c>
      <c r="AC69" s="899">
        <f>SUM(AC15:AC62)</f>
        <v>25311.600000000002</v>
      </c>
      <c r="AD69" s="181"/>
      <c r="AE69" s="884" t="str">
        <f>S3</f>
        <v>DOLLARS</v>
      </c>
      <c r="AF69" s="885" t="str">
        <f>IF(S4="INGLES","CURRENCY TYPE","TIPO DE MONEDA")</f>
        <v>TIPO DE MONEDA</v>
      </c>
      <c r="AG69" s="886"/>
    </row>
    <row r="70" spans="2:35" ht="19.5" thickBot="1" x14ac:dyDescent="0.3">
      <c r="B70" s="175" t="str">
        <f>IF(W5="DOLLARS",AJ4,AQ4)</f>
        <v>50% de anticipo es requerido para comenzar la produccion</v>
      </c>
      <c r="Q70" s="252"/>
      <c r="R70" s="252"/>
      <c r="T70" s="253"/>
      <c r="U70" s="254"/>
      <c r="V70" s="254"/>
      <c r="W70" s="254"/>
      <c r="X70" s="254"/>
      <c r="Y70" s="254"/>
      <c r="Z70" s="254"/>
      <c r="AA70" s="254"/>
      <c r="AB70" s="255" t="str">
        <f>IF(S4="INGLES","PERCENTAGE DISCOUNT (%) =","DESCUENTO EN PORCENTAJE (%) =")</f>
        <v>DESCUENTO EN PORCENTAJE (%) =</v>
      </c>
      <c r="AC70" s="900">
        <f>AC71/AC69</f>
        <v>0.4</v>
      </c>
      <c r="AD70" s="181"/>
      <c r="AE70" s="887">
        <f>AC4</f>
        <v>20</v>
      </c>
      <c r="AF70" s="885" t="s">
        <v>222</v>
      </c>
      <c r="AG70" s="886"/>
    </row>
    <row r="71" spans="2:35" ht="18.75" x14ac:dyDescent="0.25">
      <c r="B71" s="175" t="str">
        <f>IF(T6="DOLLARS",AJ5,AQ5)</f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5" t="str">
        <f>IF(S4="INGLES","MONEY DISCOUNT ( $) =","DESCUENTO EN DINERO ($) =")</f>
        <v>DESCUENTO EN DINERO ($) =</v>
      </c>
      <c r="AC71" s="901">
        <f>SUM(AC15:AC62)-SUM(AA15:AA62)</f>
        <v>10124.640000000001</v>
      </c>
      <c r="AD71" s="181"/>
    </row>
    <row r="72" spans="2:35" ht="18.75" x14ac:dyDescent="0.25">
      <c r="B72" s="175" t="str">
        <f>IF(T7="DOLLARS",AJ6,AQ6)</f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5" t="str">
        <f>IF(S4="INGLES","ADDITIONAL SERVICES=","SERVICIOS ADICIONALES=")</f>
        <v>SERVICIOS ADICIONALES=</v>
      </c>
      <c r="AC72" s="902">
        <f>SUM(AC64:AC67)</f>
        <v>1214.96</v>
      </c>
      <c r="AD72" s="181"/>
    </row>
    <row r="73" spans="2:35" ht="21.75" thickBot="1" x14ac:dyDescent="0.3">
      <c r="B73" s="175" t="str">
        <f>IF(T8="DOLLARS",AJ7,AQ7)</f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60" t="str">
        <f>IF(S4="INGLES","GRAND TOTAL =","GRAN TOTAL =")</f>
        <v>GRAN TOTAL =</v>
      </c>
      <c r="AC73" s="903">
        <f>(AC69-AC71)+AC72</f>
        <v>16401.920000000002</v>
      </c>
      <c r="AD73" s="181"/>
      <c r="AI73" s="284"/>
    </row>
    <row r="74" spans="2:35" ht="18.75" x14ac:dyDescent="0.3">
      <c r="B74" s="175" t="str">
        <f>IF(T9="DOLLARS",AJ8,AQ8)</f>
        <v>En integracion a sistemas inteligentes, un tecnico debe de evaluar las condiciones para asegurar un correcto funcionamiento</v>
      </c>
      <c r="AC74" s="904" t="str">
        <f>IF(S3="PESOS","M.N. (Pesos)","USD (Dollars)")</f>
        <v>USD (Dollars)</v>
      </c>
      <c r="AD74" s="181"/>
      <c r="AI74" s="284"/>
    </row>
    <row r="75" spans="2:35" x14ac:dyDescent="0.25">
      <c r="B75" s="175" t="str">
        <f>IF(T10="DOLLARS",AJ9,AQ9)</f>
        <v>Los precios son en:</v>
      </c>
      <c r="D75" s="175" t="str">
        <f>IF(S3="DOLLARS","U.S. Dollars","Moneda Nacional (Pesos)")</f>
        <v>U.S. Dollars</v>
      </c>
      <c r="AD75" s="181"/>
    </row>
    <row r="76" spans="2:35" ht="18.75" x14ac:dyDescent="0.3">
      <c r="AA76" s="262" t="str">
        <f>IF(S4="INGLES","Quoted by:","Cotizado por:")</f>
        <v>Cotizado por:</v>
      </c>
      <c r="AB76" s="263" t="s">
        <v>749</v>
      </c>
      <c r="AC76" s="264"/>
      <c r="AD76" s="181"/>
    </row>
    <row r="77" spans="2:35" x14ac:dyDescent="0.25">
      <c r="AA77" s="222"/>
      <c r="AC77" s="222"/>
      <c r="AD77" s="181"/>
    </row>
    <row r="78" spans="2:35" x14ac:dyDescent="0.25">
      <c r="AC78" s="222"/>
    </row>
    <row r="79" spans="2:35" x14ac:dyDescent="0.25">
      <c r="AC79" s="663"/>
    </row>
    <row r="105" spans="6:6" x14ac:dyDescent="0.25">
      <c r="F105" s="177"/>
    </row>
  </sheetData>
  <dataConsolidate/>
  <mergeCells count="7">
    <mergeCell ref="AX12:AY12"/>
    <mergeCell ref="AR12:AW12"/>
    <mergeCell ref="D63:S63"/>
    <mergeCell ref="B12:O12"/>
    <mergeCell ref="P12:S12"/>
    <mergeCell ref="AE12:AH12"/>
    <mergeCell ref="AB12:AC12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1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1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1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1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1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1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1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1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100-00000B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100-000008000000}">
          <x14:formula1>
            <xm:f>'DROP LIST'!$P$16:$P$25</xm:f>
          </x14:formula1>
          <xm:sqref>X15:X62 U15:U62</xm:sqref>
        </x14:dataValidation>
        <x14:dataValidation type="list" allowBlank="1" showInputMessage="1" showErrorMessage="1" xr:uid="{0DFE3111-E5D6-4486-ABB3-8647E7FA927C}">
          <x14:formula1>
            <xm:f>'DROP LIST'!$F$36:$F$38</xm:f>
          </x14:formula1>
          <xm:sqref>L4</xm:sqref>
        </x14:dataValidation>
        <x14:dataValidation type="list" allowBlank="1" showInputMessage="1" showErrorMessage="1" xr:uid="{9075C25A-82B6-4F56-B5A3-D58DB3B4BF28}">
          <x14:formula1>
            <xm:f>'DROP LIST'!$Q$16:$Q$25</xm:f>
          </x14:formula1>
          <xm:sqref>V15:W62 Y15:Y62</xm:sqref>
        </x14:dataValidation>
        <x14:dataValidation type="list" allowBlank="1" showInputMessage="1" showErrorMessage="1" xr:uid="{00000000-0002-0000-0100-00000A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23BCACC0-95FA-4D64-B42A-1BFAA70BA737}">
          <x14:formula1>
            <xm:f>'DROP LIST'!$H$25:$H$37</xm:f>
          </x14:formula1>
          <xm:sqref>Q15:Q62</xm:sqref>
        </x14:dataValidation>
        <x14:dataValidation type="list" allowBlank="1" showInputMessage="1" showErrorMessage="1" xr:uid="{00000000-0002-0000-0100-00000C000000}">
          <x14:formula1>
            <xm:f>'DROP LIST'!$P$11:$P$12</xm:f>
          </x14:formula1>
          <xm:sqref>S3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35C27-68EC-47EE-B046-C2D2A3B375F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8BF42-7DA1-4182-820C-B7EDD93C06CF}">
  <sheetPr codeName="Sheet4">
    <tabColor theme="9" tint="-0.249977111117893"/>
  </sheetPr>
  <dimension ref="B1:W100"/>
  <sheetViews>
    <sheetView topLeftCell="AA101" workbookViewId="0">
      <selection activeCell="AH126" sqref="AH126"/>
    </sheetView>
  </sheetViews>
  <sheetFormatPr defaultRowHeight="15" x14ac:dyDescent="0.25"/>
  <cols>
    <col min="1" max="2" width="0" hidden="1" customWidth="1"/>
    <col min="3" max="3" width="38.85546875" hidden="1" customWidth="1"/>
    <col min="4" max="6" width="14.5703125" hidden="1" customWidth="1"/>
    <col min="7" max="7" width="3.5703125" hidden="1" customWidth="1"/>
    <col min="8" max="8" width="23.28515625" hidden="1" customWidth="1"/>
    <col min="9" max="9" width="12" hidden="1" customWidth="1"/>
    <col min="10" max="21" width="10.7109375" hidden="1" customWidth="1"/>
    <col min="22" max="22" width="0" hidden="1" customWidth="1"/>
    <col min="23" max="23" width="11.7109375" hidden="1" customWidth="1"/>
    <col min="24" max="26" width="0" hidden="1" customWidth="1"/>
  </cols>
  <sheetData>
    <row r="1" spans="2:19" hidden="1" x14ac:dyDescent="0.25"/>
    <row r="2" spans="2:19" ht="15.75" hidden="1" thickBot="1" x14ac:dyDescent="0.3"/>
    <row r="3" spans="2:19" ht="29.25" hidden="1" thickBot="1" x14ac:dyDescent="0.5">
      <c r="C3" s="925" t="s">
        <v>713</v>
      </c>
      <c r="D3" s="926"/>
      <c r="E3" s="926"/>
      <c r="F3" s="927"/>
      <c r="H3" s="652">
        <f>'COST - SELL'!C2</f>
        <v>44767</v>
      </c>
      <c r="I3" s="625" t="s">
        <v>715</v>
      </c>
      <c r="J3" s="633">
        <v>0.4</v>
      </c>
      <c r="K3" s="651">
        <v>0.41499999999999998</v>
      </c>
      <c r="L3" s="633">
        <v>0.5</v>
      </c>
      <c r="M3" s="633">
        <v>0.55500000000000005</v>
      </c>
      <c r="N3" s="633">
        <v>0.6</v>
      </c>
      <c r="O3" s="633">
        <v>0.61499999999999999</v>
      </c>
      <c r="P3" s="633">
        <v>0.625</v>
      </c>
      <c r="Q3" s="633">
        <v>0.63600000000000001</v>
      </c>
      <c r="R3" s="633">
        <v>0.66669999999999996</v>
      </c>
      <c r="S3" s="633">
        <v>0.7</v>
      </c>
    </row>
    <row r="4" spans="2:19" ht="16.5" hidden="1" thickBot="1" x14ac:dyDescent="0.3">
      <c r="I4" s="628">
        <v>100</v>
      </c>
      <c r="J4" s="629">
        <f>$I4/(1-J3)</f>
        <v>166.66666666666669</v>
      </c>
      <c r="K4" s="629">
        <f t="shared" ref="K4:S4" si="0">$I4/(1-K3)</f>
        <v>170.94017094017096</v>
      </c>
      <c r="L4" s="629">
        <f t="shared" si="0"/>
        <v>200</v>
      </c>
      <c r="M4" s="629">
        <f t="shared" si="0"/>
        <v>224.71910112359552</v>
      </c>
      <c r="N4" s="629">
        <f t="shared" si="0"/>
        <v>250</v>
      </c>
      <c r="O4" s="629">
        <f t="shared" si="0"/>
        <v>259.74025974025972</v>
      </c>
      <c r="P4" s="629">
        <f>$I4/(1-P3)</f>
        <v>266.66666666666669</v>
      </c>
      <c r="Q4" s="629">
        <f>$I4/(1-Q3)</f>
        <v>274.72527472527474</v>
      </c>
      <c r="R4" s="629">
        <f t="shared" si="0"/>
        <v>300.03000300029998</v>
      </c>
      <c r="S4" s="629">
        <f t="shared" si="0"/>
        <v>333.33333333333326</v>
      </c>
    </row>
    <row r="5" spans="2:19" ht="42.75" hidden="1" thickBot="1" x14ac:dyDescent="0.3">
      <c r="C5" s="333"/>
      <c r="D5" s="334" t="s">
        <v>77</v>
      </c>
      <c r="E5" s="335" t="s">
        <v>174</v>
      </c>
      <c r="F5" s="336" t="s">
        <v>175</v>
      </c>
      <c r="I5" s="626" t="s">
        <v>714</v>
      </c>
      <c r="J5" s="627">
        <f>J4/$I$4</f>
        <v>1.666666666666667</v>
      </c>
      <c r="K5" s="650">
        <f t="shared" ref="K5:S5" si="1">K4/$I$4</f>
        <v>1.7094017094017095</v>
      </c>
      <c r="L5" s="627">
        <f t="shared" si="1"/>
        <v>2</v>
      </c>
      <c r="M5" s="627">
        <f t="shared" si="1"/>
        <v>2.2471910112359552</v>
      </c>
      <c r="N5" s="627">
        <f t="shared" si="1"/>
        <v>2.5</v>
      </c>
      <c r="O5" s="627">
        <f t="shared" si="1"/>
        <v>2.5974025974025974</v>
      </c>
      <c r="P5" s="627">
        <f t="shared" si="1"/>
        <v>2.666666666666667</v>
      </c>
      <c r="Q5" s="627">
        <f>Q4/$I$4</f>
        <v>2.7472527472527473</v>
      </c>
      <c r="R5" s="627">
        <f>R4/$I$4</f>
        <v>3.0003000300029998</v>
      </c>
      <c r="S5" s="627">
        <f t="shared" si="1"/>
        <v>3.3333333333333326</v>
      </c>
    </row>
    <row r="6" spans="2:19" ht="19.5" hidden="1" thickBot="1" x14ac:dyDescent="0.3">
      <c r="C6" s="265"/>
      <c r="D6" s="635" t="s">
        <v>172</v>
      </c>
      <c r="E6" s="636" t="s">
        <v>172</v>
      </c>
      <c r="F6" s="637" t="s">
        <v>172</v>
      </c>
    </row>
    <row r="7" spans="2:19" s="583" customFormat="1" ht="20.100000000000001" hidden="1" customHeight="1" x14ac:dyDescent="0.25">
      <c r="C7" s="582" t="s">
        <v>198</v>
      </c>
      <c r="D7" s="687">
        <v>0.45</v>
      </c>
      <c r="E7" s="642">
        <v>0.4</v>
      </c>
      <c r="F7" s="643">
        <v>0.3</v>
      </c>
      <c r="J7" s="633">
        <v>0.71399999999999997</v>
      </c>
      <c r="K7" s="633">
        <v>0.73299999999999998</v>
      </c>
      <c r="L7" s="633">
        <v>0.75</v>
      </c>
      <c r="M7" s="630">
        <v>0.77700000000000002</v>
      </c>
      <c r="N7" s="630">
        <v>0.8</v>
      </c>
      <c r="O7" s="630">
        <v>0.83499999999999996</v>
      </c>
      <c r="P7" s="639">
        <v>0.85699999999999998</v>
      </c>
      <c r="Q7" s="639">
        <v>0.86670000000000003</v>
      </c>
      <c r="R7" s="639">
        <v>0.88249999999999995</v>
      </c>
      <c r="S7" s="630">
        <v>0.9</v>
      </c>
    </row>
    <row r="8" spans="2:19" s="583" customFormat="1" ht="20.100000000000001" hidden="1" customHeight="1" thickBot="1" x14ac:dyDescent="0.3">
      <c r="C8" s="584" t="s">
        <v>199</v>
      </c>
      <c r="D8" s="645">
        <v>0.7</v>
      </c>
      <c r="E8" s="585">
        <v>0.4</v>
      </c>
      <c r="F8" s="586">
        <v>0.3</v>
      </c>
      <c r="J8" s="629">
        <f t="shared" ref="J8:S8" si="2">$I4/(1-J7)</f>
        <v>349.6503496503496</v>
      </c>
      <c r="K8" s="631">
        <f t="shared" si="2"/>
        <v>374.53183520599248</v>
      </c>
      <c r="L8" s="631">
        <f t="shared" si="2"/>
        <v>400</v>
      </c>
      <c r="M8" s="631">
        <f t="shared" si="2"/>
        <v>448.43049327354265</v>
      </c>
      <c r="N8" s="631">
        <f t="shared" si="2"/>
        <v>500.00000000000011</v>
      </c>
      <c r="O8" s="631">
        <f t="shared" si="2"/>
        <v>606.06060606060589</v>
      </c>
      <c r="P8" s="631">
        <f t="shared" si="2"/>
        <v>699.30069930069919</v>
      </c>
      <c r="Q8" s="631">
        <f t="shared" si="2"/>
        <v>750.18754688672186</v>
      </c>
      <c r="R8" s="631">
        <f t="shared" si="2"/>
        <v>851.06382978723366</v>
      </c>
      <c r="S8" s="631">
        <f t="shared" si="2"/>
        <v>1000.0000000000002</v>
      </c>
    </row>
    <row r="9" spans="2:19" s="583" customFormat="1" ht="20.100000000000001" hidden="1" customHeight="1" thickBot="1" x14ac:dyDescent="0.3">
      <c r="C9" s="584" t="s">
        <v>703</v>
      </c>
      <c r="D9" s="645">
        <v>0.6</v>
      </c>
      <c r="E9" s="585">
        <v>0.4</v>
      </c>
      <c r="F9" s="586">
        <v>0.3</v>
      </c>
      <c r="J9" s="627">
        <f t="shared" ref="J9:S9" si="3">J8/$I$4</f>
        <v>3.4965034965034958</v>
      </c>
      <c r="K9" s="632">
        <f t="shared" si="3"/>
        <v>3.7453183520599249</v>
      </c>
      <c r="L9" s="632">
        <f t="shared" si="3"/>
        <v>4</v>
      </c>
      <c r="M9" s="632">
        <f t="shared" si="3"/>
        <v>4.4843049327354265</v>
      </c>
      <c r="N9" s="632">
        <f t="shared" si="3"/>
        <v>5.0000000000000009</v>
      </c>
      <c r="O9" s="632">
        <f t="shared" si="3"/>
        <v>6.0606060606060588</v>
      </c>
      <c r="P9" s="632">
        <f t="shared" si="3"/>
        <v>6.9930069930069916</v>
      </c>
      <c r="Q9" s="632">
        <f t="shared" si="3"/>
        <v>7.5018754688672189</v>
      </c>
      <c r="R9" s="632">
        <f t="shared" si="3"/>
        <v>8.5106382978723367</v>
      </c>
      <c r="S9" s="632">
        <f t="shared" si="3"/>
        <v>10.000000000000002</v>
      </c>
    </row>
    <row r="10" spans="2:19" s="583" customFormat="1" ht="20.100000000000001" hidden="1" customHeight="1" x14ac:dyDescent="0.25">
      <c r="C10" s="584" t="s">
        <v>704</v>
      </c>
      <c r="D10" s="644">
        <v>0.61499999999999999</v>
      </c>
      <c r="E10" s="642">
        <f>E7</f>
        <v>0.4</v>
      </c>
      <c r="F10" s="643">
        <f>F7</f>
        <v>0.3</v>
      </c>
    </row>
    <row r="11" spans="2:19" s="583" customFormat="1" ht="20.100000000000001" hidden="1" customHeight="1" x14ac:dyDescent="0.25">
      <c r="C11" s="584" t="s">
        <v>156</v>
      </c>
      <c r="D11" s="645">
        <v>0.5</v>
      </c>
      <c r="E11" s="585">
        <v>0.4</v>
      </c>
      <c r="F11" s="586">
        <v>0.3</v>
      </c>
    </row>
    <row r="12" spans="2:19" s="583" customFormat="1" ht="20.100000000000001" hidden="1" customHeight="1" thickBot="1" x14ac:dyDescent="0.3">
      <c r="C12" s="606" t="s">
        <v>197</v>
      </c>
      <c r="D12" s="646">
        <v>0.5</v>
      </c>
      <c r="E12" s="638">
        <v>0.4</v>
      </c>
      <c r="F12" s="587">
        <v>0.3</v>
      </c>
    </row>
    <row r="13" spans="2:19" s="583" customFormat="1" ht="20.100000000000001" hidden="1" customHeight="1" x14ac:dyDescent="0.25">
      <c r="B13" s="922" t="s">
        <v>706</v>
      </c>
      <c r="C13" s="593" t="s">
        <v>736</v>
      </c>
      <c r="D13" s="647">
        <v>0.45</v>
      </c>
      <c r="E13" s="613">
        <v>0.4</v>
      </c>
      <c r="F13" s="614">
        <v>0.3</v>
      </c>
      <c r="H13" s="653" t="s">
        <v>719</v>
      </c>
      <c r="K13" s="640"/>
    </row>
    <row r="14" spans="2:19" s="583" customFormat="1" ht="20.100000000000001" hidden="1" customHeight="1" x14ac:dyDescent="0.25">
      <c r="B14" s="923"/>
      <c r="C14" s="423" t="s">
        <v>737</v>
      </c>
      <c r="D14" s="680">
        <v>0.4</v>
      </c>
      <c r="E14" s="681">
        <v>0.4</v>
      </c>
      <c r="F14" s="682">
        <v>0.3</v>
      </c>
      <c r="H14" s="653"/>
      <c r="K14" s="640"/>
    </row>
    <row r="15" spans="2:19" ht="20.100000000000001" hidden="1" customHeight="1" x14ac:dyDescent="0.25">
      <c r="B15" s="923"/>
      <c r="C15" s="426" t="s">
        <v>740</v>
      </c>
      <c r="D15" s="683">
        <v>0.5</v>
      </c>
      <c r="E15" s="615">
        <v>0.4</v>
      </c>
      <c r="F15" s="616">
        <v>0.3</v>
      </c>
      <c r="G15" s="583"/>
      <c r="H15" s="654">
        <v>0.5</v>
      </c>
      <c r="I15" s="583" t="s">
        <v>720</v>
      </c>
      <c r="J15" s="583"/>
      <c r="K15" s="583"/>
      <c r="L15" s="583"/>
      <c r="M15" s="583"/>
    </row>
    <row r="16" spans="2:19" ht="20.100000000000001" hidden="1" customHeight="1" x14ac:dyDescent="0.25">
      <c r="B16" s="923"/>
      <c r="C16" s="426" t="s">
        <v>741</v>
      </c>
      <c r="D16" s="683">
        <v>0.5</v>
      </c>
      <c r="E16" s="615">
        <v>0.4</v>
      </c>
      <c r="F16" s="616">
        <v>0.3</v>
      </c>
      <c r="G16" s="583"/>
      <c r="H16" s="654"/>
      <c r="I16" s="583"/>
      <c r="J16" s="583"/>
      <c r="K16" s="583"/>
      <c r="L16" s="583"/>
      <c r="M16" s="583"/>
    </row>
    <row r="17" spans="2:13" ht="20.100000000000001" hidden="1" customHeight="1" x14ac:dyDescent="0.25">
      <c r="B17" s="923"/>
      <c r="C17" s="426" t="s">
        <v>280</v>
      </c>
      <c r="D17" s="655">
        <v>0.61499999999999999</v>
      </c>
      <c r="E17" s="615">
        <v>0.4</v>
      </c>
      <c r="F17" s="616">
        <v>0.3</v>
      </c>
      <c r="G17" s="583"/>
      <c r="H17" s="653"/>
      <c r="I17" s="583"/>
      <c r="J17" s="583"/>
      <c r="K17" s="583"/>
      <c r="L17" s="583"/>
      <c r="M17" s="583"/>
    </row>
    <row r="18" spans="2:13" ht="20.100000000000001" hidden="1" customHeight="1" x14ac:dyDescent="0.25">
      <c r="B18" s="923"/>
      <c r="C18" s="426" t="s">
        <v>342</v>
      </c>
      <c r="D18" s="684">
        <f>83.5%-0.035-0.05</f>
        <v>0.74999999999999989</v>
      </c>
      <c r="E18" s="615">
        <v>0.4</v>
      </c>
      <c r="F18" s="616">
        <v>0.3</v>
      </c>
      <c r="G18" s="583"/>
      <c r="H18" s="654">
        <v>0.3</v>
      </c>
      <c r="I18" s="583" t="s">
        <v>721</v>
      </c>
      <c r="J18" s="583"/>
      <c r="K18" s="640"/>
      <c r="L18" s="583"/>
      <c r="M18" s="583"/>
    </row>
    <row r="19" spans="2:13" ht="20.100000000000001" hidden="1" customHeight="1" x14ac:dyDescent="0.25">
      <c r="B19" s="923"/>
      <c r="C19" s="604" t="s">
        <v>340</v>
      </c>
      <c r="D19" s="655">
        <v>0.5</v>
      </c>
      <c r="E19" s="615">
        <v>0.4</v>
      </c>
      <c r="F19" s="616">
        <v>0.3</v>
      </c>
      <c r="G19" s="583"/>
      <c r="H19" s="583"/>
      <c r="I19" s="583"/>
      <c r="J19" s="583"/>
      <c r="K19" s="583"/>
      <c r="L19" s="583"/>
      <c r="M19" s="583"/>
    </row>
    <row r="20" spans="2:13" ht="20.100000000000001" hidden="1" customHeight="1" x14ac:dyDescent="0.25">
      <c r="B20" s="923"/>
      <c r="C20" s="426" t="s">
        <v>277</v>
      </c>
      <c r="D20" s="655">
        <v>0.5</v>
      </c>
      <c r="E20" s="615">
        <v>0.4</v>
      </c>
      <c r="F20" s="616">
        <v>0.3</v>
      </c>
      <c r="G20" s="583"/>
      <c r="H20" s="654">
        <v>0.1</v>
      </c>
      <c r="I20" s="583" t="s">
        <v>722</v>
      </c>
      <c r="J20" s="583"/>
      <c r="K20" s="583"/>
      <c r="L20" s="583"/>
      <c r="M20" s="583"/>
    </row>
    <row r="21" spans="2:13" ht="20.100000000000001" hidden="1" customHeight="1" x14ac:dyDescent="0.25">
      <c r="B21" s="923"/>
      <c r="C21" s="426" t="s">
        <v>284</v>
      </c>
      <c r="D21" s="649">
        <f>41.5%+0.15</f>
        <v>0.56499999999999995</v>
      </c>
      <c r="E21" s="615">
        <v>0.4</v>
      </c>
      <c r="F21" s="616">
        <v>0.3</v>
      </c>
      <c r="H21" s="583"/>
      <c r="I21" s="583"/>
      <c r="J21" s="583"/>
    </row>
    <row r="22" spans="2:13" ht="20.100000000000001" hidden="1" customHeight="1" x14ac:dyDescent="0.25">
      <c r="B22" s="923"/>
      <c r="C22" s="426" t="s">
        <v>282</v>
      </c>
      <c r="D22" s="649">
        <f t="shared" ref="D22:D23" si="4">41.5%+0.15</f>
        <v>0.56499999999999995</v>
      </c>
      <c r="E22" s="615">
        <v>0.4</v>
      </c>
      <c r="F22" s="616">
        <v>0.3</v>
      </c>
      <c r="J22" s="583"/>
    </row>
    <row r="23" spans="2:13" ht="20.100000000000001" hidden="1" customHeight="1" x14ac:dyDescent="0.25">
      <c r="B23" s="923"/>
      <c r="C23" s="426" t="s">
        <v>155</v>
      </c>
      <c r="D23" s="649">
        <f t="shared" si="4"/>
        <v>0.56499999999999995</v>
      </c>
      <c r="E23" s="615">
        <v>0.4</v>
      </c>
      <c r="F23" s="616">
        <v>0.3</v>
      </c>
      <c r="H23" s="583"/>
      <c r="I23" s="583"/>
      <c r="J23" s="583"/>
    </row>
    <row r="24" spans="2:13" ht="20.100000000000001" hidden="1" customHeight="1" thickBot="1" x14ac:dyDescent="0.3">
      <c r="B24" s="924"/>
      <c r="C24" s="427" t="s">
        <v>276</v>
      </c>
      <c r="D24" s="648">
        <v>0.4</v>
      </c>
      <c r="E24" s="615">
        <v>0.4</v>
      </c>
      <c r="F24" s="616">
        <v>0.3</v>
      </c>
    </row>
    <row r="25" spans="2:13" hidden="1" x14ac:dyDescent="0.25"/>
    <row r="26" spans="2:13" hidden="1" x14ac:dyDescent="0.25"/>
    <row r="27" spans="2:13" hidden="1" x14ac:dyDescent="0.25"/>
    <row r="28" spans="2:13" hidden="1" x14ac:dyDescent="0.25"/>
    <row r="29" spans="2:13" hidden="1" x14ac:dyDescent="0.25"/>
    <row r="30" spans="2:13" hidden="1" x14ac:dyDescent="0.25"/>
    <row r="31" spans="2:13" hidden="1" x14ac:dyDescent="0.25"/>
    <row r="32" spans="2:1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I72SGQa0nWC9IdsVnAzouVQZmWeDmj/9s0GXkPHcLiC76ocwiEmJYEnl3Z6GiW1EZaGGdOIk0Q6ht65DYIU41w==" saltValue="yspBcA5aM8Yh0TqF3z+K8A==" spinCount="100000" sheet="1" objects="1" scenarios="1"/>
  <mergeCells count="2">
    <mergeCell ref="B13:B24"/>
    <mergeCell ref="C3:F3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rgb="FF9966FF"/>
  </sheetPr>
  <dimension ref="A1:S106"/>
  <sheetViews>
    <sheetView topLeftCell="AA101" workbookViewId="0">
      <selection activeCell="AJ134" sqref="AJ134"/>
    </sheetView>
  </sheetViews>
  <sheetFormatPr defaultRowHeight="15" x14ac:dyDescent="0.25"/>
  <cols>
    <col min="1" max="1" width="2.7109375" style="265" hidden="1" customWidth="1"/>
    <col min="2" max="2" width="34.140625" style="265" hidden="1" customWidth="1"/>
    <col min="3" max="3" width="16.28515625" style="265" hidden="1" customWidth="1"/>
    <col min="4" max="9" width="12.7109375" style="265" hidden="1" customWidth="1"/>
    <col min="10" max="10" width="37.7109375" style="265" hidden="1" customWidth="1"/>
    <col min="11" max="16" width="12.7109375" style="265" hidden="1" customWidth="1"/>
    <col min="17" max="26" width="0" style="265" hidden="1" customWidth="1"/>
    <col min="27" max="16384" width="9.140625" style="265"/>
  </cols>
  <sheetData>
    <row r="1" spans="2:16" hidden="1" x14ac:dyDescent="0.25"/>
    <row r="2" spans="2:16" hidden="1" x14ac:dyDescent="0.25">
      <c r="B2" s="434" t="s">
        <v>169</v>
      </c>
      <c r="C2" s="435">
        <v>44767</v>
      </c>
    </row>
    <row r="3" spans="2:16" hidden="1" x14ac:dyDescent="0.25"/>
    <row r="4" spans="2:16" hidden="1" x14ac:dyDescent="0.25"/>
    <row r="5" spans="2:16" hidden="1" x14ac:dyDescent="0.25"/>
    <row r="6" spans="2:16" hidden="1" x14ac:dyDescent="0.25"/>
    <row r="7" spans="2:16" hidden="1" x14ac:dyDescent="0.25">
      <c r="F7" s="938" t="s">
        <v>172</v>
      </c>
      <c r="G7" s="939"/>
      <c r="H7" s="940"/>
      <c r="J7" s="941" t="s">
        <v>329</v>
      </c>
      <c r="L7" s="938" t="s">
        <v>172</v>
      </c>
      <c r="M7" s="939"/>
      <c r="N7" s="940"/>
    </row>
    <row r="8" spans="2:16" ht="15" hidden="1" customHeight="1" x14ac:dyDescent="0.25">
      <c r="B8" s="950" t="s">
        <v>328</v>
      </c>
      <c r="C8" s="951"/>
      <c r="F8" s="436">
        <f>'MARK UP''s'!D7</f>
        <v>0.45</v>
      </c>
      <c r="G8" s="436">
        <f>'MARK UP''s'!E7</f>
        <v>0.4</v>
      </c>
      <c r="H8" s="436">
        <f>'MARK UP''s'!F7</f>
        <v>0.3</v>
      </c>
      <c r="J8" s="942"/>
      <c r="L8" s="436">
        <f>'MARK UP''s'!D7</f>
        <v>0.45</v>
      </c>
      <c r="M8" s="436">
        <f>'MARK UP''s'!E7</f>
        <v>0.4</v>
      </c>
      <c r="N8" s="436">
        <f>'MARK UP''s'!F7</f>
        <v>0.3</v>
      </c>
    </row>
    <row r="9" spans="2:16" ht="15" hidden="1" customHeight="1" x14ac:dyDescent="0.25">
      <c r="B9" s="952"/>
      <c r="C9" s="953"/>
      <c r="D9" s="437">
        <v>0.4</v>
      </c>
      <c r="F9" s="438" t="s">
        <v>77</v>
      </c>
      <c r="G9" s="438" t="s">
        <v>174</v>
      </c>
      <c r="H9" s="438" t="s">
        <v>175</v>
      </c>
      <c r="J9" s="943"/>
      <c r="K9" s="437">
        <v>0.5</v>
      </c>
      <c r="L9" s="438" t="s">
        <v>77</v>
      </c>
      <c r="M9" s="438" t="s">
        <v>174</v>
      </c>
      <c r="N9" s="438" t="s">
        <v>175</v>
      </c>
    </row>
    <row r="10" spans="2:16" ht="45" hidden="1" x14ac:dyDescent="0.25">
      <c r="B10" s="439" t="s">
        <v>176</v>
      </c>
      <c r="C10" s="440" t="s">
        <v>170</v>
      </c>
      <c r="D10" s="441" t="s">
        <v>171</v>
      </c>
      <c r="E10" s="441" t="s">
        <v>173</v>
      </c>
      <c r="F10" s="442" t="s">
        <v>171</v>
      </c>
      <c r="G10" s="443" t="s">
        <v>171</v>
      </c>
      <c r="H10" s="444" t="s">
        <v>171</v>
      </c>
      <c r="J10" s="439" t="s">
        <v>176</v>
      </c>
      <c r="K10" s="441" t="s">
        <v>173</v>
      </c>
      <c r="L10" s="442" t="s">
        <v>171</v>
      </c>
      <c r="M10" s="443" t="s">
        <v>171</v>
      </c>
      <c r="N10" s="444" t="s">
        <v>171</v>
      </c>
    </row>
    <row r="11" spans="2:16" hidden="1" x14ac:dyDescent="0.25">
      <c r="B11" s="445" t="s">
        <v>135</v>
      </c>
      <c r="C11" s="686">
        <v>4.95</v>
      </c>
      <c r="D11" s="447">
        <f>CEILING(C11/(1-$D$9),0.1)</f>
        <v>8.3000000000000007</v>
      </c>
      <c r="E11" s="448">
        <f>C11+0.05</f>
        <v>5</v>
      </c>
      <c r="F11" s="449">
        <f>CEILING(E11/(1-$F$8),0.1)</f>
        <v>9.1</v>
      </c>
      <c r="G11" s="450">
        <f>CEILING(F11/(1-$G$8),0.05)</f>
        <v>15.200000000000001</v>
      </c>
      <c r="H11" s="451">
        <f>CEILING(G11/(1-$H$8),0.05)</f>
        <v>21.75</v>
      </c>
      <c r="J11" s="445" t="s">
        <v>135</v>
      </c>
      <c r="K11" s="448">
        <f>E11/(1-$K$9)</f>
        <v>10</v>
      </c>
      <c r="L11" s="449">
        <f>CEILING(K11/(1-$L$8),0.1)</f>
        <v>18.2</v>
      </c>
      <c r="M11" s="450">
        <f t="shared" ref="M11:M19" si="0">CEILING(L11/(1-$M$8),0.05)</f>
        <v>30.35</v>
      </c>
      <c r="N11" s="451">
        <f t="shared" ref="N11:N19" si="1">CEILING(M11/(1-$N$8),0.05)</f>
        <v>43.400000000000006</v>
      </c>
    </row>
    <row r="12" spans="2:16" hidden="1" x14ac:dyDescent="0.25">
      <c r="B12" s="445" t="s">
        <v>136</v>
      </c>
      <c r="C12" s="686">
        <v>4.25</v>
      </c>
      <c r="D12" s="447">
        <f t="shared" ref="D12:D19" si="2">CEILING(C12/(1-$D$9),0.1)</f>
        <v>7.1000000000000005</v>
      </c>
      <c r="E12" s="448">
        <f>C12+0.05</f>
        <v>4.3</v>
      </c>
      <c r="F12" s="449">
        <f>CEILING(E12/(1-$F$8),0.1)</f>
        <v>7.9</v>
      </c>
      <c r="G12" s="450">
        <f>CEILING(F12/(1-$G$8),0.05)</f>
        <v>13.200000000000001</v>
      </c>
      <c r="H12" s="451">
        <f t="shared" ref="H12:H17" si="3">CEILING(G12/(1-$H$8),0.05)</f>
        <v>18.900000000000002</v>
      </c>
      <c r="J12" s="445" t="s">
        <v>136</v>
      </c>
      <c r="K12" s="448">
        <f>E12/(1-$K$9)</f>
        <v>8.6</v>
      </c>
      <c r="L12" s="449">
        <f t="shared" ref="L12:L19" si="4">CEILING(K12/(1-$L$8),0.1)</f>
        <v>15.700000000000001</v>
      </c>
      <c r="M12" s="450">
        <f t="shared" si="0"/>
        <v>26.200000000000003</v>
      </c>
      <c r="N12" s="451">
        <f>CEILING(M12/(1-$N$8),0.05)</f>
        <v>37.450000000000003</v>
      </c>
    </row>
    <row r="13" spans="2:16" hidden="1" x14ac:dyDescent="0.25">
      <c r="B13" s="445" t="s">
        <v>116</v>
      </c>
      <c r="C13" s="686">
        <v>3.6</v>
      </c>
      <c r="D13" s="447">
        <f t="shared" si="2"/>
        <v>6</v>
      </c>
      <c r="E13" s="448">
        <f>C13+0.1</f>
        <v>3.7</v>
      </c>
      <c r="F13" s="449">
        <f>CEILING(E13/(1-$F$8),0.1)</f>
        <v>6.8000000000000007</v>
      </c>
      <c r="G13" s="450">
        <f>CEILING(F13/(1-$G$8),0.05)</f>
        <v>11.350000000000001</v>
      </c>
      <c r="H13" s="451">
        <f t="shared" si="3"/>
        <v>16.25</v>
      </c>
      <c r="J13" s="445" t="s">
        <v>116</v>
      </c>
      <c r="K13" s="448">
        <f>E13/(1-$K$9)</f>
        <v>7.4</v>
      </c>
      <c r="L13" s="449">
        <f t="shared" si="4"/>
        <v>13.5</v>
      </c>
      <c r="M13" s="450">
        <f t="shared" si="0"/>
        <v>22.5</v>
      </c>
      <c r="N13" s="451">
        <f t="shared" si="1"/>
        <v>32.15</v>
      </c>
      <c r="P13" s="284"/>
    </row>
    <row r="14" spans="2:16" hidden="1" x14ac:dyDescent="0.25">
      <c r="B14" s="445" t="s">
        <v>161</v>
      </c>
      <c r="C14" s="446">
        <f>C12</f>
        <v>4.25</v>
      </c>
      <c r="D14" s="447">
        <f t="shared" si="2"/>
        <v>7.1000000000000005</v>
      </c>
      <c r="E14" s="448">
        <f>C14+0.05</f>
        <v>4.3</v>
      </c>
      <c r="F14" s="449">
        <f>CEILING(E14/(1-$F$8),0.1)</f>
        <v>7.9</v>
      </c>
      <c r="G14" s="450">
        <f t="shared" ref="G14:G18" si="5">CEILING(F14/(1-$G$8),0.05)</f>
        <v>13.200000000000001</v>
      </c>
      <c r="H14" s="451">
        <f t="shared" si="3"/>
        <v>18.900000000000002</v>
      </c>
      <c r="J14" s="445" t="s">
        <v>161</v>
      </c>
      <c r="K14" s="448">
        <f t="shared" ref="K14:K19" si="6">E14/(1-$K$9)</f>
        <v>8.6</v>
      </c>
      <c r="L14" s="449">
        <f t="shared" si="4"/>
        <v>15.700000000000001</v>
      </c>
      <c r="M14" s="450">
        <f>CEILING(L14/(1-$M$8),0.05)</f>
        <v>26.200000000000003</v>
      </c>
      <c r="N14" s="451">
        <f t="shared" si="1"/>
        <v>37.450000000000003</v>
      </c>
      <c r="P14" s="284"/>
    </row>
    <row r="15" spans="2:16" hidden="1" x14ac:dyDescent="0.25">
      <c r="B15" s="445" t="s">
        <v>137</v>
      </c>
      <c r="C15" s="446">
        <f>C11</f>
        <v>4.95</v>
      </c>
      <c r="D15" s="447">
        <f t="shared" si="2"/>
        <v>8.3000000000000007</v>
      </c>
      <c r="E15" s="448">
        <f>C15+0.05</f>
        <v>5</v>
      </c>
      <c r="F15" s="449">
        <f t="shared" ref="F15:F19" si="7">CEILING(E15/(1-$F$8),0.1)</f>
        <v>9.1</v>
      </c>
      <c r="G15" s="450">
        <f t="shared" si="5"/>
        <v>15.200000000000001</v>
      </c>
      <c r="H15" s="451">
        <f t="shared" si="3"/>
        <v>21.75</v>
      </c>
      <c r="J15" s="445" t="s">
        <v>137</v>
      </c>
      <c r="K15" s="448">
        <f t="shared" si="6"/>
        <v>10</v>
      </c>
      <c r="L15" s="449">
        <f t="shared" si="4"/>
        <v>18.2</v>
      </c>
      <c r="M15" s="450">
        <f t="shared" si="0"/>
        <v>30.35</v>
      </c>
      <c r="N15" s="451">
        <f t="shared" si="1"/>
        <v>43.400000000000006</v>
      </c>
      <c r="P15" s="284"/>
    </row>
    <row r="16" spans="2:16" hidden="1" x14ac:dyDescent="0.25">
      <c r="B16" s="445" t="s">
        <v>138</v>
      </c>
      <c r="C16" s="446">
        <f>C11</f>
        <v>4.95</v>
      </c>
      <c r="D16" s="447">
        <f t="shared" si="2"/>
        <v>8.3000000000000007</v>
      </c>
      <c r="E16" s="448">
        <f>C16+0.05</f>
        <v>5</v>
      </c>
      <c r="F16" s="449">
        <f t="shared" si="7"/>
        <v>9.1</v>
      </c>
      <c r="G16" s="450">
        <f t="shared" si="5"/>
        <v>15.200000000000001</v>
      </c>
      <c r="H16" s="451">
        <f t="shared" si="3"/>
        <v>21.75</v>
      </c>
      <c r="J16" s="445" t="s">
        <v>138</v>
      </c>
      <c r="K16" s="448">
        <f t="shared" si="6"/>
        <v>10</v>
      </c>
      <c r="L16" s="449">
        <f t="shared" si="4"/>
        <v>18.2</v>
      </c>
      <c r="M16" s="450">
        <f t="shared" si="0"/>
        <v>30.35</v>
      </c>
      <c r="N16" s="451">
        <f t="shared" si="1"/>
        <v>43.400000000000006</v>
      </c>
      <c r="P16" s="828"/>
    </row>
    <row r="17" spans="2:17" hidden="1" x14ac:dyDescent="0.25">
      <c r="B17" s="445" t="s">
        <v>139</v>
      </c>
      <c r="C17" s="446">
        <f>C12</f>
        <v>4.25</v>
      </c>
      <c r="D17" s="447">
        <f t="shared" si="2"/>
        <v>7.1000000000000005</v>
      </c>
      <c r="E17" s="448">
        <f>C17+0.05</f>
        <v>4.3</v>
      </c>
      <c r="F17" s="449">
        <f t="shared" si="7"/>
        <v>7.9</v>
      </c>
      <c r="G17" s="450">
        <f t="shared" si="5"/>
        <v>13.200000000000001</v>
      </c>
      <c r="H17" s="451">
        <f t="shared" si="3"/>
        <v>18.900000000000002</v>
      </c>
      <c r="J17" s="445" t="s">
        <v>139</v>
      </c>
      <c r="K17" s="448">
        <f t="shared" si="6"/>
        <v>8.6</v>
      </c>
      <c r="L17" s="449">
        <f>CEILING(K17/(1-$L$8),0.1)</f>
        <v>15.700000000000001</v>
      </c>
      <c r="M17" s="450">
        <f t="shared" si="0"/>
        <v>26.200000000000003</v>
      </c>
      <c r="N17" s="451">
        <f t="shared" si="1"/>
        <v>37.450000000000003</v>
      </c>
      <c r="P17" s="284"/>
    </row>
    <row r="18" spans="2:17" hidden="1" x14ac:dyDescent="0.25">
      <c r="B18" s="445" t="s">
        <v>140</v>
      </c>
      <c r="C18" s="446">
        <f>C13</f>
        <v>3.6</v>
      </c>
      <c r="D18" s="447">
        <f t="shared" si="2"/>
        <v>6</v>
      </c>
      <c r="E18" s="448">
        <f>C18+0.1</f>
        <v>3.7</v>
      </c>
      <c r="F18" s="449">
        <f t="shared" si="7"/>
        <v>6.8000000000000007</v>
      </c>
      <c r="G18" s="450">
        <f t="shared" si="5"/>
        <v>11.350000000000001</v>
      </c>
      <c r="H18" s="451">
        <f>CEILING(G18/(1-$H$8),0.05)</f>
        <v>16.25</v>
      </c>
      <c r="J18" s="445" t="s">
        <v>140</v>
      </c>
      <c r="K18" s="448">
        <f t="shared" si="6"/>
        <v>7.4</v>
      </c>
      <c r="L18" s="449">
        <f t="shared" si="4"/>
        <v>13.5</v>
      </c>
      <c r="M18" s="450">
        <f>CEILING(L18/(1-$M$8),0.05)</f>
        <v>22.5</v>
      </c>
      <c r="N18" s="451">
        <f>CEILING(M18/(1-$N$8),0.05)</f>
        <v>32.15</v>
      </c>
      <c r="P18" s="284"/>
    </row>
    <row r="19" spans="2:17" hidden="1" x14ac:dyDescent="0.25">
      <c r="B19" s="445" t="s">
        <v>162</v>
      </c>
      <c r="C19" s="446">
        <f>C12</f>
        <v>4.25</v>
      </c>
      <c r="D19" s="447">
        <f t="shared" si="2"/>
        <v>7.1000000000000005</v>
      </c>
      <c r="E19" s="448">
        <f>C19+0.05</f>
        <v>4.3</v>
      </c>
      <c r="F19" s="449">
        <f t="shared" si="7"/>
        <v>7.9</v>
      </c>
      <c r="G19" s="450">
        <f>CEILING(F19/(1-$G$8),0.05)</f>
        <v>13.200000000000001</v>
      </c>
      <c r="H19" s="451">
        <f>CEILING(G19/(1-$H$8),0.05)</f>
        <v>18.900000000000002</v>
      </c>
      <c r="J19" s="445" t="s">
        <v>162</v>
      </c>
      <c r="K19" s="448">
        <f t="shared" si="6"/>
        <v>8.6</v>
      </c>
      <c r="L19" s="449">
        <f t="shared" si="4"/>
        <v>15.700000000000001</v>
      </c>
      <c r="M19" s="450">
        <f t="shared" si="0"/>
        <v>26.200000000000003</v>
      </c>
      <c r="N19" s="451">
        <f t="shared" si="1"/>
        <v>37.450000000000003</v>
      </c>
    </row>
    <row r="20" spans="2:17" hidden="1" x14ac:dyDescent="0.25">
      <c r="L20" s="452"/>
    </row>
    <row r="21" spans="2:17" hidden="1" x14ac:dyDescent="0.25">
      <c r="M21" s="284"/>
      <c r="N21" s="284"/>
    </row>
    <row r="22" spans="2:17" hidden="1" x14ac:dyDescent="0.25">
      <c r="E22" s="938" t="s">
        <v>172</v>
      </c>
      <c r="F22" s="939"/>
      <c r="G22" s="940"/>
      <c r="O22" s="938" t="s">
        <v>172</v>
      </c>
      <c r="P22" s="939"/>
      <c r="Q22" s="940"/>
    </row>
    <row r="23" spans="2:17" hidden="1" x14ac:dyDescent="0.25">
      <c r="B23" s="944" t="s">
        <v>181</v>
      </c>
      <c r="C23" s="945"/>
      <c r="D23" s="946"/>
      <c r="E23" s="436">
        <f>'MARK UP''s'!D8</f>
        <v>0.7</v>
      </c>
      <c r="F23" s="436">
        <f>'MARK UP''s'!E8</f>
        <v>0.4</v>
      </c>
      <c r="G23" s="436">
        <f>'MARK UP''s'!F8</f>
        <v>0.3</v>
      </c>
      <c r="J23" s="944" t="s">
        <v>185</v>
      </c>
      <c r="K23" s="945"/>
      <c r="L23" s="945"/>
      <c r="M23" s="945"/>
      <c r="N23" s="946"/>
      <c r="O23" s="436">
        <f>'MARK UP''s'!D9</f>
        <v>0.6</v>
      </c>
      <c r="P23" s="436">
        <f>'MARK UP''s'!E9</f>
        <v>0.4</v>
      </c>
      <c r="Q23" s="436">
        <f>'MARK UP''s'!F9</f>
        <v>0.3</v>
      </c>
    </row>
    <row r="24" spans="2:17" hidden="1" x14ac:dyDescent="0.25">
      <c r="B24" s="947"/>
      <c r="C24" s="948"/>
      <c r="D24" s="949"/>
      <c r="E24" s="438" t="s">
        <v>77</v>
      </c>
      <c r="F24" s="438" t="s">
        <v>174</v>
      </c>
      <c r="G24" s="438" t="s">
        <v>175</v>
      </c>
      <c r="J24" s="947"/>
      <c r="K24" s="948"/>
      <c r="L24" s="948"/>
      <c r="M24" s="948"/>
      <c r="N24" s="949"/>
      <c r="O24" s="438" t="s">
        <v>77</v>
      </c>
      <c r="P24" s="438" t="s">
        <v>174</v>
      </c>
      <c r="Q24" s="438" t="s">
        <v>175</v>
      </c>
    </row>
    <row r="25" spans="2:17" ht="30" hidden="1" x14ac:dyDescent="0.25">
      <c r="B25" s="453" t="s">
        <v>180</v>
      </c>
      <c r="C25" s="453" t="s">
        <v>145</v>
      </c>
      <c r="D25" s="441" t="s">
        <v>182</v>
      </c>
      <c r="E25" s="454" t="s">
        <v>148</v>
      </c>
      <c r="F25" s="455" t="s">
        <v>148</v>
      </c>
      <c r="G25" s="456" t="s">
        <v>148</v>
      </c>
      <c r="J25" s="453" t="s">
        <v>177</v>
      </c>
      <c r="K25" s="441" t="s">
        <v>145</v>
      </c>
      <c r="L25" s="441" t="s">
        <v>166</v>
      </c>
      <c r="M25" s="441" t="s">
        <v>167</v>
      </c>
      <c r="N25" s="441" t="s">
        <v>168</v>
      </c>
      <c r="O25" s="454" t="s">
        <v>148</v>
      </c>
      <c r="P25" s="455" t="s">
        <v>148</v>
      </c>
      <c r="Q25" s="456" t="s">
        <v>148</v>
      </c>
    </row>
    <row r="26" spans="2:17" hidden="1" x14ac:dyDescent="0.25">
      <c r="B26" s="430" t="s">
        <v>321</v>
      </c>
      <c r="C26" s="430">
        <v>54</v>
      </c>
      <c r="D26" s="446">
        <f>2.5+1</f>
        <v>3.5</v>
      </c>
      <c r="E26" s="449">
        <f>CEILING(D26/(1-$E$23),0.05)</f>
        <v>11.700000000000001</v>
      </c>
      <c r="F26" s="450">
        <f>CEILING(E26/(1-$F$23),0.05)</f>
        <v>19.5</v>
      </c>
      <c r="G26" s="451">
        <f>CEILING(F26/(1-$G$23),0.05)</f>
        <v>27.900000000000002</v>
      </c>
      <c r="J26" s="430" t="s">
        <v>321</v>
      </c>
      <c r="K26" s="430">
        <v>54</v>
      </c>
      <c r="L26" s="446">
        <f>6.45+0.55+0.5</f>
        <v>7.5</v>
      </c>
      <c r="M26" s="524">
        <f>0.5+0.25</f>
        <v>0.75</v>
      </c>
      <c r="N26" s="447">
        <f>L26+M26</f>
        <v>8.25</v>
      </c>
      <c r="O26" s="449">
        <f>CEILING(N26/(1-$O$23),0.05)</f>
        <v>20.650000000000002</v>
      </c>
      <c r="P26" s="450">
        <f>CEILING(O26/(1-$P$23),0.05)</f>
        <v>34.450000000000003</v>
      </c>
      <c r="Q26" s="451">
        <f>CEILING(P26/(1-$Q$23),0.05)</f>
        <v>49.25</v>
      </c>
    </row>
    <row r="27" spans="2:17" hidden="1" x14ac:dyDescent="0.25">
      <c r="B27" s="430" t="s">
        <v>322</v>
      </c>
      <c r="C27" s="430">
        <v>54</v>
      </c>
      <c r="D27" s="446">
        <v>2.5</v>
      </c>
      <c r="E27" s="449">
        <f>CEILING(D27/(1-$E$23),0.05)</f>
        <v>8.35</v>
      </c>
      <c r="F27" s="450">
        <f>CEILING(E27/(1-$F$23),0.05)</f>
        <v>13.950000000000001</v>
      </c>
      <c r="G27" s="451">
        <f>CEILING(F27/(1-$G$23),0.05)</f>
        <v>19.950000000000003</v>
      </c>
      <c r="J27" s="430" t="s">
        <v>322</v>
      </c>
      <c r="K27" s="430">
        <v>54</v>
      </c>
      <c r="L27" s="446">
        <f>4.95+1</f>
        <v>5.95</v>
      </c>
      <c r="M27" s="524">
        <f>0.5</f>
        <v>0.5</v>
      </c>
      <c r="N27" s="447">
        <f>L27+M27</f>
        <v>6.45</v>
      </c>
      <c r="O27" s="449">
        <f>CEILING(N27/(1-$O$23),0.05)</f>
        <v>16.150000000000002</v>
      </c>
      <c r="P27" s="450">
        <f>CEILING(O27/(1-$P$23),0.05)</f>
        <v>26.950000000000003</v>
      </c>
      <c r="Q27" s="451">
        <f>CEILING(P27/(1-$Q$23),0.05)</f>
        <v>38.5</v>
      </c>
    </row>
    <row r="28" spans="2:17" hidden="1" x14ac:dyDescent="0.25">
      <c r="B28" s="430" t="s">
        <v>184</v>
      </c>
      <c r="C28" s="430">
        <v>118</v>
      </c>
      <c r="D28" s="446">
        <f>1.9+0.6</f>
        <v>2.5</v>
      </c>
      <c r="E28" s="449">
        <f>CEILING(D28/(1-$E$23),0.05)</f>
        <v>8.35</v>
      </c>
      <c r="F28" s="450">
        <f>CEILING(E28/(1-$F$23),0.05)</f>
        <v>13.950000000000001</v>
      </c>
      <c r="G28" s="451">
        <f>CEILING(F28/(1-$G$23),0.05)</f>
        <v>19.950000000000003</v>
      </c>
      <c r="J28" s="430" t="s">
        <v>184</v>
      </c>
      <c r="K28" s="430">
        <v>118</v>
      </c>
      <c r="L28" s="446">
        <f>2.65+1.38</f>
        <v>4.0299999999999994</v>
      </c>
      <c r="M28" s="524">
        <f>0.5+0.25</f>
        <v>0.75</v>
      </c>
      <c r="N28" s="447">
        <f>L28+M28</f>
        <v>4.7799999999999994</v>
      </c>
      <c r="O28" s="449">
        <f>CEILING(N28/(1-$O$23),0.05)</f>
        <v>11.950000000000001</v>
      </c>
      <c r="P28" s="450">
        <f>CEILING(O28/(1-$P$23),0.05)</f>
        <v>19.950000000000003</v>
      </c>
      <c r="Q28" s="451">
        <f>CEILING(P28/(1-$Q$23),0.05)</f>
        <v>28.5</v>
      </c>
    </row>
    <row r="29" spans="2:17" hidden="1" x14ac:dyDescent="0.25">
      <c r="B29" s="430" t="s">
        <v>323</v>
      </c>
      <c r="C29" s="430">
        <v>118</v>
      </c>
      <c r="D29" s="446">
        <f>2.5+1.5</f>
        <v>4</v>
      </c>
      <c r="E29" s="449">
        <f>CEILING(D29/(1-$E$23),0.05)</f>
        <v>13.350000000000001</v>
      </c>
      <c r="F29" s="450">
        <f>CEILING(E29/(1-$F$23),0.05)</f>
        <v>22.25</v>
      </c>
      <c r="G29" s="451">
        <f>CEILING(F29/(1-$G$23),0.05)</f>
        <v>31.8</v>
      </c>
      <c r="J29" s="430" t="s">
        <v>323</v>
      </c>
      <c r="K29" s="430">
        <v>118</v>
      </c>
      <c r="L29" s="446">
        <f>7.9+0.05</f>
        <v>7.95</v>
      </c>
      <c r="M29" s="524">
        <f>0.5+0.5</f>
        <v>1</v>
      </c>
      <c r="N29" s="447">
        <f>L29+M29</f>
        <v>8.9499999999999993</v>
      </c>
      <c r="O29" s="449">
        <f>CEILING(N29/(1-$O$23),0.05)</f>
        <v>22.400000000000002</v>
      </c>
      <c r="P29" s="450">
        <f>CEILING(O29/(1-$P$23),0.05)</f>
        <v>37.35</v>
      </c>
      <c r="Q29" s="451">
        <f>CEILING(P29/(1-$Q$23),0.05)</f>
        <v>53.400000000000006</v>
      </c>
    </row>
    <row r="30" spans="2:17" hidden="1" x14ac:dyDescent="0.25"/>
    <row r="31" spans="2:17" hidden="1" x14ac:dyDescent="0.25"/>
    <row r="32" spans="2:17" hidden="1" x14ac:dyDescent="0.25">
      <c r="G32" s="938" t="s">
        <v>172</v>
      </c>
      <c r="H32" s="939"/>
      <c r="I32" s="940"/>
    </row>
    <row r="33" spans="1:12" hidden="1" x14ac:dyDescent="0.25">
      <c r="B33" s="954" t="s">
        <v>662</v>
      </c>
      <c r="C33" s="955"/>
      <c r="D33" s="955"/>
      <c r="E33" s="955"/>
      <c r="F33" s="956"/>
      <c r="G33" s="436">
        <f>'MARK UP''s'!D10</f>
        <v>0.61499999999999999</v>
      </c>
      <c r="H33" s="436">
        <f>'MARK UP''s'!E10</f>
        <v>0.4</v>
      </c>
      <c r="I33" s="436">
        <f>'MARK UP''s'!F10</f>
        <v>0.3</v>
      </c>
    </row>
    <row r="34" spans="1:12" ht="15.75" hidden="1" thickBot="1" x14ac:dyDescent="0.3">
      <c r="B34" s="957"/>
      <c r="C34" s="958"/>
      <c r="D34" s="958"/>
      <c r="E34" s="958"/>
      <c r="F34" s="959"/>
      <c r="G34" s="438" t="s">
        <v>77</v>
      </c>
      <c r="H34" s="438" t="s">
        <v>174</v>
      </c>
      <c r="I34" s="438" t="s">
        <v>175</v>
      </c>
    </row>
    <row r="35" spans="1:12" ht="30.75" hidden="1" thickBot="1" x14ac:dyDescent="0.3">
      <c r="B35" s="537" t="s">
        <v>177</v>
      </c>
      <c r="C35" s="537" t="s">
        <v>661</v>
      </c>
      <c r="D35" s="538" t="s">
        <v>166</v>
      </c>
      <c r="E35" s="538" t="s">
        <v>167</v>
      </c>
      <c r="F35" s="538" t="s">
        <v>168</v>
      </c>
      <c r="G35" s="537" t="s">
        <v>148</v>
      </c>
      <c r="H35" s="537" t="s">
        <v>148</v>
      </c>
      <c r="I35" s="539" t="s">
        <v>148</v>
      </c>
      <c r="J35" s="540" t="s">
        <v>308</v>
      </c>
      <c r="K35" s="540" t="s">
        <v>324</v>
      </c>
      <c r="L35" s="575" t="s">
        <v>705</v>
      </c>
    </row>
    <row r="36" spans="1:12" hidden="1" x14ac:dyDescent="0.25">
      <c r="A36" s="359">
        <v>1</v>
      </c>
      <c r="B36" s="829" t="s">
        <v>678</v>
      </c>
      <c r="C36" s="826">
        <v>120</v>
      </c>
      <c r="D36" s="830">
        <v>4.971376146788991</v>
      </c>
      <c r="E36" s="446">
        <v>1</v>
      </c>
      <c r="F36" s="831">
        <f t="shared" ref="F36:F47" si="8">D36+E36</f>
        <v>5.971376146788991</v>
      </c>
      <c r="G36" s="449">
        <f t="shared" ref="G36:G51" si="9">CEILING(F36/(1-$G$33),0.05)</f>
        <v>15.55</v>
      </c>
      <c r="H36" s="450">
        <f t="shared" ref="H36:H51" si="10">CEILING(G36/(1-$H$33),0.05)</f>
        <v>25.950000000000003</v>
      </c>
      <c r="I36" s="529">
        <f t="shared" ref="I36:I51" si="11">CEILING(H36/(1-$I$33),0.05)</f>
        <v>37.1</v>
      </c>
      <c r="J36" s="535" t="s">
        <v>669</v>
      </c>
      <c r="K36" s="531" t="s">
        <v>116</v>
      </c>
      <c r="L36" s="578">
        <f>I39</f>
        <v>43.400000000000006</v>
      </c>
    </row>
    <row r="37" spans="1:12" hidden="1" x14ac:dyDescent="0.25">
      <c r="A37" s="359">
        <f>1+A36</f>
        <v>2</v>
      </c>
      <c r="B37" s="829" t="s">
        <v>679</v>
      </c>
      <c r="C37" s="826">
        <v>120</v>
      </c>
      <c r="D37" s="830">
        <v>5.0654587155963293</v>
      </c>
      <c r="E37" s="447">
        <f>E36</f>
        <v>1</v>
      </c>
      <c r="F37" s="831">
        <f t="shared" si="8"/>
        <v>6.0654587155963293</v>
      </c>
      <c r="G37" s="449">
        <f t="shared" si="9"/>
        <v>15.8</v>
      </c>
      <c r="H37" s="450">
        <f t="shared" si="10"/>
        <v>26.35</v>
      </c>
      <c r="I37" s="529">
        <f t="shared" si="11"/>
        <v>37.65</v>
      </c>
      <c r="J37" s="577" t="str">
        <f>J36</f>
        <v>GROUP 1</v>
      </c>
      <c r="K37" s="532"/>
      <c r="L37" s="576">
        <f>L36</f>
        <v>43.400000000000006</v>
      </c>
    </row>
    <row r="38" spans="1:12" hidden="1" x14ac:dyDescent="0.25">
      <c r="A38" s="359">
        <f t="shared" ref="A38:A47" si="12">1+A37</f>
        <v>3</v>
      </c>
      <c r="B38" s="829" t="s">
        <v>680</v>
      </c>
      <c r="C38" s="826">
        <v>126</v>
      </c>
      <c r="D38" s="830">
        <v>5.8868348623853199</v>
      </c>
      <c r="E38" s="447">
        <f t="shared" ref="E38:E51" si="13">E37</f>
        <v>1</v>
      </c>
      <c r="F38" s="831">
        <f t="shared" si="8"/>
        <v>6.8868348623853199</v>
      </c>
      <c r="G38" s="449">
        <f t="shared" si="9"/>
        <v>17.900000000000002</v>
      </c>
      <c r="H38" s="450">
        <f t="shared" si="10"/>
        <v>29.85</v>
      </c>
      <c r="I38" s="529">
        <f t="shared" si="11"/>
        <v>42.650000000000006</v>
      </c>
      <c r="J38" s="577" t="str">
        <f>J37</f>
        <v>GROUP 1</v>
      </c>
      <c r="K38" s="532"/>
      <c r="L38" s="576">
        <f>L37</f>
        <v>43.400000000000006</v>
      </c>
    </row>
    <row r="39" spans="1:12" ht="15.75" hidden="1" thickBot="1" x14ac:dyDescent="0.3">
      <c r="A39" s="359">
        <f t="shared" si="12"/>
        <v>4</v>
      </c>
      <c r="B39" s="829" t="s">
        <v>681</v>
      </c>
      <c r="C39" s="826">
        <v>120</v>
      </c>
      <c r="D39" s="830">
        <v>5.9908715596330255</v>
      </c>
      <c r="E39" s="447">
        <f t="shared" si="13"/>
        <v>1</v>
      </c>
      <c r="F39" s="831">
        <f t="shared" si="8"/>
        <v>6.9908715596330255</v>
      </c>
      <c r="G39" s="449">
        <f t="shared" si="9"/>
        <v>18.2</v>
      </c>
      <c r="H39" s="450">
        <f t="shared" si="10"/>
        <v>30.35</v>
      </c>
      <c r="I39" s="529">
        <f t="shared" si="11"/>
        <v>43.400000000000006</v>
      </c>
      <c r="J39" s="579" t="str">
        <f>J38</f>
        <v>GROUP 1</v>
      </c>
      <c r="K39" s="533"/>
      <c r="L39" s="580">
        <f>L38</f>
        <v>43.400000000000006</v>
      </c>
    </row>
    <row r="40" spans="1:12" hidden="1" x14ac:dyDescent="0.25">
      <c r="A40" s="359">
        <f t="shared" si="12"/>
        <v>5</v>
      </c>
      <c r="B40" s="829" t="s">
        <v>682</v>
      </c>
      <c r="C40" s="826">
        <v>126</v>
      </c>
      <c r="D40" s="830">
        <v>6.6982568807339424</v>
      </c>
      <c r="E40" s="447">
        <f t="shared" si="13"/>
        <v>1</v>
      </c>
      <c r="F40" s="832">
        <f t="shared" si="8"/>
        <v>7.6982568807339424</v>
      </c>
      <c r="G40" s="449">
        <f t="shared" si="9"/>
        <v>20</v>
      </c>
      <c r="H40" s="450">
        <f t="shared" si="10"/>
        <v>33.35</v>
      </c>
      <c r="I40" s="529">
        <f t="shared" si="11"/>
        <v>47.650000000000006</v>
      </c>
      <c r="J40" s="535" t="s">
        <v>670</v>
      </c>
      <c r="K40" s="531" t="s">
        <v>116</v>
      </c>
      <c r="L40" s="578">
        <f>I43</f>
        <v>54.45</v>
      </c>
    </row>
    <row r="41" spans="1:12" hidden="1" x14ac:dyDescent="0.25">
      <c r="A41" s="359">
        <f t="shared" si="12"/>
        <v>6</v>
      </c>
      <c r="B41" s="829" t="s">
        <v>683</v>
      </c>
      <c r="C41" s="826">
        <v>120</v>
      </c>
      <c r="D41" s="830">
        <v>6.941009174311926</v>
      </c>
      <c r="E41" s="447">
        <f t="shared" si="13"/>
        <v>1</v>
      </c>
      <c r="F41" s="832">
        <f t="shared" si="8"/>
        <v>7.941009174311926</v>
      </c>
      <c r="G41" s="449">
        <f t="shared" si="9"/>
        <v>20.650000000000002</v>
      </c>
      <c r="H41" s="450">
        <f t="shared" si="10"/>
        <v>34.450000000000003</v>
      </c>
      <c r="I41" s="529">
        <f t="shared" si="11"/>
        <v>49.25</v>
      </c>
      <c r="J41" s="577" t="str">
        <f>J40</f>
        <v>GROUP 2</v>
      </c>
      <c r="K41" s="534"/>
      <c r="L41" s="576">
        <f>L40</f>
        <v>54.45</v>
      </c>
    </row>
    <row r="42" spans="1:12" hidden="1" x14ac:dyDescent="0.25">
      <c r="A42" s="359">
        <f t="shared" si="12"/>
        <v>7</v>
      </c>
      <c r="B42" s="829" t="s">
        <v>684</v>
      </c>
      <c r="C42" s="826">
        <v>118</v>
      </c>
      <c r="D42" s="830">
        <v>7.7395871559633012</v>
      </c>
      <c r="E42" s="447">
        <f t="shared" si="13"/>
        <v>1</v>
      </c>
      <c r="F42" s="832">
        <f t="shared" si="8"/>
        <v>8.7395871559633012</v>
      </c>
      <c r="G42" s="449">
        <f t="shared" si="9"/>
        <v>22.75</v>
      </c>
      <c r="H42" s="450">
        <f t="shared" si="10"/>
        <v>37.950000000000003</v>
      </c>
      <c r="I42" s="529">
        <f t="shared" si="11"/>
        <v>54.25</v>
      </c>
      <c r="J42" s="577" t="str">
        <f>J41</f>
        <v>GROUP 2</v>
      </c>
      <c r="K42" s="534"/>
      <c r="L42" s="576">
        <f>L41</f>
        <v>54.45</v>
      </c>
    </row>
    <row r="43" spans="1:12" ht="15.75" hidden="1" thickBot="1" x14ac:dyDescent="0.3">
      <c r="A43" s="359">
        <f t="shared" si="12"/>
        <v>8</v>
      </c>
      <c r="B43" s="829" t="s">
        <v>685</v>
      </c>
      <c r="C43" s="826">
        <v>120</v>
      </c>
      <c r="D43" s="830">
        <v>7.7813302752293581</v>
      </c>
      <c r="E43" s="447">
        <f t="shared" si="13"/>
        <v>1</v>
      </c>
      <c r="F43" s="832">
        <f t="shared" si="8"/>
        <v>8.7813302752293581</v>
      </c>
      <c r="G43" s="449">
        <f t="shared" si="9"/>
        <v>22.85</v>
      </c>
      <c r="H43" s="450">
        <f t="shared" si="10"/>
        <v>38.1</v>
      </c>
      <c r="I43" s="529">
        <f t="shared" si="11"/>
        <v>54.45</v>
      </c>
      <c r="J43" s="579" t="str">
        <f>J42</f>
        <v>GROUP 2</v>
      </c>
      <c r="K43" s="533"/>
      <c r="L43" s="580">
        <f>L42</f>
        <v>54.45</v>
      </c>
    </row>
    <row r="44" spans="1:12" hidden="1" x14ac:dyDescent="0.25">
      <c r="A44" s="359">
        <f t="shared" si="12"/>
        <v>9</v>
      </c>
      <c r="B44" s="829" t="s">
        <v>686</v>
      </c>
      <c r="C44" s="826">
        <v>118</v>
      </c>
      <c r="D44" s="830">
        <v>8.1345412844036691</v>
      </c>
      <c r="E44" s="447">
        <f t="shared" si="13"/>
        <v>1</v>
      </c>
      <c r="F44" s="831">
        <f t="shared" si="8"/>
        <v>9.1345412844036691</v>
      </c>
      <c r="G44" s="449">
        <f t="shared" si="9"/>
        <v>23.75</v>
      </c>
      <c r="H44" s="450">
        <f t="shared" si="10"/>
        <v>39.6</v>
      </c>
      <c r="I44" s="529">
        <f t="shared" si="11"/>
        <v>56.6</v>
      </c>
      <c r="J44" s="535" t="s">
        <v>671</v>
      </c>
      <c r="K44" s="531" t="s">
        <v>116</v>
      </c>
      <c r="L44" s="578">
        <f>I45</f>
        <v>67.5</v>
      </c>
    </row>
    <row r="45" spans="1:12" ht="15.75" hidden="1" thickBot="1" x14ac:dyDescent="0.3">
      <c r="A45" s="359">
        <f t="shared" si="12"/>
        <v>10</v>
      </c>
      <c r="B45" s="829" t="s">
        <v>687</v>
      </c>
      <c r="C45" s="826">
        <v>118</v>
      </c>
      <c r="D45" s="830">
        <v>9.9063761467889915</v>
      </c>
      <c r="E45" s="447">
        <f t="shared" si="13"/>
        <v>1</v>
      </c>
      <c r="F45" s="831">
        <f t="shared" si="8"/>
        <v>10.906376146788991</v>
      </c>
      <c r="G45" s="449">
        <f t="shared" si="9"/>
        <v>28.35</v>
      </c>
      <c r="H45" s="450">
        <f t="shared" si="10"/>
        <v>47.25</v>
      </c>
      <c r="I45" s="529">
        <f t="shared" si="11"/>
        <v>67.5</v>
      </c>
      <c r="J45" s="579" t="str">
        <f>J44</f>
        <v>GROUP 3</v>
      </c>
      <c r="K45" s="533"/>
      <c r="L45" s="580">
        <f>L44</f>
        <v>67.5</v>
      </c>
    </row>
    <row r="46" spans="1:12" hidden="1" x14ac:dyDescent="0.25">
      <c r="A46" s="359">
        <f t="shared" si="12"/>
        <v>11</v>
      </c>
      <c r="B46" s="829" t="s">
        <v>688</v>
      </c>
      <c r="C46" s="826">
        <v>118</v>
      </c>
      <c r="D46" s="830">
        <v>11.098302752293577</v>
      </c>
      <c r="E46" s="447">
        <f t="shared" si="13"/>
        <v>1</v>
      </c>
      <c r="F46" s="833">
        <f t="shared" si="8"/>
        <v>12.098302752293577</v>
      </c>
      <c r="G46" s="449">
        <f t="shared" si="9"/>
        <v>31.450000000000003</v>
      </c>
      <c r="H46" s="450">
        <f t="shared" si="10"/>
        <v>52.45</v>
      </c>
      <c r="I46" s="529">
        <f t="shared" si="11"/>
        <v>74.95</v>
      </c>
      <c r="J46" s="535" t="s">
        <v>672</v>
      </c>
      <c r="K46" s="531" t="s">
        <v>116</v>
      </c>
      <c r="L46" s="578">
        <f>I47</f>
        <v>80</v>
      </c>
    </row>
    <row r="47" spans="1:12" ht="15.75" hidden="1" thickBot="1" x14ac:dyDescent="0.3">
      <c r="A47" s="359">
        <f t="shared" si="12"/>
        <v>12</v>
      </c>
      <c r="B47" s="799" t="s">
        <v>689</v>
      </c>
      <c r="C47" s="826">
        <v>126</v>
      </c>
      <c r="D47" s="830">
        <v>11.923211009174313</v>
      </c>
      <c r="E47" s="447">
        <f t="shared" si="13"/>
        <v>1</v>
      </c>
      <c r="F47" s="833">
        <f t="shared" si="8"/>
        <v>12.923211009174313</v>
      </c>
      <c r="G47" s="449">
        <f t="shared" si="9"/>
        <v>33.6</v>
      </c>
      <c r="H47" s="450">
        <f t="shared" si="10"/>
        <v>56</v>
      </c>
      <c r="I47" s="529">
        <f t="shared" si="11"/>
        <v>80</v>
      </c>
      <c r="J47" s="579" t="str">
        <f>J46</f>
        <v>GROUP 4</v>
      </c>
      <c r="K47" s="533"/>
      <c r="L47" s="580">
        <f>L46</f>
        <v>80</v>
      </c>
    </row>
    <row r="48" spans="1:12" ht="15.75" hidden="1" thickBot="1" x14ac:dyDescent="0.3">
      <c r="A48" s="359">
        <v>1</v>
      </c>
      <c r="B48" s="827" t="s">
        <v>674</v>
      </c>
      <c r="C48" s="827" t="s">
        <v>668</v>
      </c>
      <c r="D48" s="830">
        <v>7.7452752293577998</v>
      </c>
      <c r="E48" s="447">
        <f t="shared" si="13"/>
        <v>1</v>
      </c>
      <c r="F48" s="834">
        <f>(D48+E48)/2</f>
        <v>4.3726376146788999</v>
      </c>
      <c r="G48" s="449">
        <f t="shared" si="9"/>
        <v>11.4</v>
      </c>
      <c r="H48" s="450">
        <f t="shared" si="10"/>
        <v>19</v>
      </c>
      <c r="I48" s="529">
        <f t="shared" si="11"/>
        <v>27.150000000000002</v>
      </c>
      <c r="J48" s="536" t="s">
        <v>669</v>
      </c>
      <c r="K48" s="530" t="s">
        <v>673</v>
      </c>
      <c r="L48" s="581">
        <f>I48</f>
        <v>27.150000000000002</v>
      </c>
    </row>
    <row r="49" spans="1:14" ht="15.75" hidden="1" thickBot="1" x14ac:dyDescent="0.3">
      <c r="A49" s="359">
        <f>1+A48</f>
        <v>2</v>
      </c>
      <c r="B49" s="827" t="s">
        <v>675</v>
      </c>
      <c r="C49" s="827">
        <v>110</v>
      </c>
      <c r="D49" s="830">
        <v>12.0271559633028</v>
      </c>
      <c r="E49" s="447">
        <f t="shared" si="13"/>
        <v>1</v>
      </c>
      <c r="F49" s="834">
        <f>(D49+E49)/2</f>
        <v>6.5135779816513999</v>
      </c>
      <c r="G49" s="449">
        <f t="shared" si="9"/>
        <v>16.95</v>
      </c>
      <c r="H49" s="450">
        <f t="shared" si="10"/>
        <v>28.25</v>
      </c>
      <c r="I49" s="529">
        <f t="shared" si="11"/>
        <v>40.400000000000006</v>
      </c>
      <c r="J49" s="536" t="s">
        <v>670</v>
      </c>
      <c r="K49" s="530" t="s">
        <v>673</v>
      </c>
      <c r="L49" s="581">
        <f>I49</f>
        <v>40.400000000000006</v>
      </c>
    </row>
    <row r="50" spans="1:14" ht="15.75" hidden="1" thickBot="1" x14ac:dyDescent="0.3">
      <c r="A50" s="359">
        <f>1+A49</f>
        <v>3</v>
      </c>
      <c r="B50" s="827" t="s">
        <v>676</v>
      </c>
      <c r="C50" s="827">
        <v>110</v>
      </c>
      <c r="D50" s="830">
        <v>13.119862385321101</v>
      </c>
      <c r="E50" s="447">
        <f t="shared" si="13"/>
        <v>1</v>
      </c>
      <c r="F50" s="834">
        <f>(D50+E50)/2</f>
        <v>7.0599311926605504</v>
      </c>
      <c r="G50" s="449">
        <f t="shared" si="9"/>
        <v>18.350000000000001</v>
      </c>
      <c r="H50" s="450">
        <f t="shared" si="10"/>
        <v>30.6</v>
      </c>
      <c r="I50" s="529">
        <f t="shared" si="11"/>
        <v>43.75</v>
      </c>
      <c r="J50" s="536" t="s">
        <v>671</v>
      </c>
      <c r="K50" s="530" t="s">
        <v>673</v>
      </c>
      <c r="L50" s="581">
        <f>I50</f>
        <v>43.75</v>
      </c>
    </row>
    <row r="51" spans="1:14" ht="15.75" hidden="1" thickBot="1" x14ac:dyDescent="0.3">
      <c r="A51" s="359">
        <f>1+A50</f>
        <v>4</v>
      </c>
      <c r="B51" s="827" t="s">
        <v>677</v>
      </c>
      <c r="C51" s="827">
        <v>110</v>
      </c>
      <c r="D51" s="830">
        <v>16.706880733944999</v>
      </c>
      <c r="E51" s="447">
        <f t="shared" si="13"/>
        <v>1</v>
      </c>
      <c r="F51" s="834">
        <f>(D51+E51)/2</f>
        <v>8.8534403669724995</v>
      </c>
      <c r="G51" s="449">
        <f t="shared" si="9"/>
        <v>23</v>
      </c>
      <c r="H51" s="450">
        <f t="shared" si="10"/>
        <v>38.35</v>
      </c>
      <c r="I51" s="529">
        <f t="shared" si="11"/>
        <v>54.800000000000004</v>
      </c>
      <c r="J51" s="536" t="s">
        <v>672</v>
      </c>
      <c r="K51" s="530" t="s">
        <v>673</v>
      </c>
      <c r="L51" s="581">
        <f>I51</f>
        <v>54.800000000000004</v>
      </c>
    </row>
    <row r="52" spans="1:14" hidden="1" x14ac:dyDescent="0.25"/>
    <row r="53" spans="1:14" hidden="1" x14ac:dyDescent="0.25">
      <c r="F53" s="526" t="s">
        <v>667</v>
      </c>
    </row>
    <row r="54" spans="1:14" hidden="1" x14ac:dyDescent="0.25"/>
    <row r="55" spans="1:14" hidden="1" x14ac:dyDescent="0.25"/>
    <row r="56" spans="1:14" hidden="1" x14ac:dyDescent="0.25">
      <c r="G56" s="938" t="s">
        <v>172</v>
      </c>
      <c r="H56" s="939"/>
      <c r="I56" s="940"/>
      <c r="M56" s="284"/>
      <c r="N56" s="284"/>
    </row>
    <row r="57" spans="1:14" hidden="1" x14ac:dyDescent="0.25">
      <c r="G57" s="436">
        <f>'MARK UP''s'!D11</f>
        <v>0.5</v>
      </c>
      <c r="H57" s="436">
        <f>'MARK UP''s'!E11</f>
        <v>0.4</v>
      </c>
      <c r="I57" s="436">
        <f>'MARK UP''s'!F11</f>
        <v>0.3</v>
      </c>
    </row>
    <row r="58" spans="1:14" hidden="1" x14ac:dyDescent="0.25">
      <c r="G58" s="438" t="s">
        <v>77</v>
      </c>
      <c r="H58" s="438" t="s">
        <v>174</v>
      </c>
      <c r="I58" s="438" t="s">
        <v>175</v>
      </c>
    </row>
    <row r="59" spans="1:14" ht="30" hidden="1" x14ac:dyDescent="0.25">
      <c r="B59" s="453" t="s">
        <v>146</v>
      </c>
      <c r="C59" s="453" t="s">
        <v>145</v>
      </c>
      <c r="D59" s="441" t="s">
        <v>166</v>
      </c>
      <c r="E59" s="441" t="s">
        <v>167</v>
      </c>
      <c r="F59" s="441" t="s">
        <v>168</v>
      </c>
      <c r="G59" s="454" t="s">
        <v>148</v>
      </c>
      <c r="H59" s="455" t="s">
        <v>148</v>
      </c>
      <c r="I59" s="456" t="s">
        <v>148</v>
      </c>
    </row>
    <row r="60" spans="1:14" hidden="1" x14ac:dyDescent="0.25">
      <c r="B60" s="430" t="s">
        <v>147</v>
      </c>
      <c r="C60" s="430">
        <v>110</v>
      </c>
      <c r="D60" s="446">
        <f>4.89+0.92</f>
        <v>5.81</v>
      </c>
      <c r="E60" s="446">
        <f>(((8500/10900)+(9500/21800))/2)+0.58</f>
        <v>1.1877981651376146</v>
      </c>
      <c r="F60" s="447">
        <f>D60+E60</f>
        <v>6.9977981651376142</v>
      </c>
      <c r="G60" s="449">
        <f>CEILING(F60/(1-$G$57),0.05)</f>
        <v>14</v>
      </c>
      <c r="H60" s="450">
        <f>CEILING(G60/(1-$H$57),0.05)</f>
        <v>23.35</v>
      </c>
      <c r="I60" s="451">
        <f>CEILING(H60/(1-$I$57),0.05)</f>
        <v>33.4</v>
      </c>
      <c r="J60" s="284"/>
    </row>
    <row r="61" spans="1:14" hidden="1" x14ac:dyDescent="0.25">
      <c r="B61" s="430" t="s">
        <v>165</v>
      </c>
      <c r="C61" s="430">
        <v>110</v>
      </c>
      <c r="D61" s="446">
        <f>4.89+0.92</f>
        <v>5.81</v>
      </c>
      <c r="E61" s="446">
        <f>(((8500/10900)+(9500/21800))/2)+0.58</f>
        <v>1.1877981651376146</v>
      </c>
      <c r="F61" s="447">
        <f>D61+E61</f>
        <v>6.9977981651376142</v>
      </c>
      <c r="G61" s="449">
        <f>CEILING(F61/(1-$G$57),0.05)</f>
        <v>14</v>
      </c>
      <c r="H61" s="450">
        <f>CEILING(G61/(1-$H$57),0.05)</f>
        <v>23.35</v>
      </c>
      <c r="I61" s="451">
        <f>CEILING(H61/(1-$I$57),0.05)</f>
        <v>33.4</v>
      </c>
    </row>
    <row r="62" spans="1:14" hidden="1" x14ac:dyDescent="0.25">
      <c r="B62" s="430" t="s">
        <v>163</v>
      </c>
      <c r="C62" s="430">
        <v>54</v>
      </c>
      <c r="D62" s="525">
        <f>(1.28+0.02)+0.2</f>
        <v>1.5</v>
      </c>
      <c r="E62" s="447">
        <v>0.35</v>
      </c>
      <c r="F62" s="447">
        <f>D62+E62</f>
        <v>1.85</v>
      </c>
      <c r="G62" s="449">
        <f>CEILING(F62/(1-$G$57),0.05)</f>
        <v>3.7</v>
      </c>
      <c r="H62" s="450">
        <f>CEILING(G62/(1-$H$57),0.05)</f>
        <v>6.2</v>
      </c>
      <c r="I62" s="451">
        <f>CEILING(H62/(1-$I$57),0.05)</f>
        <v>8.9</v>
      </c>
      <c r="J62" s="284"/>
    </row>
    <row r="63" spans="1:14" hidden="1" x14ac:dyDescent="0.25">
      <c r="B63" s="430" t="s">
        <v>164</v>
      </c>
      <c r="C63" s="430">
        <v>54</v>
      </c>
      <c r="D63" s="525">
        <f>(1.28+0.02)+0.2</f>
        <v>1.5</v>
      </c>
      <c r="E63" s="447">
        <v>0.35</v>
      </c>
      <c r="F63" s="447">
        <f>D63+E63</f>
        <v>1.85</v>
      </c>
      <c r="G63" s="449">
        <f>CEILING(F63/(1-$G$57),0.05)</f>
        <v>3.7</v>
      </c>
      <c r="H63" s="450">
        <f>CEILING(G63/(1-$H$57),0.05)</f>
        <v>6.2</v>
      </c>
      <c r="I63" s="451">
        <f>CEILING(H63/(1-$I$57),0.05)</f>
        <v>8.9</v>
      </c>
    </row>
    <row r="64" spans="1:14" hidden="1" x14ac:dyDescent="0.25"/>
    <row r="65" spans="2:19" hidden="1" x14ac:dyDescent="0.25"/>
    <row r="66" spans="2:19" ht="15.75" hidden="1" thickBot="1" x14ac:dyDescent="0.3"/>
    <row r="67" spans="2:19" ht="16.5" hidden="1" thickBot="1" x14ac:dyDescent="0.3">
      <c r="G67" s="935" t="s">
        <v>172</v>
      </c>
      <c r="H67" s="936"/>
      <c r="I67" s="936"/>
      <c r="J67" s="936"/>
      <c r="K67" s="935" t="s">
        <v>172</v>
      </c>
      <c r="L67" s="936"/>
      <c r="M67" s="936"/>
      <c r="N67" s="937"/>
      <c r="O67" s="457"/>
      <c r="P67" s="935" t="s">
        <v>172</v>
      </c>
      <c r="Q67" s="936"/>
      <c r="R67" s="936"/>
      <c r="S67" s="937"/>
    </row>
    <row r="68" spans="2:19" ht="15.75" hidden="1" x14ac:dyDescent="0.25">
      <c r="C68" s="935" t="s">
        <v>196</v>
      </c>
      <c r="D68" s="936"/>
      <c r="E68" s="936"/>
      <c r="F68" s="937"/>
      <c r="G68" s="963">
        <f>'MARK UP''s'!D12</f>
        <v>0.5</v>
      </c>
      <c r="H68" s="964"/>
      <c r="I68" s="964"/>
      <c r="J68" s="964"/>
      <c r="K68" s="963">
        <f>'MARK UP''s'!E12</f>
        <v>0.4</v>
      </c>
      <c r="L68" s="964"/>
      <c r="M68" s="964"/>
      <c r="N68" s="965"/>
      <c r="O68" s="458"/>
      <c r="P68" s="963">
        <f>'MARK UP''s'!F12</f>
        <v>0.3</v>
      </c>
      <c r="Q68" s="964"/>
      <c r="R68" s="964"/>
      <c r="S68" s="965"/>
    </row>
    <row r="69" spans="2:19" ht="16.5" hidden="1" thickBot="1" x14ac:dyDescent="0.3">
      <c r="C69" s="960" t="s">
        <v>77</v>
      </c>
      <c r="D69" s="961"/>
      <c r="E69" s="961"/>
      <c r="F69" s="962"/>
      <c r="G69" s="960" t="s">
        <v>77</v>
      </c>
      <c r="H69" s="961"/>
      <c r="I69" s="961"/>
      <c r="J69" s="961"/>
      <c r="K69" s="960" t="s">
        <v>174</v>
      </c>
      <c r="L69" s="961"/>
      <c r="M69" s="961"/>
      <c r="N69" s="962"/>
      <c r="O69" s="459"/>
      <c r="P69" s="960" t="s">
        <v>175</v>
      </c>
      <c r="Q69" s="961"/>
      <c r="R69" s="961"/>
      <c r="S69" s="962"/>
    </row>
    <row r="70" spans="2:19" ht="15.75" hidden="1" thickBot="1" x14ac:dyDescent="0.3">
      <c r="B70" s="460" t="s">
        <v>193</v>
      </c>
      <c r="C70" s="461">
        <v>36</v>
      </c>
      <c r="D70" s="462">
        <v>48</v>
      </c>
      <c r="E70" s="462">
        <v>60</v>
      </c>
      <c r="F70" s="463">
        <v>72</v>
      </c>
      <c r="G70" s="464">
        <v>36</v>
      </c>
      <c r="H70" s="465">
        <v>48</v>
      </c>
      <c r="I70" s="465">
        <v>60</v>
      </c>
      <c r="J70" s="466">
        <v>72</v>
      </c>
      <c r="K70" s="467">
        <v>36</v>
      </c>
      <c r="L70" s="468">
        <v>48</v>
      </c>
      <c r="M70" s="468">
        <v>60</v>
      </c>
      <c r="N70" s="469">
        <v>72</v>
      </c>
      <c r="O70" s="460" t="s">
        <v>193</v>
      </c>
      <c r="P70" s="835">
        <v>36</v>
      </c>
      <c r="Q70" s="836">
        <v>48</v>
      </c>
      <c r="R70" s="836">
        <v>60</v>
      </c>
      <c r="S70" s="837">
        <v>72</v>
      </c>
    </row>
    <row r="71" spans="2:19" hidden="1" x14ac:dyDescent="0.25">
      <c r="B71" s="470" t="s">
        <v>289</v>
      </c>
      <c r="C71" s="471">
        <f>0.9624*2</f>
        <v>1.9248000000000001</v>
      </c>
      <c r="D71" s="472">
        <f>1.2332*2</f>
        <v>2.4664000000000001</v>
      </c>
      <c r="E71" s="472">
        <f>3.18+0.02</f>
        <v>3.2</v>
      </c>
      <c r="F71" s="473">
        <f>3.9+0.1</f>
        <v>4</v>
      </c>
      <c r="G71" s="474">
        <f>CEILING(C71/(1-$G$68),0.05)</f>
        <v>3.85</v>
      </c>
      <c r="H71" s="475">
        <f t="shared" ref="G71:J73" si="14">CEILING(D71/(1-$G$68),0.05)</f>
        <v>4.95</v>
      </c>
      <c r="I71" s="475">
        <f t="shared" si="14"/>
        <v>6.4</v>
      </c>
      <c r="J71" s="476">
        <f t="shared" si="14"/>
        <v>8</v>
      </c>
      <c r="K71" s="477">
        <f>CEILING(G71/(1-$K$68),0.05)</f>
        <v>6.45</v>
      </c>
      <c r="L71" s="309">
        <f t="shared" ref="K71:N73" si="15">CEILING(H71/(1-$K$68),0.05)</f>
        <v>8.25</v>
      </c>
      <c r="M71" s="309">
        <f t="shared" si="15"/>
        <v>10.700000000000001</v>
      </c>
      <c r="N71" s="478">
        <f t="shared" si="15"/>
        <v>13.350000000000001</v>
      </c>
      <c r="O71" s="470" t="s">
        <v>289</v>
      </c>
      <c r="P71" s="838">
        <f>CEILING(K71/(1-$P$68),0.05)</f>
        <v>9.25</v>
      </c>
      <c r="Q71" s="839">
        <f t="shared" ref="P71:S73" si="16">CEILING(L71/(1-$P$68),0.05)</f>
        <v>11.8</v>
      </c>
      <c r="R71" s="839">
        <f t="shared" si="16"/>
        <v>15.3</v>
      </c>
      <c r="S71" s="840">
        <f t="shared" si="16"/>
        <v>19.100000000000001</v>
      </c>
    </row>
    <row r="72" spans="2:19" hidden="1" x14ac:dyDescent="0.25">
      <c r="B72" s="470" t="s">
        <v>290</v>
      </c>
      <c r="C72" s="471">
        <f>1.8423*2</f>
        <v>3.6846000000000001</v>
      </c>
      <c r="D72" s="472">
        <f>2.2529*2</f>
        <v>4.5057999999999998</v>
      </c>
      <c r="E72" s="472">
        <v>6.42</v>
      </c>
      <c r="F72" s="473">
        <v>8.6999999999999993</v>
      </c>
      <c r="G72" s="479">
        <f t="shared" si="14"/>
        <v>7.4</v>
      </c>
      <c r="H72" s="480">
        <f t="shared" si="14"/>
        <v>9.0500000000000007</v>
      </c>
      <c r="I72" s="480">
        <f t="shared" si="14"/>
        <v>12.850000000000001</v>
      </c>
      <c r="J72" s="481">
        <f t="shared" si="14"/>
        <v>17.400000000000002</v>
      </c>
      <c r="K72" s="482">
        <f t="shared" si="15"/>
        <v>12.350000000000001</v>
      </c>
      <c r="L72" s="319">
        <f t="shared" si="15"/>
        <v>15.100000000000001</v>
      </c>
      <c r="M72" s="319">
        <f t="shared" si="15"/>
        <v>21.450000000000003</v>
      </c>
      <c r="N72" s="483">
        <f t="shared" si="15"/>
        <v>29</v>
      </c>
      <c r="O72" s="470" t="s">
        <v>290</v>
      </c>
      <c r="P72" s="841">
        <f t="shared" si="16"/>
        <v>17.650000000000002</v>
      </c>
      <c r="Q72" s="842">
        <f t="shared" si="16"/>
        <v>21.6</v>
      </c>
      <c r="R72" s="842">
        <f t="shared" si="16"/>
        <v>30.650000000000002</v>
      </c>
      <c r="S72" s="843">
        <f t="shared" si="16"/>
        <v>41.45</v>
      </c>
    </row>
    <row r="73" spans="2:19" ht="15.75" hidden="1" thickBot="1" x14ac:dyDescent="0.3">
      <c r="B73" s="484" t="s">
        <v>271</v>
      </c>
      <c r="C73" s="485">
        <f>6.95*2</f>
        <v>13.9</v>
      </c>
      <c r="D73" s="486">
        <f>8.08*2</f>
        <v>16.16</v>
      </c>
      <c r="E73" s="486">
        <f>10.34*2</f>
        <v>20.68</v>
      </c>
      <c r="F73" s="487">
        <f>11.5*2</f>
        <v>23</v>
      </c>
      <c r="G73" s="488">
        <f t="shared" si="14"/>
        <v>27.8</v>
      </c>
      <c r="H73" s="489">
        <f t="shared" si="14"/>
        <v>32.35</v>
      </c>
      <c r="I73" s="489">
        <f t="shared" si="14"/>
        <v>41.400000000000006</v>
      </c>
      <c r="J73" s="490">
        <f t="shared" si="14"/>
        <v>46</v>
      </c>
      <c r="K73" s="491">
        <f t="shared" si="15"/>
        <v>46.35</v>
      </c>
      <c r="L73" s="322">
        <f t="shared" si="15"/>
        <v>53.95</v>
      </c>
      <c r="M73" s="322">
        <f t="shared" si="15"/>
        <v>69</v>
      </c>
      <c r="N73" s="492">
        <f t="shared" si="15"/>
        <v>76.7</v>
      </c>
      <c r="O73" s="484" t="s">
        <v>271</v>
      </c>
      <c r="P73" s="844">
        <f t="shared" si="16"/>
        <v>66.25</v>
      </c>
      <c r="Q73" s="845">
        <f t="shared" si="16"/>
        <v>77.100000000000009</v>
      </c>
      <c r="R73" s="845">
        <f t="shared" si="16"/>
        <v>98.600000000000009</v>
      </c>
      <c r="S73" s="846">
        <f t="shared" si="16"/>
        <v>109.60000000000001</v>
      </c>
    </row>
    <row r="74" spans="2:19" hidden="1" x14ac:dyDescent="0.25"/>
    <row r="75" spans="2:19" hidden="1" x14ac:dyDescent="0.25">
      <c r="D75" s="493"/>
      <c r="E75" s="493"/>
      <c r="F75" s="493"/>
    </row>
    <row r="76" spans="2:19" hidden="1" x14ac:dyDescent="0.25"/>
    <row r="77" spans="2:19" ht="15.75" hidden="1" thickBot="1" x14ac:dyDescent="0.3">
      <c r="G77" s="495"/>
      <c r="I77" s="343"/>
    </row>
    <row r="78" spans="2:19" ht="15.75" hidden="1" thickBot="1" x14ac:dyDescent="0.3">
      <c r="D78" s="966" t="s">
        <v>172</v>
      </c>
      <c r="E78" s="967"/>
      <c r="F78" s="968"/>
      <c r="G78" s="619" t="s">
        <v>77</v>
      </c>
      <c r="H78" s="618" t="s">
        <v>174</v>
      </c>
      <c r="I78" s="617" t="s">
        <v>175</v>
      </c>
      <c r="K78" s="265" t="s">
        <v>728</v>
      </c>
    </row>
    <row r="79" spans="2:19" ht="15.75" hidden="1" thickBot="1" x14ac:dyDescent="0.3">
      <c r="B79" s="588" t="s">
        <v>194</v>
      </c>
      <c r="C79" s="589" t="s">
        <v>195</v>
      </c>
      <c r="D79" s="610" t="s">
        <v>77</v>
      </c>
      <c r="E79" s="611" t="s">
        <v>174</v>
      </c>
      <c r="F79" s="612" t="s">
        <v>175</v>
      </c>
      <c r="G79" s="590" t="s">
        <v>716</v>
      </c>
      <c r="H79" s="591" t="s">
        <v>717</v>
      </c>
      <c r="I79" s="592" t="s">
        <v>717</v>
      </c>
      <c r="J79" s="452">
        <v>0.5</v>
      </c>
      <c r="K79" s="284">
        <f>$I$88*(1-J79)</f>
        <v>60.25</v>
      </c>
    </row>
    <row r="80" spans="2:19" hidden="1" x14ac:dyDescent="0.25">
      <c r="B80" s="593" t="s">
        <v>736</v>
      </c>
      <c r="C80" s="594">
        <v>1.95</v>
      </c>
      <c r="D80" s="607">
        <f>'MARK UP''s'!D13</f>
        <v>0.45</v>
      </c>
      <c r="E80" s="595">
        <f>'MARK UP''s'!E13</f>
        <v>0.4</v>
      </c>
      <c r="F80" s="607">
        <f>'MARK UP''s'!F13</f>
        <v>0.3</v>
      </c>
      <c r="G80" s="596">
        <f>CEILING(C80/(1-$D80),0.05)</f>
        <v>3.5500000000000003</v>
      </c>
      <c r="H80" s="597">
        <f>CEILING(G80/(1-$E80),0.05)</f>
        <v>5.95</v>
      </c>
      <c r="I80" s="598">
        <f>CEILING(H80/(1-$F80),0.05)</f>
        <v>8.5</v>
      </c>
      <c r="J80" s="452">
        <v>0.4</v>
      </c>
      <c r="K80" s="284">
        <f>$I$88*(1-J80)</f>
        <v>72.3</v>
      </c>
      <c r="L80" s="284"/>
    </row>
    <row r="81" spans="2:12" hidden="1" x14ac:dyDescent="0.25">
      <c r="B81" s="423" t="s">
        <v>737</v>
      </c>
      <c r="C81" s="674">
        <v>3.15</v>
      </c>
      <c r="D81" s="608">
        <f>'MARK UP''s'!D14</f>
        <v>0.4</v>
      </c>
      <c r="E81" s="675">
        <f>'MARK UP''s'!E15</f>
        <v>0.4</v>
      </c>
      <c r="F81" s="676">
        <f>'MARK UP''s'!F15</f>
        <v>0.3</v>
      </c>
      <c r="G81" s="677">
        <f>CEILING(C81/(1-$D81),0.05)</f>
        <v>5.25</v>
      </c>
      <c r="H81" s="678">
        <f>CEILING(G81/(1-$E81),0.05)</f>
        <v>8.75</v>
      </c>
      <c r="I81" s="679">
        <f>CEILING(H81/(1-$F81),0.05)</f>
        <v>12.5</v>
      </c>
      <c r="J81" s="452"/>
      <c r="K81" s="284"/>
      <c r="L81" s="284"/>
    </row>
    <row r="82" spans="2:12" hidden="1" x14ac:dyDescent="0.25">
      <c r="B82" s="426" t="s">
        <v>740</v>
      </c>
      <c r="C82" s="496">
        <v>8.15</v>
      </c>
      <c r="D82" s="608">
        <f>'MARK UP''s'!D15</f>
        <v>0.5</v>
      </c>
      <c r="E82" s="494">
        <f>'MARK UP''s'!E15</f>
        <v>0.4</v>
      </c>
      <c r="F82" s="608">
        <f>'MARK UP''s'!F15</f>
        <v>0.3</v>
      </c>
      <c r="G82" s="497">
        <f>CEILING(C82/(1-$D82),0.05)</f>
        <v>16.3</v>
      </c>
      <c r="H82" s="450">
        <f>CEILING(G82/(1-$E82),0.05)</f>
        <v>27.200000000000003</v>
      </c>
      <c r="I82" s="498">
        <f>CEILING(H82/(1-$F82),0.05)</f>
        <v>38.900000000000006</v>
      </c>
      <c r="J82" s="452">
        <v>0.35</v>
      </c>
      <c r="K82" s="284">
        <f>$I$88*(1-J82)</f>
        <v>78.325000000000003</v>
      </c>
      <c r="L82" s="284"/>
    </row>
    <row r="83" spans="2:12" hidden="1" x14ac:dyDescent="0.25">
      <c r="B83" s="426" t="s">
        <v>741</v>
      </c>
      <c r="C83" s="496">
        <v>9.3000000000000007</v>
      </c>
      <c r="D83" s="608">
        <f>'MARK UP''s'!D16</f>
        <v>0.5</v>
      </c>
      <c r="E83" s="494">
        <f>'MARK UP''s'!E17</f>
        <v>0.4</v>
      </c>
      <c r="F83" s="608">
        <f>'MARK UP''s'!F17</f>
        <v>0.3</v>
      </c>
      <c r="G83" s="497">
        <f>CEILING(C83/(1-$D83),0.05)</f>
        <v>18.600000000000001</v>
      </c>
      <c r="H83" s="450">
        <f>CEILING(G83/(1-$E83),0.05)</f>
        <v>31</v>
      </c>
      <c r="I83" s="498">
        <f>CEILING(H83/(1-$F83),0.05)</f>
        <v>44.300000000000004</v>
      </c>
      <c r="J83" s="452"/>
      <c r="K83" s="284"/>
      <c r="L83" s="284"/>
    </row>
    <row r="84" spans="2:12" hidden="1" x14ac:dyDescent="0.25">
      <c r="B84" s="426" t="s">
        <v>280</v>
      </c>
      <c r="C84" s="685">
        <f>2.8+0.2</f>
        <v>3</v>
      </c>
      <c r="D84" s="688">
        <f>'MARK UP''s'!D17</f>
        <v>0.61499999999999999</v>
      </c>
      <c r="E84" s="494">
        <f>'MARK UP''s'!E17</f>
        <v>0.4</v>
      </c>
      <c r="F84" s="608">
        <f>'MARK UP''s'!F17</f>
        <v>0.3</v>
      </c>
      <c r="G84" s="497">
        <f t="shared" ref="G84:G91" si="17">CEILING(C84/(1-$D84),0.05)</f>
        <v>7.8000000000000007</v>
      </c>
      <c r="H84" s="450">
        <f t="shared" ref="H84:H91" si="18">CEILING(G84/(1-$E84),0.05)</f>
        <v>13</v>
      </c>
      <c r="I84" s="498">
        <f t="shared" ref="I84:I91" si="19">CEILING(H84/(1-$F84),0.05)</f>
        <v>18.600000000000001</v>
      </c>
      <c r="J84" s="452">
        <f>J82-0.05</f>
        <v>0.3</v>
      </c>
      <c r="K84" s="284">
        <f>$I$88*(1-J84)</f>
        <v>84.35</v>
      </c>
    </row>
    <row r="85" spans="2:12" hidden="1" x14ac:dyDescent="0.25">
      <c r="B85" s="426" t="s">
        <v>342</v>
      </c>
      <c r="C85" s="685">
        <f>4.6+0.9</f>
        <v>5.5</v>
      </c>
      <c r="D85" s="608">
        <f>'MARK UP''s'!D18</f>
        <v>0.74999999999999989</v>
      </c>
      <c r="E85" s="494">
        <f>'MARK UP''s'!E18</f>
        <v>0.4</v>
      </c>
      <c r="F85" s="608">
        <f>'MARK UP''s'!F18</f>
        <v>0.3</v>
      </c>
      <c r="G85" s="497">
        <f t="shared" si="17"/>
        <v>22</v>
      </c>
      <c r="H85" s="450">
        <f t="shared" si="18"/>
        <v>36.700000000000003</v>
      </c>
      <c r="I85" s="498">
        <f t="shared" si="19"/>
        <v>52.45</v>
      </c>
      <c r="J85" s="452">
        <f t="shared" ref="J85:J88" si="20">J84-0.05</f>
        <v>0.25</v>
      </c>
      <c r="K85" s="284">
        <f>$I$88*(1-J85)</f>
        <v>90.375</v>
      </c>
    </row>
    <row r="86" spans="2:12" hidden="1" x14ac:dyDescent="0.25">
      <c r="B86" s="604" t="s">
        <v>340</v>
      </c>
      <c r="C86" s="496">
        <f>D106</f>
        <v>15.097020803270803</v>
      </c>
      <c r="D86" s="608">
        <f>'MARK UP''s'!D19</f>
        <v>0.5</v>
      </c>
      <c r="E86" s="494">
        <f>'MARK UP''s'!E19</f>
        <v>0.4</v>
      </c>
      <c r="F86" s="608">
        <f>'MARK UP''s'!F19</f>
        <v>0.3</v>
      </c>
      <c r="G86" s="497">
        <f t="shared" si="17"/>
        <v>30.200000000000003</v>
      </c>
      <c r="H86" s="450">
        <f t="shared" si="18"/>
        <v>50.35</v>
      </c>
      <c r="I86" s="498">
        <f t="shared" si="19"/>
        <v>71.95</v>
      </c>
      <c r="J86" s="452">
        <f t="shared" si="20"/>
        <v>0.2</v>
      </c>
      <c r="K86" s="284">
        <f>$I$88*(1-J86)</f>
        <v>96.4</v>
      </c>
    </row>
    <row r="87" spans="2:12" hidden="1" x14ac:dyDescent="0.25">
      <c r="B87" s="426" t="s">
        <v>277</v>
      </c>
      <c r="C87" s="496">
        <v>16.25</v>
      </c>
      <c r="D87" s="608">
        <f>'MARK UP''s'!D20</f>
        <v>0.5</v>
      </c>
      <c r="E87" s="494">
        <f>'MARK UP''s'!E20</f>
        <v>0.4</v>
      </c>
      <c r="F87" s="608">
        <f>'MARK UP''s'!F20</f>
        <v>0.3</v>
      </c>
      <c r="G87" s="497">
        <f t="shared" si="17"/>
        <v>32.5</v>
      </c>
      <c r="H87" s="450">
        <f t="shared" si="18"/>
        <v>54.2</v>
      </c>
      <c r="I87" s="498">
        <f t="shared" si="19"/>
        <v>77.45</v>
      </c>
      <c r="J87" s="452">
        <f t="shared" si="20"/>
        <v>0.15000000000000002</v>
      </c>
      <c r="K87" s="284">
        <f>$I$88*(1-J87)</f>
        <v>102.425</v>
      </c>
    </row>
    <row r="88" spans="2:12" hidden="1" x14ac:dyDescent="0.25">
      <c r="B88" s="426" t="s">
        <v>284</v>
      </c>
      <c r="C88" s="496">
        <v>22</v>
      </c>
      <c r="D88" s="608">
        <f>'MARK UP''s'!D21</f>
        <v>0.56499999999999995</v>
      </c>
      <c r="E88" s="494">
        <f>'MARK UP''s'!E21</f>
        <v>0.4</v>
      </c>
      <c r="F88" s="608">
        <f>'MARK UP''s'!F21</f>
        <v>0.3</v>
      </c>
      <c r="G88" s="497">
        <f>CEILING(C88/(1-$D88),0.05)</f>
        <v>50.6</v>
      </c>
      <c r="H88" s="450">
        <f>CEILING(G88/(1-$E88),0.05)</f>
        <v>84.350000000000009</v>
      </c>
      <c r="I88" s="498">
        <f>CEILING(H88/(1-$F88),0.05)</f>
        <v>120.5</v>
      </c>
      <c r="J88" s="452">
        <f t="shared" si="20"/>
        <v>0.10000000000000002</v>
      </c>
      <c r="K88" s="284">
        <f>$I$88*(1-J88)</f>
        <v>108.45</v>
      </c>
    </row>
    <row r="89" spans="2:12" hidden="1" x14ac:dyDescent="0.25">
      <c r="B89" s="426" t="s">
        <v>282</v>
      </c>
      <c r="C89" s="496">
        <f>17+5</f>
        <v>22</v>
      </c>
      <c r="D89" s="608">
        <f>'MARK UP''s'!D22</f>
        <v>0.56499999999999995</v>
      </c>
      <c r="E89" s="494">
        <f>'MARK UP''s'!E22</f>
        <v>0.4</v>
      </c>
      <c r="F89" s="608">
        <f>'MARK UP''s'!F22</f>
        <v>0.3</v>
      </c>
      <c r="G89" s="497">
        <f t="shared" si="17"/>
        <v>50.6</v>
      </c>
      <c r="H89" s="450">
        <f t="shared" si="18"/>
        <v>84.350000000000009</v>
      </c>
      <c r="I89" s="498">
        <f t="shared" si="19"/>
        <v>120.5</v>
      </c>
      <c r="J89" s="284">
        <f>C88/(1-0.415)</f>
        <v>37.606837606837608</v>
      </c>
      <c r="K89" s="284">
        <f>J89/0.6</f>
        <v>62.67806267806268</v>
      </c>
      <c r="L89" s="284">
        <f>K89/0.7</f>
        <v>89.540089540089554</v>
      </c>
    </row>
    <row r="90" spans="2:12" hidden="1" x14ac:dyDescent="0.25">
      <c r="B90" s="426" t="s">
        <v>155</v>
      </c>
      <c r="C90" s="496">
        <v>27</v>
      </c>
      <c r="D90" s="608">
        <f>'MARK UP''s'!D23</f>
        <v>0.56499999999999995</v>
      </c>
      <c r="E90" s="494">
        <f>'MARK UP''s'!E23</f>
        <v>0.4</v>
      </c>
      <c r="F90" s="608">
        <f>'MARK UP''s'!F23</f>
        <v>0.3</v>
      </c>
      <c r="G90" s="497">
        <f t="shared" si="17"/>
        <v>62.1</v>
      </c>
      <c r="H90" s="450">
        <f t="shared" si="18"/>
        <v>103.5</v>
      </c>
      <c r="I90" s="498">
        <f t="shared" si="19"/>
        <v>147.9</v>
      </c>
      <c r="J90" s="661"/>
    </row>
    <row r="91" spans="2:12" ht="15.75" hidden="1" thickBot="1" x14ac:dyDescent="0.3">
      <c r="B91" s="427" t="s">
        <v>276</v>
      </c>
      <c r="C91" s="599">
        <v>50</v>
      </c>
      <c r="D91" s="609">
        <f>'MARK UP''s'!D24</f>
        <v>0.4</v>
      </c>
      <c r="E91" s="600">
        <f>'MARK UP''s'!E24</f>
        <v>0.4</v>
      </c>
      <c r="F91" s="609">
        <f>'MARK UP''s'!F24</f>
        <v>0.3</v>
      </c>
      <c r="G91" s="601">
        <f t="shared" si="17"/>
        <v>83.350000000000009</v>
      </c>
      <c r="H91" s="602">
        <f t="shared" si="18"/>
        <v>138.95000000000002</v>
      </c>
      <c r="I91" s="603">
        <f t="shared" si="19"/>
        <v>198.5</v>
      </c>
      <c r="J91" s="284"/>
    </row>
    <row r="92" spans="2:12" hidden="1" x14ac:dyDescent="0.25"/>
    <row r="93" spans="2:12" hidden="1" x14ac:dyDescent="0.25">
      <c r="C93" s="284"/>
      <c r="D93" s="284"/>
      <c r="E93" s="284"/>
      <c r="F93" s="284"/>
    </row>
    <row r="94" spans="2:12" hidden="1" x14ac:dyDescent="0.25">
      <c r="C94" s="284"/>
      <c r="D94" s="284"/>
    </row>
    <row r="95" spans="2:12" hidden="1" x14ac:dyDescent="0.25"/>
    <row r="96" spans="2:12" hidden="1" x14ac:dyDescent="0.25"/>
    <row r="97" spans="2:9" ht="15.75" hidden="1" thickBot="1" x14ac:dyDescent="0.3"/>
    <row r="98" spans="2:9" hidden="1" x14ac:dyDescent="0.25">
      <c r="B98" s="928" t="s">
        <v>708</v>
      </c>
      <c r="C98" s="929"/>
      <c r="D98" s="932" t="s">
        <v>339</v>
      </c>
      <c r="E98" s="933"/>
      <c r="F98" s="933"/>
      <c r="G98" s="933"/>
      <c r="H98" s="933"/>
      <c r="I98" s="934"/>
    </row>
    <row r="99" spans="2:9" ht="15.75" hidden="1" thickBot="1" x14ac:dyDescent="0.3">
      <c r="B99" s="930"/>
      <c r="C99" s="931"/>
      <c r="D99" s="847">
        <v>84</v>
      </c>
      <c r="E99" s="848">
        <f>D99+12</f>
        <v>96</v>
      </c>
      <c r="F99" s="848">
        <f>E99+12</f>
        <v>108</v>
      </c>
      <c r="G99" s="848">
        <f>F99+12</f>
        <v>120</v>
      </c>
      <c r="H99" s="848">
        <f>G99+12</f>
        <v>132</v>
      </c>
      <c r="I99" s="849">
        <f>H99+12</f>
        <v>144</v>
      </c>
    </row>
    <row r="100" spans="2:9" hidden="1" x14ac:dyDescent="0.25">
      <c r="B100" s="850" t="s">
        <v>334</v>
      </c>
      <c r="C100" s="851">
        <v>7</v>
      </c>
      <c r="D100" s="852">
        <f t="shared" ref="D100:I100" si="21">(D99/12)*$C$100</f>
        <v>49</v>
      </c>
      <c r="E100" s="852">
        <f t="shared" si="21"/>
        <v>56</v>
      </c>
      <c r="F100" s="852">
        <f t="shared" si="21"/>
        <v>63</v>
      </c>
      <c r="G100" s="852">
        <f t="shared" si="21"/>
        <v>70</v>
      </c>
      <c r="H100" s="852">
        <f t="shared" si="21"/>
        <v>77</v>
      </c>
      <c r="I100" s="853">
        <f t="shared" si="21"/>
        <v>84</v>
      </c>
    </row>
    <row r="101" spans="2:9" x14ac:dyDescent="0.25">
      <c r="B101" s="854" t="s">
        <v>335</v>
      </c>
      <c r="C101" s="446">
        <f>(12+13+9.5)/3</f>
        <v>11.5</v>
      </c>
      <c r="D101" s="855">
        <f t="shared" ref="D101:I101" si="22">(CEILING((D99-4-4)/24,1))*$C$101</f>
        <v>46</v>
      </c>
      <c r="E101" s="855">
        <f t="shared" si="22"/>
        <v>46</v>
      </c>
      <c r="F101" s="855">
        <f t="shared" si="22"/>
        <v>57.5</v>
      </c>
      <c r="G101" s="855">
        <f t="shared" si="22"/>
        <v>57.5</v>
      </c>
      <c r="H101" s="855">
        <f t="shared" si="22"/>
        <v>69</v>
      </c>
      <c r="I101" s="856">
        <f t="shared" si="22"/>
        <v>69</v>
      </c>
    </row>
    <row r="102" spans="2:9" x14ac:dyDescent="0.25">
      <c r="B102" s="854" t="s">
        <v>64</v>
      </c>
      <c r="C102" s="446">
        <v>3.75</v>
      </c>
      <c r="D102" s="855">
        <f t="shared" ref="D102:I102" si="23">2*$C$102</f>
        <v>7.5</v>
      </c>
      <c r="E102" s="855">
        <f t="shared" si="23"/>
        <v>7.5</v>
      </c>
      <c r="F102" s="855">
        <f t="shared" si="23"/>
        <v>7.5</v>
      </c>
      <c r="G102" s="855">
        <f t="shared" si="23"/>
        <v>7.5</v>
      </c>
      <c r="H102" s="855">
        <f t="shared" si="23"/>
        <v>7.5</v>
      </c>
      <c r="I102" s="856">
        <f t="shared" si="23"/>
        <v>7.5</v>
      </c>
    </row>
    <row r="103" spans="2:9" ht="15.75" thickBot="1" x14ac:dyDescent="0.3">
      <c r="B103" s="857" t="s">
        <v>336</v>
      </c>
      <c r="C103" s="858">
        <f>1.2</f>
        <v>1.2</v>
      </c>
      <c r="D103" s="859">
        <f t="shared" ref="D103:I103" si="24">(D99/12)*$C$103</f>
        <v>8.4</v>
      </c>
      <c r="E103" s="859">
        <f t="shared" si="24"/>
        <v>9.6</v>
      </c>
      <c r="F103" s="859">
        <f t="shared" si="24"/>
        <v>10.799999999999999</v>
      </c>
      <c r="G103" s="859">
        <f t="shared" si="24"/>
        <v>12</v>
      </c>
      <c r="H103" s="859">
        <f t="shared" si="24"/>
        <v>13.2</v>
      </c>
      <c r="I103" s="860">
        <f t="shared" si="24"/>
        <v>14.399999999999999</v>
      </c>
    </row>
    <row r="104" spans="2:9" x14ac:dyDescent="0.25">
      <c r="B104" s="861"/>
      <c r="C104" s="862" t="s">
        <v>337</v>
      </c>
      <c r="D104" s="863">
        <f t="shared" ref="D104:I104" si="25">SUM(D100:D103)</f>
        <v>110.9</v>
      </c>
      <c r="E104" s="863">
        <f t="shared" si="25"/>
        <v>119.1</v>
      </c>
      <c r="F104" s="863">
        <f t="shared" si="25"/>
        <v>138.80000000000001</v>
      </c>
      <c r="G104" s="863">
        <f t="shared" si="25"/>
        <v>147</v>
      </c>
      <c r="H104" s="863">
        <f t="shared" si="25"/>
        <v>166.7</v>
      </c>
      <c r="I104" s="864">
        <f t="shared" si="25"/>
        <v>174.9</v>
      </c>
    </row>
    <row r="105" spans="2:9" ht="15.75" thickBot="1" x14ac:dyDescent="0.3">
      <c r="B105" s="865"/>
      <c r="C105" s="866" t="s">
        <v>338</v>
      </c>
      <c r="D105" s="859">
        <f t="shared" ref="D105:I105" si="26">D104/(D99/12)</f>
        <v>15.842857142857143</v>
      </c>
      <c r="E105" s="859">
        <f t="shared" si="26"/>
        <v>14.887499999999999</v>
      </c>
      <c r="F105" s="859">
        <f t="shared" si="26"/>
        <v>15.422222222222224</v>
      </c>
      <c r="G105" s="859">
        <f t="shared" si="26"/>
        <v>14.7</v>
      </c>
      <c r="H105" s="859">
        <f t="shared" si="26"/>
        <v>15.154545454545454</v>
      </c>
      <c r="I105" s="860">
        <f t="shared" si="26"/>
        <v>14.575000000000001</v>
      </c>
    </row>
    <row r="106" spans="2:9" ht="15.75" thickBot="1" x14ac:dyDescent="0.3">
      <c r="B106" s="605"/>
      <c r="C106" s="867" t="s">
        <v>707</v>
      </c>
      <c r="D106" s="868">
        <f>AVERAGE(D105:I105)</f>
        <v>15.097020803270803</v>
      </c>
    </row>
  </sheetData>
  <sheetProtection algorithmName="SHA-512" hashValue="Ln+3WGxhmT+Sp/NMzLa+rXw3p7oQS29lpv4BqxsXioyGmfjg5pPliWuYoPS8diE0hciyB7FCEHhmPLMHyhxOeg==" saltValue="NKHs96lF8YvhiZAX8EBP+g==" spinCount="100000" sheet="1" objects="1" scenarios="1"/>
  <sortState xmlns:xlrd2="http://schemas.microsoft.com/office/spreadsheetml/2017/richdata2" ref="B48:I51">
    <sortCondition ref="F48:F51"/>
  </sortState>
  <mergeCells count="25">
    <mergeCell ref="K69:N69"/>
    <mergeCell ref="K68:N68"/>
    <mergeCell ref="P69:S69"/>
    <mergeCell ref="P68:S68"/>
    <mergeCell ref="D78:F78"/>
    <mergeCell ref="C69:F69"/>
    <mergeCell ref="C68:F68"/>
    <mergeCell ref="G68:J68"/>
    <mergeCell ref="G69:J69"/>
    <mergeCell ref="B98:C99"/>
    <mergeCell ref="D98:I98"/>
    <mergeCell ref="P67:S67"/>
    <mergeCell ref="F7:H7"/>
    <mergeCell ref="G56:I56"/>
    <mergeCell ref="E22:G22"/>
    <mergeCell ref="O22:Q22"/>
    <mergeCell ref="G67:J67"/>
    <mergeCell ref="L7:N7"/>
    <mergeCell ref="J7:J9"/>
    <mergeCell ref="K67:N67"/>
    <mergeCell ref="B23:D24"/>
    <mergeCell ref="B8:C9"/>
    <mergeCell ref="J23:N24"/>
    <mergeCell ref="G32:I32"/>
    <mergeCell ref="B33:F34"/>
  </mergeCells>
  <pageMargins left="0.7" right="0.7" top="0.75" bottom="0.75" header="0.3" footer="0.3"/>
  <pageSetup scale="54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5" tint="-0.249977111117893"/>
  </sheetPr>
  <dimension ref="A1:Z100"/>
  <sheetViews>
    <sheetView topLeftCell="AA101" workbookViewId="0">
      <selection activeCell="AD116" sqref="AD116"/>
    </sheetView>
  </sheetViews>
  <sheetFormatPr defaultRowHeight="15" x14ac:dyDescent="0.25"/>
  <cols>
    <col min="1" max="1" width="2.7109375" style="265" hidden="1" customWidth="1"/>
    <col min="2" max="2" width="18.7109375" style="265" hidden="1" customWidth="1"/>
    <col min="3" max="3" width="16.7109375" style="265" hidden="1" customWidth="1"/>
    <col min="4" max="4" width="2.7109375" style="265" hidden="1" customWidth="1"/>
    <col min="5" max="6" width="21.42578125" style="265" hidden="1" customWidth="1"/>
    <col min="7" max="7" width="2.7109375" style="265" hidden="1" customWidth="1"/>
    <col min="8" max="9" width="38.7109375" style="265" hidden="1" customWidth="1"/>
    <col min="10" max="10" width="2.7109375" style="265" hidden="1" customWidth="1"/>
    <col min="11" max="11" width="15.140625" style="265" hidden="1" customWidth="1"/>
    <col min="12" max="12" width="2.7109375" style="265" hidden="1" customWidth="1"/>
    <col min="13" max="14" width="22.7109375" style="265" hidden="1" customWidth="1"/>
    <col min="15" max="15" width="2.7109375" style="265" hidden="1" customWidth="1"/>
    <col min="16" max="17" width="25.7109375" style="265" hidden="1" customWidth="1"/>
    <col min="18" max="26" width="0" style="265" hidden="1" customWidth="1"/>
    <col min="27" max="16384" width="9.140625" style="265"/>
  </cols>
  <sheetData>
    <row r="1" spans="2:26" hidden="1" x14ac:dyDescent="0.25"/>
    <row r="2" spans="2:26" ht="43.5" hidden="1" customHeight="1" x14ac:dyDescent="0.25">
      <c r="B2" s="416"/>
      <c r="C2" s="416"/>
      <c r="D2" s="416"/>
      <c r="E2" s="416"/>
      <c r="F2" s="416"/>
      <c r="G2" s="416"/>
      <c r="H2" s="417" t="s">
        <v>123</v>
      </c>
      <c r="I2" s="418" t="s">
        <v>748</v>
      </c>
      <c r="J2" s="418"/>
      <c r="K2" s="418"/>
    </row>
    <row r="3" spans="2:26" hidden="1" x14ac:dyDescent="0.25"/>
    <row r="4" spans="2:26" hidden="1" x14ac:dyDescent="0.25">
      <c r="P4" s="344"/>
    </row>
    <row r="5" spans="2:26" ht="15.75" hidden="1" thickBot="1" x14ac:dyDescent="0.3">
      <c r="B5" s="344" t="s">
        <v>208</v>
      </c>
      <c r="C5" s="344" t="s">
        <v>214</v>
      </c>
      <c r="E5" s="344" t="s">
        <v>208</v>
      </c>
      <c r="F5" s="344" t="s">
        <v>214</v>
      </c>
      <c r="H5" s="344" t="s">
        <v>208</v>
      </c>
      <c r="I5" s="344" t="s">
        <v>214</v>
      </c>
    </row>
    <row r="6" spans="2:26" ht="37.5" hidden="1" customHeight="1" thickBot="1" x14ac:dyDescent="0.3">
      <c r="B6" s="419" t="s">
        <v>304</v>
      </c>
      <c r="C6" s="419" t="s">
        <v>303</v>
      </c>
      <c r="E6" s="420" t="s">
        <v>305</v>
      </c>
      <c r="F6" s="420" t="s">
        <v>130</v>
      </c>
      <c r="H6" s="419" t="s">
        <v>115</v>
      </c>
      <c r="I6" s="419" t="s">
        <v>115</v>
      </c>
      <c r="K6" s="419" t="s">
        <v>149</v>
      </c>
      <c r="M6" s="421" t="s">
        <v>308</v>
      </c>
      <c r="N6" s="421" t="s">
        <v>186</v>
      </c>
      <c r="P6" s="419" t="s">
        <v>311</v>
      </c>
      <c r="V6" s="419" t="s">
        <v>95</v>
      </c>
      <c r="X6" s="422" t="s">
        <v>126</v>
      </c>
      <c r="Z6" s="422" t="s">
        <v>126</v>
      </c>
    </row>
    <row r="7" spans="2:26" ht="15.75" hidden="1" thickBot="1" x14ac:dyDescent="0.3">
      <c r="B7" s="423" t="s">
        <v>298</v>
      </c>
      <c r="C7" s="423" t="s">
        <v>96</v>
      </c>
      <c r="E7" s="423" t="s">
        <v>131</v>
      </c>
      <c r="F7" s="423" t="s">
        <v>306</v>
      </c>
      <c r="H7" s="423" t="s">
        <v>135</v>
      </c>
      <c r="I7" s="423" t="s">
        <v>312</v>
      </c>
      <c r="K7" s="424">
        <v>2</v>
      </c>
      <c r="M7" s="423" t="s">
        <v>187</v>
      </c>
      <c r="N7" s="423" t="s">
        <v>309</v>
      </c>
      <c r="P7" s="423" t="s">
        <v>208</v>
      </c>
      <c r="V7" s="423" t="s">
        <v>62</v>
      </c>
      <c r="X7" s="425" t="s">
        <v>124</v>
      </c>
      <c r="Z7" s="425" t="s">
        <v>74</v>
      </c>
    </row>
    <row r="8" spans="2:26" hidden="1" x14ac:dyDescent="0.25">
      <c r="B8" s="426" t="s">
        <v>272</v>
      </c>
      <c r="C8" s="426" t="s">
        <v>299</v>
      </c>
      <c r="E8" s="423" t="s">
        <v>132</v>
      </c>
      <c r="F8" s="423" t="s">
        <v>307</v>
      </c>
      <c r="H8" s="423" t="s">
        <v>136</v>
      </c>
      <c r="I8" s="423" t="s">
        <v>313</v>
      </c>
      <c r="K8" s="424">
        <v>2.5</v>
      </c>
      <c r="M8" s="426" t="s">
        <v>691</v>
      </c>
      <c r="N8" s="426" t="s">
        <v>310</v>
      </c>
      <c r="P8" s="423" t="s">
        <v>214</v>
      </c>
      <c r="V8" s="423" t="s">
        <v>103</v>
      </c>
      <c r="X8" s="423" t="s">
        <v>129</v>
      </c>
      <c r="Z8" s="423" t="s">
        <v>129</v>
      </c>
    </row>
    <row r="9" spans="2:26" ht="15.75" hidden="1" thickBot="1" x14ac:dyDescent="0.3">
      <c r="B9" s="423" t="s">
        <v>273</v>
      </c>
      <c r="C9" s="423" t="s">
        <v>300</v>
      </c>
      <c r="E9" s="423"/>
      <c r="F9" s="423"/>
      <c r="H9" s="423" t="s">
        <v>116</v>
      </c>
      <c r="I9" s="423" t="s">
        <v>314</v>
      </c>
      <c r="K9" s="424">
        <v>1.75</v>
      </c>
      <c r="M9" s="423" t="s">
        <v>326</v>
      </c>
      <c r="N9" s="423" t="s">
        <v>327</v>
      </c>
      <c r="V9" s="427" t="s">
        <v>122</v>
      </c>
      <c r="X9" s="427" t="s">
        <v>125</v>
      </c>
      <c r="Z9" s="423" t="s">
        <v>127</v>
      </c>
    </row>
    <row r="10" spans="2:26" ht="15.75" hidden="1" thickBot="1" x14ac:dyDescent="0.3">
      <c r="B10" s="423" t="s">
        <v>141</v>
      </c>
      <c r="C10" s="423" t="s">
        <v>301</v>
      </c>
      <c r="E10" s="423"/>
      <c r="F10" s="423"/>
      <c r="H10" s="423" t="s">
        <v>161</v>
      </c>
      <c r="I10" s="423" t="s">
        <v>315</v>
      </c>
      <c r="K10" s="424">
        <v>1.5</v>
      </c>
      <c r="M10" s="428" t="s">
        <v>663</v>
      </c>
      <c r="N10" s="428" t="s">
        <v>310</v>
      </c>
      <c r="P10" s="419" t="s">
        <v>223</v>
      </c>
      <c r="Z10" s="427" t="s">
        <v>128</v>
      </c>
    </row>
    <row r="11" spans="2:26" hidden="1" x14ac:dyDescent="0.25">
      <c r="B11" s="423" t="s">
        <v>142</v>
      </c>
      <c r="C11" s="423" t="s">
        <v>302</v>
      </c>
      <c r="E11" s="423"/>
      <c r="F11" s="423"/>
      <c r="H11" s="423" t="s">
        <v>137</v>
      </c>
      <c r="I11" s="423" t="s">
        <v>316</v>
      </c>
      <c r="K11" s="424">
        <v>2.2000000000000002</v>
      </c>
      <c r="M11" s="338">
        <v>5</v>
      </c>
      <c r="P11" s="423" t="s">
        <v>220</v>
      </c>
    </row>
    <row r="12" spans="2:26" hidden="1" x14ac:dyDescent="0.25">
      <c r="B12" s="423" t="s">
        <v>734</v>
      </c>
      <c r="C12" s="423" t="s">
        <v>735</v>
      </c>
      <c r="E12" s="423"/>
      <c r="F12" s="423"/>
      <c r="H12" s="423" t="s">
        <v>138</v>
      </c>
      <c r="I12" s="423" t="s">
        <v>317</v>
      </c>
      <c r="K12" s="424">
        <v>1.8</v>
      </c>
      <c r="P12" s="423" t="s">
        <v>224</v>
      </c>
    </row>
    <row r="13" spans="2:26" ht="15.75" hidden="1" thickBot="1" x14ac:dyDescent="0.3">
      <c r="B13" s="428"/>
      <c r="C13" s="428"/>
      <c r="E13" s="423"/>
      <c r="F13" s="423"/>
      <c r="H13" s="423" t="s">
        <v>139</v>
      </c>
      <c r="I13" s="423" t="s">
        <v>318</v>
      </c>
      <c r="K13" s="424">
        <v>1.6</v>
      </c>
      <c r="M13" s="344" t="s">
        <v>208</v>
      </c>
      <c r="N13" s="344" t="s">
        <v>214</v>
      </c>
    </row>
    <row r="14" spans="2:26" ht="15.75" hidden="1" thickBot="1" x14ac:dyDescent="0.3">
      <c r="B14" s="338">
        <v>1</v>
      </c>
      <c r="E14" s="423"/>
      <c r="F14" s="423"/>
      <c r="H14" s="423" t="s">
        <v>140</v>
      </c>
      <c r="I14" s="423" t="s">
        <v>319</v>
      </c>
      <c r="K14" s="428"/>
      <c r="M14" s="419" t="s">
        <v>324</v>
      </c>
      <c r="N14" s="419" t="s">
        <v>325</v>
      </c>
      <c r="P14" s="419" t="s">
        <v>259</v>
      </c>
      <c r="Q14" s="419" t="s">
        <v>259</v>
      </c>
    </row>
    <row r="15" spans="2:26" ht="15.75" hidden="1" thickBot="1" x14ac:dyDescent="0.3">
      <c r="E15" s="428"/>
      <c r="F15" s="428"/>
      <c r="H15" s="423" t="s">
        <v>162</v>
      </c>
      <c r="I15" s="423" t="s">
        <v>320</v>
      </c>
      <c r="K15" s="429">
        <v>4</v>
      </c>
      <c r="M15" s="430" t="s">
        <v>321</v>
      </c>
      <c r="N15" s="430" t="s">
        <v>178</v>
      </c>
      <c r="P15" s="419" t="s">
        <v>723</v>
      </c>
      <c r="Q15" s="419" t="s">
        <v>724</v>
      </c>
    </row>
    <row r="16" spans="2:26" hidden="1" x14ac:dyDescent="0.25">
      <c r="E16" s="431" t="s">
        <v>150</v>
      </c>
      <c r="F16" s="338">
        <v>2</v>
      </c>
      <c r="H16" s="423"/>
      <c r="I16" s="423"/>
      <c r="K16" s="432"/>
      <c r="M16" s="430" t="s">
        <v>322</v>
      </c>
      <c r="N16" s="430" t="s">
        <v>179</v>
      </c>
      <c r="P16" s="424">
        <v>0</v>
      </c>
      <c r="Q16" s="424">
        <v>0</v>
      </c>
    </row>
    <row r="17" spans="2:17" hidden="1" x14ac:dyDescent="0.25">
      <c r="E17" s="431" t="s">
        <v>151</v>
      </c>
      <c r="H17" s="423"/>
      <c r="I17" s="423"/>
      <c r="K17" s="432"/>
      <c r="M17" s="430" t="s">
        <v>184</v>
      </c>
      <c r="N17" s="430" t="s">
        <v>184</v>
      </c>
      <c r="P17" s="424">
        <v>0.4</v>
      </c>
      <c r="Q17" s="662">
        <v>0.5</v>
      </c>
    </row>
    <row r="18" spans="2:17" hidden="1" x14ac:dyDescent="0.25">
      <c r="E18" s="431" t="s">
        <v>132</v>
      </c>
      <c r="H18" s="423"/>
      <c r="I18" s="423"/>
      <c r="K18" s="432"/>
      <c r="M18" s="430" t="s">
        <v>323</v>
      </c>
      <c r="N18" s="430" t="s">
        <v>183</v>
      </c>
      <c r="P18" s="424">
        <v>0.35</v>
      </c>
      <c r="Q18" s="424">
        <v>0.45</v>
      </c>
    </row>
    <row r="19" spans="2:17" hidden="1" x14ac:dyDescent="0.25">
      <c r="E19" s="431" t="s">
        <v>133</v>
      </c>
      <c r="H19" s="423"/>
      <c r="I19" s="423"/>
      <c r="K19" s="432"/>
      <c r="M19" s="826" t="s">
        <v>678</v>
      </c>
      <c r="N19" s="826" t="s">
        <v>678</v>
      </c>
      <c r="P19" s="662">
        <v>0.3</v>
      </c>
      <c r="Q19" s="424">
        <v>0.4</v>
      </c>
    </row>
    <row r="20" spans="2:17" hidden="1" x14ac:dyDescent="0.25">
      <c r="E20" s="431" t="s">
        <v>134</v>
      </c>
      <c r="H20" s="338">
        <v>3</v>
      </c>
      <c r="M20" s="826" t="s">
        <v>679</v>
      </c>
      <c r="N20" s="826" t="s">
        <v>679</v>
      </c>
      <c r="P20" s="424">
        <v>0.25</v>
      </c>
      <c r="Q20" s="424">
        <v>0.35</v>
      </c>
    </row>
    <row r="21" spans="2:17" hidden="1" x14ac:dyDescent="0.25">
      <c r="E21" s="431" t="s">
        <v>143</v>
      </c>
      <c r="M21" s="826" t="s">
        <v>680</v>
      </c>
      <c r="N21" s="826" t="s">
        <v>680</v>
      </c>
      <c r="P21" s="424">
        <v>0.2</v>
      </c>
      <c r="Q21" s="424">
        <v>0.3</v>
      </c>
    </row>
    <row r="22" spans="2:17" hidden="1" x14ac:dyDescent="0.25">
      <c r="M22" s="826" t="s">
        <v>681</v>
      </c>
      <c r="N22" s="826" t="s">
        <v>681</v>
      </c>
      <c r="P22" s="424">
        <v>0.15</v>
      </c>
      <c r="Q22" s="424">
        <v>0.25</v>
      </c>
    </row>
    <row r="23" spans="2:17" ht="15.75" hidden="1" thickBot="1" x14ac:dyDescent="0.3">
      <c r="B23" s="344" t="s">
        <v>208</v>
      </c>
      <c r="C23" s="344" t="s">
        <v>214</v>
      </c>
      <c r="E23" s="344" t="s">
        <v>208</v>
      </c>
      <c r="F23" s="344" t="s">
        <v>214</v>
      </c>
      <c r="H23" s="344" t="s">
        <v>208</v>
      </c>
      <c r="I23" s="344" t="s">
        <v>214</v>
      </c>
      <c r="M23" s="826" t="s">
        <v>682</v>
      </c>
      <c r="N23" s="826" t="s">
        <v>682</v>
      </c>
      <c r="P23" s="424">
        <v>0.1</v>
      </c>
      <c r="Q23" s="424">
        <v>0.2</v>
      </c>
    </row>
    <row r="24" spans="2:17" ht="15.75" hidden="1" thickBot="1" x14ac:dyDescent="0.3">
      <c r="B24" s="419" t="s">
        <v>291</v>
      </c>
      <c r="C24" s="419" t="s">
        <v>292</v>
      </c>
      <c r="E24" s="419" t="s">
        <v>286</v>
      </c>
      <c r="F24" s="419" t="s">
        <v>152</v>
      </c>
      <c r="H24" s="419" t="s">
        <v>95</v>
      </c>
      <c r="I24" s="419" t="s">
        <v>189</v>
      </c>
      <c r="K24" s="419" t="s">
        <v>144</v>
      </c>
      <c r="M24" s="826" t="s">
        <v>683</v>
      </c>
      <c r="N24" s="826" t="s">
        <v>683</v>
      </c>
      <c r="P24" s="424">
        <v>0.05</v>
      </c>
      <c r="Q24" s="424">
        <v>0.15</v>
      </c>
    </row>
    <row r="25" spans="2:17" ht="15.75" hidden="1" thickBot="1" x14ac:dyDescent="0.3">
      <c r="B25" s="423" t="s">
        <v>122</v>
      </c>
      <c r="C25" s="423" t="s">
        <v>122</v>
      </c>
      <c r="E25" s="423" t="s">
        <v>122</v>
      </c>
      <c r="F25" s="423" t="s">
        <v>122</v>
      </c>
      <c r="H25" s="423" t="s">
        <v>122</v>
      </c>
      <c r="I25" s="423" t="s">
        <v>122</v>
      </c>
      <c r="K25" s="423">
        <v>54</v>
      </c>
      <c r="M25" s="826" t="s">
        <v>684</v>
      </c>
      <c r="N25" s="826" t="s">
        <v>684</v>
      </c>
      <c r="P25" s="424"/>
      <c r="Q25" s="424">
        <v>0.1</v>
      </c>
    </row>
    <row r="26" spans="2:17" hidden="1" x14ac:dyDescent="0.25">
      <c r="B26" s="423" t="s">
        <v>147</v>
      </c>
      <c r="C26" s="423" t="s">
        <v>293</v>
      </c>
      <c r="E26" s="423" t="s">
        <v>287</v>
      </c>
      <c r="F26" s="423" t="s">
        <v>153</v>
      </c>
      <c r="H26" s="593" t="s">
        <v>736</v>
      </c>
      <c r="I26" s="423" t="s">
        <v>738</v>
      </c>
      <c r="K26" s="426">
        <v>118</v>
      </c>
      <c r="M26" s="826" t="s">
        <v>685</v>
      </c>
      <c r="N26" s="826" t="s">
        <v>685</v>
      </c>
    </row>
    <row r="27" spans="2:17" hidden="1" x14ac:dyDescent="0.25">
      <c r="B27" s="426" t="s">
        <v>165</v>
      </c>
      <c r="C27" s="426" t="s">
        <v>294</v>
      </c>
      <c r="E27" s="423" t="s">
        <v>266</v>
      </c>
      <c r="F27" s="423" t="s">
        <v>154</v>
      </c>
      <c r="H27" s="423" t="s">
        <v>737</v>
      </c>
      <c r="I27" s="423" t="s">
        <v>739</v>
      </c>
      <c r="K27" s="423"/>
      <c r="M27" s="826" t="s">
        <v>686</v>
      </c>
      <c r="N27" s="826" t="s">
        <v>686</v>
      </c>
    </row>
    <row r="28" spans="2:17" hidden="1" x14ac:dyDescent="0.25">
      <c r="B28" s="426" t="s">
        <v>163</v>
      </c>
      <c r="C28" s="426" t="s">
        <v>295</v>
      </c>
      <c r="E28" s="338">
        <v>8</v>
      </c>
      <c r="H28" s="426" t="s">
        <v>740</v>
      </c>
      <c r="I28" s="423" t="s">
        <v>742</v>
      </c>
      <c r="K28" s="423"/>
      <c r="M28" s="826" t="s">
        <v>687</v>
      </c>
      <c r="N28" s="826" t="s">
        <v>687</v>
      </c>
    </row>
    <row r="29" spans="2:17" hidden="1" x14ac:dyDescent="0.25">
      <c r="B29" s="423" t="s">
        <v>164</v>
      </c>
      <c r="C29" s="423" t="s">
        <v>296</v>
      </c>
      <c r="H29" s="426" t="s">
        <v>741</v>
      </c>
      <c r="I29" s="423" t="s">
        <v>743</v>
      </c>
      <c r="K29" s="423"/>
      <c r="M29" s="826" t="s">
        <v>688</v>
      </c>
      <c r="N29" s="826" t="s">
        <v>688</v>
      </c>
    </row>
    <row r="30" spans="2:17" ht="15.75" hidden="1" thickBot="1" x14ac:dyDescent="0.3">
      <c r="B30" s="423"/>
      <c r="C30" s="423"/>
      <c r="H30" s="423" t="s">
        <v>280</v>
      </c>
      <c r="I30" s="423" t="s">
        <v>279</v>
      </c>
      <c r="K30" s="428"/>
      <c r="M30" s="826" t="s">
        <v>689</v>
      </c>
      <c r="N30" s="826" t="s">
        <v>689</v>
      </c>
    </row>
    <row r="31" spans="2:17" ht="15.75" hidden="1" thickBot="1" x14ac:dyDescent="0.3">
      <c r="B31" s="428"/>
      <c r="C31" s="428"/>
      <c r="H31" s="423" t="s">
        <v>342</v>
      </c>
      <c r="I31" s="423" t="s">
        <v>343</v>
      </c>
      <c r="M31" s="827" t="s">
        <v>674</v>
      </c>
      <c r="N31" s="827" t="s">
        <v>674</v>
      </c>
    </row>
    <row r="32" spans="2:17" hidden="1" x14ac:dyDescent="0.25">
      <c r="B32" s="338">
        <v>7</v>
      </c>
      <c r="H32" s="423" t="s">
        <v>340</v>
      </c>
      <c r="I32" s="423" t="s">
        <v>341</v>
      </c>
      <c r="M32" s="827" t="s">
        <v>675</v>
      </c>
      <c r="N32" s="827" t="s">
        <v>675</v>
      </c>
    </row>
    <row r="33" spans="2:14" ht="15.75" hidden="1" thickBot="1" x14ac:dyDescent="0.3">
      <c r="H33" s="423" t="s">
        <v>277</v>
      </c>
      <c r="I33" s="423" t="s">
        <v>278</v>
      </c>
      <c r="M33" s="827" t="s">
        <v>676</v>
      </c>
      <c r="N33" s="827" t="s">
        <v>676</v>
      </c>
    </row>
    <row r="34" spans="2:14" ht="15.75" hidden="1" thickBot="1" x14ac:dyDescent="0.3">
      <c r="B34" s="419" t="s">
        <v>145</v>
      </c>
      <c r="E34" s="344" t="s">
        <v>208</v>
      </c>
      <c r="F34" s="344" t="s">
        <v>214</v>
      </c>
      <c r="H34" s="423" t="s">
        <v>284</v>
      </c>
      <c r="I34" s="423" t="s">
        <v>283</v>
      </c>
      <c r="M34" s="827" t="s">
        <v>677</v>
      </c>
      <c r="N34" s="827" t="s">
        <v>677</v>
      </c>
    </row>
    <row r="35" spans="2:14" ht="15.75" hidden="1" thickBot="1" x14ac:dyDescent="0.3">
      <c r="B35" s="423" t="s">
        <v>122</v>
      </c>
      <c r="E35" s="419" t="s">
        <v>726</v>
      </c>
      <c r="F35" s="419" t="s">
        <v>725</v>
      </c>
      <c r="G35" s="344"/>
      <c r="H35" s="423" t="s">
        <v>282</v>
      </c>
      <c r="I35" s="423" t="s">
        <v>285</v>
      </c>
      <c r="M35" s="827"/>
      <c r="N35" s="827"/>
    </row>
    <row r="36" spans="2:14" hidden="1" x14ac:dyDescent="0.25">
      <c r="B36" s="426">
        <v>110</v>
      </c>
      <c r="E36" s="423" t="s">
        <v>730</v>
      </c>
      <c r="F36" s="423" t="s">
        <v>723</v>
      </c>
      <c r="H36" s="423" t="s">
        <v>155</v>
      </c>
      <c r="I36" s="423" t="s">
        <v>281</v>
      </c>
    </row>
    <row r="37" spans="2:14" hidden="1" x14ac:dyDescent="0.25">
      <c r="B37" s="423">
        <v>54</v>
      </c>
      <c r="E37" s="423" t="s">
        <v>729</v>
      </c>
      <c r="F37" s="423" t="s">
        <v>724</v>
      </c>
      <c r="H37" s="423" t="s">
        <v>276</v>
      </c>
      <c r="I37" s="423" t="s">
        <v>275</v>
      </c>
    </row>
    <row r="38" spans="2:14" hidden="1" x14ac:dyDescent="0.25">
      <c r="B38" s="423"/>
      <c r="E38" s="423"/>
      <c r="F38" s="423"/>
      <c r="H38" s="433">
        <v>9</v>
      </c>
    </row>
    <row r="39" spans="2:14" hidden="1" x14ac:dyDescent="0.25">
      <c r="B39" s="423"/>
      <c r="I39" s="433"/>
    </row>
    <row r="40" spans="2:14" ht="15.75" hidden="1" thickBot="1" x14ac:dyDescent="0.3">
      <c r="B40" s="428"/>
    </row>
    <row r="41" spans="2:14" ht="15.75" hidden="1" thickBot="1" x14ac:dyDescent="0.3">
      <c r="H41" s="344" t="s">
        <v>208</v>
      </c>
      <c r="I41" s="344" t="s">
        <v>214</v>
      </c>
    </row>
    <row r="42" spans="2:14" ht="15.75" hidden="1" thickBot="1" x14ac:dyDescent="0.3">
      <c r="H42" s="419" t="s">
        <v>288</v>
      </c>
      <c r="I42" s="419" t="s">
        <v>297</v>
      </c>
    </row>
    <row r="43" spans="2:14" hidden="1" x14ac:dyDescent="0.25">
      <c r="H43" s="423" t="s">
        <v>122</v>
      </c>
      <c r="I43" s="423" t="s">
        <v>122</v>
      </c>
    </row>
    <row r="44" spans="2:14" hidden="1" x14ac:dyDescent="0.25">
      <c r="H44" s="423" t="s">
        <v>289</v>
      </c>
      <c r="I44" s="423" t="s">
        <v>190</v>
      </c>
    </row>
    <row r="45" spans="2:14" hidden="1" x14ac:dyDescent="0.25">
      <c r="H45" s="423" t="s">
        <v>290</v>
      </c>
      <c r="I45" s="423" t="s">
        <v>191</v>
      </c>
    </row>
    <row r="46" spans="2:14" hidden="1" x14ac:dyDescent="0.25">
      <c r="H46" s="423" t="s">
        <v>271</v>
      </c>
      <c r="I46" s="423" t="s">
        <v>192</v>
      </c>
    </row>
    <row r="47" spans="2:14" hidden="1" x14ac:dyDescent="0.25">
      <c r="H47" s="433">
        <v>10</v>
      </c>
      <c r="I47" s="433"/>
    </row>
    <row r="48" spans="2:14" hidden="1" x14ac:dyDescent="0.25"/>
    <row r="49" spans="13:14" hidden="1" x14ac:dyDescent="0.25"/>
    <row r="50" spans="13:14" hidden="1" x14ac:dyDescent="0.25">
      <c r="M50" s="432"/>
      <c r="N50" s="432"/>
    </row>
    <row r="51" spans="13:14" hidden="1" x14ac:dyDescent="0.25"/>
    <row r="52" spans="13:14" hidden="1" x14ac:dyDescent="0.25"/>
    <row r="53" spans="13:14" hidden="1" x14ac:dyDescent="0.25"/>
    <row r="54" spans="13:14" hidden="1" x14ac:dyDescent="0.25"/>
    <row r="55" spans="13:14" hidden="1" x14ac:dyDescent="0.25"/>
    <row r="56" spans="13:14" hidden="1" x14ac:dyDescent="0.25"/>
    <row r="57" spans="13:14" hidden="1" x14ac:dyDescent="0.25"/>
    <row r="58" spans="13:14" hidden="1" x14ac:dyDescent="0.25"/>
    <row r="59" spans="13:14" hidden="1" x14ac:dyDescent="0.25"/>
    <row r="60" spans="13:14" hidden="1" x14ac:dyDescent="0.25"/>
    <row r="61" spans="13:14" hidden="1" x14ac:dyDescent="0.25"/>
    <row r="62" spans="13:14" hidden="1" x14ac:dyDescent="0.25"/>
    <row r="63" spans="13:14" hidden="1" x14ac:dyDescent="0.25"/>
    <row r="64" spans="13:1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zQivVLAnLcNm9fmBDGnq+V+qeUPcQagRsHCc5/sR1cLYnDQ12L+/KDgNaeg2E5WbEsVtHG+Vyg3YPIprLbS+LA==" saltValue="S88roRm8vCicXYaCiNzfuw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49833-AC5A-4458-BCDD-B2721D1BCDB7}">
  <sheetPr codeName="Sheet9">
    <tabColor theme="1" tint="0.34998626667073579"/>
  </sheetPr>
  <dimension ref="B2:AI299"/>
  <sheetViews>
    <sheetView workbookViewId="0">
      <pane ySplit="6" topLeftCell="A7" activePane="bottomLeft" state="frozen"/>
      <selection activeCell="X26" sqref="X26"/>
      <selection pane="bottomLeft" activeCell="X26" sqref="X26"/>
    </sheetView>
  </sheetViews>
  <sheetFormatPr defaultRowHeight="15" x14ac:dyDescent="0.25"/>
  <cols>
    <col min="1" max="1" width="1.7109375" customWidth="1"/>
    <col min="2" max="2" width="5" bestFit="1" customWidth="1"/>
    <col min="3" max="4" width="0" hidden="1" customWidth="1"/>
    <col min="5" max="5" width="14.7109375" bestFit="1" customWidth="1"/>
    <col min="7" max="7" width="0" hidden="1" customWidth="1"/>
    <col min="8" max="8" width="12.42578125" bestFit="1" customWidth="1"/>
    <col min="9" max="9" width="24.28515625" bestFit="1" customWidth="1"/>
    <col min="10" max="12" width="9.140625" hidden="1" customWidth="1"/>
    <col min="13" max="13" width="15" hidden="1" customWidth="1"/>
    <col min="16" max="16" width="10.85546875" hidden="1" customWidth="1"/>
    <col min="17" max="17" width="34.7109375" bestFit="1" customWidth="1"/>
    <col min="18" max="18" width="0" hidden="1" customWidth="1"/>
    <col min="19" max="19" width="9.5703125" bestFit="1" customWidth="1"/>
    <col min="20" max="21" width="16.140625" bestFit="1" customWidth="1"/>
    <col min="22" max="22" width="13.5703125" customWidth="1"/>
    <col min="23" max="24" width="9.140625" customWidth="1"/>
    <col min="25" max="26" width="16.140625" bestFit="1" customWidth="1"/>
    <col min="27" max="28" width="14.28515625" bestFit="1" customWidth="1"/>
    <col min="29" max="29" width="13.5703125" customWidth="1"/>
    <col min="30" max="31" width="9.140625" customWidth="1"/>
    <col min="32" max="32" width="14.28515625" bestFit="1" customWidth="1"/>
    <col min="33" max="33" width="15" bestFit="1" customWidth="1"/>
  </cols>
  <sheetData>
    <row r="2" spans="2:35" ht="23.25" x14ac:dyDescent="0.35">
      <c r="E2" s="90" t="s">
        <v>712</v>
      </c>
    </row>
    <row r="3" spans="2:35" ht="15.75" thickBot="1" x14ac:dyDescent="0.3">
      <c r="J3" s="641"/>
      <c r="K3" s="641"/>
      <c r="L3" s="641"/>
      <c r="M3" s="641"/>
      <c r="P3" s="641"/>
    </row>
    <row r="4" spans="2:35" ht="24" thickBot="1" x14ac:dyDescent="0.4">
      <c r="C4" s="621"/>
      <c r="D4" s="621"/>
      <c r="E4" s="620" t="s">
        <v>710</v>
      </c>
      <c r="F4" s="621"/>
      <c r="G4" s="621"/>
      <c r="H4" s="621"/>
      <c r="I4" s="621"/>
      <c r="J4" s="621"/>
      <c r="K4" s="621"/>
      <c r="L4" s="621"/>
      <c r="M4" s="621"/>
      <c r="N4" s="621"/>
      <c r="O4" s="622"/>
      <c r="P4" s="915" t="s">
        <v>95</v>
      </c>
      <c r="Q4" s="916"/>
      <c r="R4" s="916"/>
      <c r="S4" s="916"/>
      <c r="T4" s="186" t="str">
        <f>E4</f>
        <v>CORTINAS</v>
      </c>
      <c r="U4" s="186" t="str">
        <f>T4</f>
        <v>CORTINAS</v>
      </c>
      <c r="V4" s="186" t="s">
        <v>695</v>
      </c>
      <c r="W4" s="186" t="s">
        <v>696</v>
      </c>
      <c r="X4" s="186" t="s">
        <v>696</v>
      </c>
      <c r="Y4" s="186" t="str">
        <f>T4</f>
        <v>CORTINAS</v>
      </c>
      <c r="Z4" s="528" t="str">
        <f>Y4</f>
        <v>CORTINAS</v>
      </c>
      <c r="AA4" s="187" t="str">
        <f>P4</f>
        <v>HERRAJE</v>
      </c>
      <c r="AB4" s="528" t="str">
        <f>AA4</f>
        <v>HERRAJE</v>
      </c>
      <c r="AC4" s="528" t="s">
        <v>695</v>
      </c>
      <c r="AD4" s="186" t="s">
        <v>696</v>
      </c>
      <c r="AE4" s="528" t="s">
        <v>696</v>
      </c>
      <c r="AF4" s="528" t="str">
        <f>AA4</f>
        <v>HERRAJE</v>
      </c>
      <c r="AG4" s="528" t="str">
        <f>AF4</f>
        <v>HERRAJE</v>
      </c>
    </row>
    <row r="5" spans="2:35" ht="21" x14ac:dyDescent="0.35">
      <c r="B5" s="226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8"/>
      <c r="P5" s="226"/>
      <c r="Q5" s="227"/>
      <c r="R5" s="229"/>
      <c r="S5" s="229"/>
      <c r="T5" s="226" t="s">
        <v>700</v>
      </c>
      <c r="U5" s="571" t="s">
        <v>77</v>
      </c>
      <c r="V5" s="565" t="s">
        <v>666</v>
      </c>
      <c r="W5" s="565" t="s">
        <v>666</v>
      </c>
      <c r="X5" s="565" t="s">
        <v>666</v>
      </c>
      <c r="Y5" s="562" t="s">
        <v>666</v>
      </c>
      <c r="Z5" s="562" t="s">
        <v>702</v>
      </c>
      <c r="AA5" s="226" t="s">
        <v>700</v>
      </c>
      <c r="AB5" s="571" t="s">
        <v>77</v>
      </c>
      <c r="AC5" s="565" t="s">
        <v>666</v>
      </c>
      <c r="AD5" s="565" t="s">
        <v>666</v>
      </c>
      <c r="AE5" s="565" t="s">
        <v>666</v>
      </c>
      <c r="AF5" s="562" t="s">
        <v>666</v>
      </c>
      <c r="AG5" s="562" t="s">
        <v>702</v>
      </c>
    </row>
    <row r="6" spans="2:35" ht="90.75" thickBot="1" x14ac:dyDescent="0.3">
      <c r="B6" s="183" t="str">
        <f>IF('CALC - RIPP-STD HW '!$S$4="INGLES","ITEM","ART.")</f>
        <v>ART.</v>
      </c>
      <c r="C6" s="182" t="str">
        <f>IF('CALC - RIPP-STD HW '!$S$4="INGLES","QTY.","CANT.")</f>
        <v>CANT.</v>
      </c>
      <c r="D6" s="182" t="str">
        <f>IF('CALC - RIPP-STD HW '!$S$4="INGLES","DRAW DIRECTION","DIRECCION DE CORTINA")</f>
        <v>DIRECCION DE CORTINA</v>
      </c>
      <c r="E6" s="182" t="str">
        <f>IF('CALC - RIPP-STD HW '!$S$4="INGLES","DRAPERY STYLE","ESTILO DE CORTINA")</f>
        <v>ESTILO DE CORTINA</v>
      </c>
      <c r="F6" s="182" t="str">
        <f>IF('CALC - RIPP-STD HW '!$S$4="INGLES","DRAPERY TYPE","TIPO DE CORTINA")</f>
        <v>TIPO DE CORTINA</v>
      </c>
      <c r="G6" s="182" t="str">
        <f>IF('CALC - RIPP-STD HW '!$S$4="INGLES","FULLNESS","AMPLITUD")</f>
        <v>AMPLITUD</v>
      </c>
      <c r="H6" s="198" t="str">
        <f>IF('CALC - RIPP-STD HW '!$S$4="INGLES","'STOCK','LINE' or 'C.O.M.'  FABRICS","TELAS 'EN EXISTENCIA', 'POR ORDENAR' ó 'DEL CLIENTE'")</f>
        <v>TELAS 'EN EXISTENCIA', 'POR ORDENAR' ó 'DEL CLIENTE'</v>
      </c>
      <c r="I6" s="182" t="str">
        <f>IF('CALC - RIPP-STD HW '!$S$4="INGLES","FABRIC TYPE","TIPO DE TELA")</f>
        <v>TIPO DE TELA</v>
      </c>
      <c r="J6" s="182" t="str">
        <f>IF('CALC - RIPP-STD HW '!$S$4="INGLES","FABRIC YARDAGE PER QTY. REQUIRED","YARDAGE SEGUN CANTIDAD REQUERIDA")</f>
        <v>YARDAGE SEGUN CANTIDAD REQUERIDA</v>
      </c>
      <c r="K6" s="182" t="str">
        <f>IF('CALC - RIPP-STD HW '!$S$4="INGLES","FABRIC PATTERN AND COLOR NAME","NOMBRE y COLOR DE TELA")</f>
        <v>NOMBRE y COLOR DE TELA</v>
      </c>
      <c r="L6" s="182" t="str">
        <f>IF('CALC - RIPP-STD HW '!$S$4="INGLES","LINING TYPE","TIPO DE LINING")</f>
        <v>TIPO DE LINING</v>
      </c>
      <c r="M6" s="182" t="str">
        <f>IF('CALC - RIPP-STD HW '!$S$4="INGLES","ROOM / AREA NAME","NOMBRE DEL CUARTO ó AREA")</f>
        <v>NOMBRE DEL CUARTO ó AREA</v>
      </c>
      <c r="N6" s="182" t="str">
        <f>IF('CALC - RIPP-STD HW '!$S$4="INGLES","ROD SIZE","ANCHO DE RIEL")</f>
        <v>ANCHO DE RIEL</v>
      </c>
      <c r="O6" s="184" t="str">
        <f>IF('CALC - RIPP-STD HW '!$S$4="INGLES","DRAPERY FINISHED SIZE","ALTURA DE CORTINA")</f>
        <v>ALTURA DE CORTINA</v>
      </c>
      <c r="P6" s="183" t="str">
        <f>IF('CALC - RIPP-STD HW '!$S$4="INGLES","MOUNTING","MONTAJE")</f>
        <v>MONTAJE</v>
      </c>
      <c r="Q6" s="182" t="str">
        <f>IF('CALC - RIPP-STD HW '!$S$4="INGLES","HARDWARE TYPE","TIPO HERRAJE")</f>
        <v>TIPO HERRAJE</v>
      </c>
      <c r="R6" s="185" t="str">
        <f>IF('CALC - RIPP-STD HW '!$S$4="INGLES","HARDWARE COLOR","COLOR HERRAJE")</f>
        <v>COLOR HERRAJE</v>
      </c>
      <c r="S6" s="185" t="str">
        <f>IF('CALC - RIPP-STD HW '!$S$4="INGLES","BATON TYPE (in  the case that applies)","TIPO DE BASTON (en caso de que aplique)")</f>
        <v>TIPO DE BASTON (en caso de que aplique)</v>
      </c>
      <c r="T6" s="183" t="str">
        <f>IF('CALC - RIPP-STD HW '!$S$4="INGLES","UNIT PRICE","PRECIO UNITARIO")</f>
        <v>PRECIO UNITARIO</v>
      </c>
      <c r="U6" s="559" t="s">
        <v>692</v>
      </c>
      <c r="V6" s="566" t="s">
        <v>693</v>
      </c>
      <c r="W6" s="566" t="s">
        <v>697</v>
      </c>
      <c r="X6" s="566" t="s">
        <v>694</v>
      </c>
      <c r="Y6" s="561" t="s">
        <v>692</v>
      </c>
      <c r="Z6" s="561" t="s">
        <v>701</v>
      </c>
      <c r="AA6" s="184" t="str">
        <f>T6</f>
        <v>PRECIO UNITARIO</v>
      </c>
      <c r="AB6" s="559" t="s">
        <v>692</v>
      </c>
      <c r="AC6" s="566" t="s">
        <v>693</v>
      </c>
      <c r="AD6" s="566" t="s">
        <v>697</v>
      </c>
      <c r="AE6" s="566" t="s">
        <v>694</v>
      </c>
      <c r="AF6" s="561" t="s">
        <v>692</v>
      </c>
      <c r="AG6" s="561" t="s">
        <v>701</v>
      </c>
    </row>
    <row r="7" spans="2:35" x14ac:dyDescent="0.25">
      <c r="B7" s="230">
        <v>1</v>
      </c>
      <c r="C7" s="547">
        <v>1</v>
      </c>
      <c r="D7" s="548" t="s">
        <v>298</v>
      </c>
      <c r="E7" s="549" t="s">
        <v>132</v>
      </c>
      <c r="F7" s="549" t="s">
        <v>136</v>
      </c>
      <c r="G7" s="550">
        <v>2</v>
      </c>
      <c r="H7" s="549" t="s">
        <v>187</v>
      </c>
      <c r="I7" s="549" t="s">
        <v>321</v>
      </c>
      <c r="J7" s="549" t="s">
        <v>709</v>
      </c>
      <c r="K7" s="551" t="s">
        <v>664</v>
      </c>
      <c r="L7" s="549" t="s">
        <v>122</v>
      </c>
      <c r="M7" s="551" t="s">
        <v>264</v>
      </c>
      <c r="N7" s="552">
        <v>72</v>
      </c>
      <c r="O7" s="552">
        <v>96</v>
      </c>
      <c r="P7" s="197" t="s">
        <v>287</v>
      </c>
      <c r="Q7" s="178" t="s">
        <v>274</v>
      </c>
      <c r="R7" s="176" t="s">
        <v>190</v>
      </c>
      <c r="S7" s="179" t="s">
        <v>289</v>
      </c>
      <c r="T7" s="411">
        <v>189.5</v>
      </c>
      <c r="U7" s="560">
        <f>T7*0.7*0.6*0.6</f>
        <v>47.753999999999998</v>
      </c>
      <c r="V7" s="567"/>
      <c r="W7" s="567"/>
      <c r="X7" s="567"/>
      <c r="Y7" s="522"/>
      <c r="Z7" s="634">
        <f>AVERAGE(Z9:Z12,Z15:Z18,Z21:Z24,Z27:Z30)</f>
        <v>0.46117011109019035</v>
      </c>
      <c r="AA7" s="412">
        <v>56.650000000000006</v>
      </c>
      <c r="AB7" s="560">
        <f>AA7*0.7*0.6*0.6</f>
        <v>14.275799999999998</v>
      </c>
      <c r="AC7" s="567">
        <v>2.21</v>
      </c>
      <c r="AD7" s="567"/>
      <c r="AE7" s="567"/>
      <c r="AF7" s="522"/>
      <c r="AG7" s="634">
        <f>AVERAGE(AG9:AG12,AG15:AG18,AG21:AG24,AG27:AG30)</f>
        <v>0.51206375254180325</v>
      </c>
    </row>
    <row r="8" spans="2:35" x14ac:dyDescent="0.25">
      <c r="B8" s="231">
        <v>2</v>
      </c>
      <c r="C8" s="541">
        <v>1</v>
      </c>
      <c r="D8" s="542" t="s">
        <v>298</v>
      </c>
      <c r="E8" s="543" t="s">
        <v>132</v>
      </c>
      <c r="F8" s="543" t="s">
        <v>136</v>
      </c>
      <c r="G8" s="544">
        <v>2</v>
      </c>
      <c r="H8" s="543" t="s">
        <v>691</v>
      </c>
      <c r="I8" s="543" t="s">
        <v>321</v>
      </c>
      <c r="J8" s="543" t="s">
        <v>709</v>
      </c>
      <c r="K8" s="545" t="s">
        <v>664</v>
      </c>
      <c r="L8" s="543" t="s">
        <v>122</v>
      </c>
      <c r="M8" s="545" t="s">
        <v>264</v>
      </c>
      <c r="N8" s="546">
        <v>72</v>
      </c>
      <c r="O8" s="546">
        <v>96</v>
      </c>
      <c r="P8" s="197" t="s">
        <v>287</v>
      </c>
      <c r="Q8" s="178" t="s">
        <v>274</v>
      </c>
      <c r="R8" s="176" t="s">
        <v>190</v>
      </c>
      <c r="S8" s="179" t="s">
        <v>289</v>
      </c>
      <c r="T8" s="411">
        <v>382.70000000000005</v>
      </c>
      <c r="U8" s="560">
        <f>T8*0.7*0.6*0.6</f>
        <v>96.440399999999997</v>
      </c>
      <c r="V8" s="567"/>
      <c r="W8" s="567"/>
      <c r="X8" s="567"/>
      <c r="Y8" s="522"/>
      <c r="Z8" s="573">
        <f>AVERAGE(Z9:Z12)</f>
        <v>0.49950137578629744</v>
      </c>
      <c r="AA8" s="412">
        <v>56.650000000000006</v>
      </c>
      <c r="AB8" s="560">
        <f t="shared" ref="AB8:AB71" si="0">AA8*0.7*0.6*0.6</f>
        <v>14.275799999999998</v>
      </c>
      <c r="AC8" s="567"/>
      <c r="AD8" s="567"/>
      <c r="AE8" s="567"/>
      <c r="AF8" s="522"/>
      <c r="AG8" s="573">
        <f>AVERAGE(AG9:AG12)</f>
        <v>0.5947230360427882</v>
      </c>
    </row>
    <row r="9" spans="2:35" x14ac:dyDescent="0.25">
      <c r="B9" s="231">
        <v>3</v>
      </c>
      <c r="C9" s="503">
        <v>1</v>
      </c>
      <c r="D9" s="504" t="s">
        <v>298</v>
      </c>
      <c r="E9" s="505" t="s">
        <v>132</v>
      </c>
      <c r="F9" s="505" t="s">
        <v>136</v>
      </c>
      <c r="G9" s="506">
        <v>2</v>
      </c>
      <c r="H9" s="505" t="s">
        <v>663</v>
      </c>
      <c r="I9" s="505" t="s">
        <v>674</v>
      </c>
      <c r="J9" s="505" t="s">
        <v>709</v>
      </c>
      <c r="K9" s="507" t="s">
        <v>664</v>
      </c>
      <c r="L9" s="505" t="s">
        <v>122</v>
      </c>
      <c r="M9" s="507" t="s">
        <v>264</v>
      </c>
      <c r="N9" s="508">
        <v>72</v>
      </c>
      <c r="O9" s="508">
        <v>96</v>
      </c>
      <c r="P9" s="197" t="s">
        <v>287</v>
      </c>
      <c r="Q9" s="178" t="s">
        <v>274</v>
      </c>
      <c r="R9" s="176" t="s">
        <v>190</v>
      </c>
      <c r="S9" s="179" t="s">
        <v>289</v>
      </c>
      <c r="T9" s="411">
        <v>225.4</v>
      </c>
      <c r="U9" s="560">
        <f>T9*0.7*0.6*0.6</f>
        <v>56.800799999999995</v>
      </c>
      <c r="V9" s="568">
        <v>2981.05</v>
      </c>
      <c r="W9" s="567">
        <v>149.05250000000001</v>
      </c>
      <c r="X9" s="567">
        <v>29.810500000000005</v>
      </c>
      <c r="Y9" s="522">
        <v>119.242</v>
      </c>
      <c r="Z9" s="572">
        <f>(Y9-U9)/Y9</f>
        <v>0.52365106254507643</v>
      </c>
      <c r="AA9" s="412">
        <v>56.650000000000006</v>
      </c>
      <c r="AB9" s="560">
        <f>AA9*0.7*0.6*0.6</f>
        <v>14.275799999999998</v>
      </c>
      <c r="AC9" s="568">
        <v>880.62</v>
      </c>
      <c r="AD9" s="567">
        <v>44.030999999999999</v>
      </c>
      <c r="AE9" s="567">
        <v>8.8062000000000005</v>
      </c>
      <c r="AF9" s="522">
        <v>35.224800000000002</v>
      </c>
      <c r="AG9" s="572">
        <f>(AF9-AB9)/AF9</f>
        <v>0.5947230360427882</v>
      </c>
      <c r="AH9" s="624"/>
      <c r="AI9" s="24"/>
    </row>
    <row r="10" spans="2:35" x14ac:dyDescent="0.25">
      <c r="B10" s="231">
        <v>4</v>
      </c>
      <c r="C10" s="503">
        <v>1</v>
      </c>
      <c r="D10" s="504" t="s">
        <v>298</v>
      </c>
      <c r="E10" s="505" t="s">
        <v>132</v>
      </c>
      <c r="F10" s="505" t="s">
        <v>136</v>
      </c>
      <c r="G10" s="506">
        <v>2</v>
      </c>
      <c r="H10" s="505" t="s">
        <v>663</v>
      </c>
      <c r="I10" s="505" t="s">
        <v>675</v>
      </c>
      <c r="J10" s="505" t="s">
        <v>709</v>
      </c>
      <c r="K10" s="507" t="s">
        <v>664</v>
      </c>
      <c r="L10" s="505" t="s">
        <v>122</v>
      </c>
      <c r="M10" s="507" t="s">
        <v>264</v>
      </c>
      <c r="N10" s="508">
        <v>72</v>
      </c>
      <c r="O10" s="508">
        <v>96</v>
      </c>
      <c r="P10" s="197" t="s">
        <v>287</v>
      </c>
      <c r="Q10" s="178" t="s">
        <v>274</v>
      </c>
      <c r="R10" s="176" t="s">
        <v>190</v>
      </c>
      <c r="S10" s="179" t="s">
        <v>289</v>
      </c>
      <c r="T10" s="411">
        <v>313</v>
      </c>
      <c r="U10" s="560">
        <f t="shared" ref="U10:U54" si="1">T10*0.7*0.6*0.6</f>
        <v>78.875999999999991</v>
      </c>
      <c r="V10" s="568">
        <v>4206.6000000000004</v>
      </c>
      <c r="W10" s="567">
        <v>210.33</v>
      </c>
      <c r="X10" s="567">
        <v>42.066000000000003</v>
      </c>
      <c r="Y10" s="522">
        <v>168.26400000000001</v>
      </c>
      <c r="Z10" s="572">
        <f>(Y10-U10)/Y10</f>
        <v>0.53123662815575534</v>
      </c>
      <c r="AA10" s="412">
        <v>56.650000000000006</v>
      </c>
      <c r="AB10" s="560">
        <f t="shared" si="0"/>
        <v>14.275799999999998</v>
      </c>
      <c r="AC10" s="568">
        <v>880.62</v>
      </c>
      <c r="AD10" s="567">
        <v>44.030999999999999</v>
      </c>
      <c r="AE10" s="567">
        <v>8.8062000000000005</v>
      </c>
      <c r="AF10" s="522">
        <v>35.224800000000002</v>
      </c>
      <c r="AG10" s="572">
        <f>(AF10-AB10)/AF10</f>
        <v>0.5947230360427882</v>
      </c>
      <c r="AH10" s="24"/>
    </row>
    <row r="11" spans="2:35" x14ac:dyDescent="0.25">
      <c r="B11" s="231">
        <v>5</v>
      </c>
      <c r="C11" s="503">
        <v>1</v>
      </c>
      <c r="D11" s="504" t="s">
        <v>298</v>
      </c>
      <c r="E11" s="505" t="s">
        <v>132</v>
      </c>
      <c r="F11" s="505" t="s">
        <v>136</v>
      </c>
      <c r="G11" s="506">
        <v>2</v>
      </c>
      <c r="H11" s="505" t="s">
        <v>663</v>
      </c>
      <c r="I11" s="505" t="s">
        <v>676</v>
      </c>
      <c r="J11" s="505" t="s">
        <v>709</v>
      </c>
      <c r="K11" s="507" t="s">
        <v>664</v>
      </c>
      <c r="L11" s="505" t="s">
        <v>122</v>
      </c>
      <c r="M11" s="507" t="s">
        <v>264</v>
      </c>
      <c r="N11" s="508">
        <v>72</v>
      </c>
      <c r="O11" s="508">
        <v>96</v>
      </c>
      <c r="P11" s="197" t="s">
        <v>287</v>
      </c>
      <c r="Q11" s="178" t="s">
        <v>274</v>
      </c>
      <c r="R11" s="176" t="s">
        <v>190</v>
      </c>
      <c r="S11" s="179" t="s">
        <v>289</v>
      </c>
      <c r="T11" s="411">
        <v>335.05</v>
      </c>
      <c r="U11" s="560">
        <f t="shared" si="1"/>
        <v>84.432599999999994</v>
      </c>
      <c r="V11" s="568">
        <v>4359.54</v>
      </c>
      <c r="W11" s="567">
        <v>217.977</v>
      </c>
      <c r="X11" s="567">
        <v>43.595400000000005</v>
      </c>
      <c r="Y11" s="522">
        <v>174.38159999999999</v>
      </c>
      <c r="Z11" s="572">
        <f>(Y11-U11)/Y11</f>
        <v>0.51581703574230309</v>
      </c>
      <c r="AA11" s="412">
        <v>56.650000000000006</v>
      </c>
      <c r="AB11" s="560">
        <f t="shared" si="0"/>
        <v>14.275799999999998</v>
      </c>
      <c r="AC11" s="568">
        <v>880.62</v>
      </c>
      <c r="AD11" s="567">
        <v>44.030999999999999</v>
      </c>
      <c r="AE11" s="567">
        <v>8.8062000000000005</v>
      </c>
      <c r="AF11" s="522">
        <v>35.224800000000002</v>
      </c>
      <c r="AG11" s="572">
        <f>(AF11-AB11)/AF11</f>
        <v>0.5947230360427882</v>
      </c>
    </row>
    <row r="12" spans="2:35" x14ac:dyDescent="0.25">
      <c r="B12" s="231">
        <v>6</v>
      </c>
      <c r="C12" s="503">
        <v>1</v>
      </c>
      <c r="D12" s="504" t="s">
        <v>298</v>
      </c>
      <c r="E12" s="505" t="s">
        <v>132</v>
      </c>
      <c r="F12" s="505" t="s">
        <v>136</v>
      </c>
      <c r="G12" s="506">
        <v>2</v>
      </c>
      <c r="H12" s="505" t="s">
        <v>663</v>
      </c>
      <c r="I12" s="505" t="s">
        <v>677</v>
      </c>
      <c r="J12" s="505" t="s">
        <v>709</v>
      </c>
      <c r="K12" s="507" t="s">
        <v>664</v>
      </c>
      <c r="L12" s="505" t="s">
        <v>122</v>
      </c>
      <c r="M12" s="507" t="s">
        <v>264</v>
      </c>
      <c r="N12" s="508">
        <v>72</v>
      </c>
      <c r="O12" s="508">
        <v>96</v>
      </c>
      <c r="P12" s="197" t="s">
        <v>287</v>
      </c>
      <c r="Q12" s="178" t="s">
        <v>274</v>
      </c>
      <c r="R12" s="176" t="s">
        <v>190</v>
      </c>
      <c r="S12" s="179" t="s">
        <v>289</v>
      </c>
      <c r="T12" s="411">
        <v>408.35</v>
      </c>
      <c r="U12" s="560">
        <f t="shared" si="1"/>
        <v>102.90419999999999</v>
      </c>
      <c r="V12" s="568">
        <v>4492.07</v>
      </c>
      <c r="W12" s="567">
        <v>224.6035</v>
      </c>
      <c r="X12" s="567">
        <v>44.920700000000004</v>
      </c>
      <c r="Y12" s="522">
        <v>179.68279999999999</v>
      </c>
      <c r="Z12" s="572">
        <f>(Y12-U12)/Y12</f>
        <v>0.42730077670205496</v>
      </c>
      <c r="AA12" s="412">
        <v>56.650000000000006</v>
      </c>
      <c r="AB12" s="560">
        <f t="shared" si="0"/>
        <v>14.275799999999998</v>
      </c>
      <c r="AC12" s="568">
        <v>880.62</v>
      </c>
      <c r="AD12" s="567">
        <v>44.030999999999999</v>
      </c>
      <c r="AE12" s="567">
        <v>8.8062000000000005</v>
      </c>
      <c r="AF12" s="522">
        <v>35.224800000000002</v>
      </c>
      <c r="AG12" s="572">
        <f>(AF12-AB12)/AF12</f>
        <v>0.5947230360427882</v>
      </c>
    </row>
    <row r="13" spans="2:35" x14ac:dyDescent="0.25">
      <c r="B13" s="231">
        <v>7</v>
      </c>
      <c r="C13" s="547">
        <v>1</v>
      </c>
      <c r="D13" s="548" t="s">
        <v>298</v>
      </c>
      <c r="E13" s="549" t="s">
        <v>132</v>
      </c>
      <c r="F13" s="549" t="s">
        <v>136</v>
      </c>
      <c r="G13" s="550">
        <v>2</v>
      </c>
      <c r="H13" s="549" t="s">
        <v>187</v>
      </c>
      <c r="I13" s="549" t="s">
        <v>321</v>
      </c>
      <c r="J13" s="549" t="s">
        <v>709</v>
      </c>
      <c r="K13" s="551" t="s">
        <v>664</v>
      </c>
      <c r="L13" s="549" t="s">
        <v>122</v>
      </c>
      <c r="M13" s="551" t="s">
        <v>264</v>
      </c>
      <c r="N13" s="552">
        <v>98</v>
      </c>
      <c r="O13" s="552">
        <v>96</v>
      </c>
      <c r="P13" s="197" t="s">
        <v>287</v>
      </c>
      <c r="Q13" s="178" t="s">
        <v>274</v>
      </c>
      <c r="R13" s="176" t="s">
        <v>190</v>
      </c>
      <c r="S13" s="179" t="s">
        <v>289</v>
      </c>
      <c r="T13" s="411">
        <v>253.85000000000002</v>
      </c>
      <c r="U13" s="560">
        <f t="shared" si="1"/>
        <v>63.970199999999991</v>
      </c>
      <c r="V13" s="568"/>
      <c r="W13" s="568"/>
      <c r="X13" s="567"/>
      <c r="Y13" s="522"/>
      <c r="Z13" s="522"/>
      <c r="AA13" s="412">
        <v>74.7</v>
      </c>
      <c r="AB13" s="560">
        <f t="shared" si="0"/>
        <v>18.824399999999997</v>
      </c>
      <c r="AC13" s="568"/>
      <c r="AD13" s="568"/>
      <c r="AE13" s="567"/>
      <c r="AF13" s="522"/>
      <c r="AG13" s="522"/>
    </row>
    <row r="14" spans="2:35" x14ac:dyDescent="0.25">
      <c r="B14" s="231">
        <v>8</v>
      </c>
      <c r="C14" s="541">
        <v>1</v>
      </c>
      <c r="D14" s="542" t="s">
        <v>298</v>
      </c>
      <c r="E14" s="543" t="s">
        <v>132</v>
      </c>
      <c r="F14" s="543" t="s">
        <v>136</v>
      </c>
      <c r="G14" s="544">
        <v>2</v>
      </c>
      <c r="H14" s="543" t="s">
        <v>691</v>
      </c>
      <c r="I14" s="543" t="s">
        <v>321</v>
      </c>
      <c r="J14" s="543" t="s">
        <v>709</v>
      </c>
      <c r="K14" s="545" t="s">
        <v>664</v>
      </c>
      <c r="L14" s="543" t="s">
        <v>122</v>
      </c>
      <c r="M14" s="545" t="s">
        <v>264</v>
      </c>
      <c r="N14" s="546">
        <v>98</v>
      </c>
      <c r="O14" s="546">
        <v>96</v>
      </c>
      <c r="P14" s="197" t="s">
        <v>287</v>
      </c>
      <c r="Q14" s="178" t="s">
        <v>274</v>
      </c>
      <c r="R14" s="176" t="s">
        <v>190</v>
      </c>
      <c r="S14" s="179" t="s">
        <v>289</v>
      </c>
      <c r="T14" s="411">
        <v>513</v>
      </c>
      <c r="U14" s="560">
        <f t="shared" si="1"/>
        <v>129.27599999999998</v>
      </c>
      <c r="V14" s="568"/>
      <c r="W14" s="568"/>
      <c r="X14" s="567"/>
      <c r="Y14" s="522"/>
      <c r="Z14" s="573">
        <f>AVERAGE(Z15:Z18)</f>
        <v>0.4637214602727881</v>
      </c>
      <c r="AA14" s="412">
        <v>74.7</v>
      </c>
      <c r="AB14" s="560">
        <f t="shared" si="0"/>
        <v>18.824399999999997</v>
      </c>
      <c r="AC14" s="568"/>
      <c r="AD14" s="568"/>
      <c r="AE14" s="567"/>
      <c r="AF14" s="522"/>
      <c r="AG14" s="573">
        <f>AVERAGE(AG15:AG18)</f>
        <v>0.53055422552070874</v>
      </c>
    </row>
    <row r="15" spans="2:35" x14ac:dyDescent="0.25">
      <c r="B15" s="231">
        <v>9</v>
      </c>
      <c r="C15" s="503">
        <v>1</v>
      </c>
      <c r="D15" s="504" t="s">
        <v>298</v>
      </c>
      <c r="E15" s="505" t="s">
        <v>132</v>
      </c>
      <c r="F15" s="505" t="s">
        <v>136</v>
      </c>
      <c r="G15" s="506">
        <v>2</v>
      </c>
      <c r="H15" s="505" t="s">
        <v>663</v>
      </c>
      <c r="I15" s="505" t="s">
        <v>674</v>
      </c>
      <c r="J15" s="505" t="s">
        <v>709</v>
      </c>
      <c r="K15" s="507" t="s">
        <v>664</v>
      </c>
      <c r="L15" s="505" t="s">
        <v>122</v>
      </c>
      <c r="M15" s="507" t="s">
        <v>264</v>
      </c>
      <c r="N15" s="508">
        <v>98</v>
      </c>
      <c r="O15" s="508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v>301.95</v>
      </c>
      <c r="U15" s="560">
        <f t="shared" si="1"/>
        <v>76.091399999999993</v>
      </c>
      <c r="V15" s="568">
        <v>3725.63</v>
      </c>
      <c r="W15" s="567">
        <v>186.28149999999999</v>
      </c>
      <c r="X15" s="567">
        <v>37.256300000000003</v>
      </c>
      <c r="Y15" s="522">
        <v>149.02519999999998</v>
      </c>
      <c r="Z15" s="572">
        <f>(Y15-U15)/Y15</f>
        <v>0.48940581861322779</v>
      </c>
      <c r="AA15" s="412">
        <v>74.7</v>
      </c>
      <c r="AB15" s="560">
        <f t="shared" si="0"/>
        <v>18.824399999999997</v>
      </c>
      <c r="AC15" s="568">
        <v>1002.48</v>
      </c>
      <c r="AD15" s="567">
        <v>50.124000000000002</v>
      </c>
      <c r="AE15" s="567">
        <v>10.024800000000001</v>
      </c>
      <c r="AF15" s="522">
        <v>40.099200000000003</v>
      </c>
      <c r="AG15" s="572">
        <f>(AF15-AB15)/AF15</f>
        <v>0.53055422552070874</v>
      </c>
    </row>
    <row r="16" spans="2:35" x14ac:dyDescent="0.25">
      <c r="B16" s="231">
        <v>10</v>
      </c>
      <c r="C16" s="503">
        <v>1</v>
      </c>
      <c r="D16" s="504" t="s">
        <v>298</v>
      </c>
      <c r="E16" s="505" t="s">
        <v>132</v>
      </c>
      <c r="F16" s="505" t="s">
        <v>136</v>
      </c>
      <c r="G16" s="506">
        <v>2</v>
      </c>
      <c r="H16" s="505" t="s">
        <v>663</v>
      </c>
      <c r="I16" s="505" t="s">
        <v>675</v>
      </c>
      <c r="J16" s="505" t="s">
        <v>709</v>
      </c>
      <c r="K16" s="507" t="s">
        <v>664</v>
      </c>
      <c r="L16" s="505" t="s">
        <v>122</v>
      </c>
      <c r="M16" s="507" t="s">
        <v>264</v>
      </c>
      <c r="N16" s="508">
        <v>98</v>
      </c>
      <c r="O16" s="508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v>419.5</v>
      </c>
      <c r="U16" s="560">
        <f t="shared" si="1"/>
        <v>105.71399999999998</v>
      </c>
      <c r="V16" s="568">
        <v>5262.84</v>
      </c>
      <c r="W16" s="567">
        <v>263.142</v>
      </c>
      <c r="X16" s="567">
        <v>52.628399999999999</v>
      </c>
      <c r="Y16" s="522">
        <v>210.5136</v>
      </c>
      <c r="Z16" s="572">
        <f>(Y16-U16)/Y16</f>
        <v>0.49782816882139685</v>
      </c>
      <c r="AA16" s="412">
        <v>74.7</v>
      </c>
      <c r="AB16" s="560">
        <f t="shared" si="0"/>
        <v>18.824399999999997</v>
      </c>
      <c r="AC16" s="568">
        <v>1002.48</v>
      </c>
      <c r="AD16" s="567">
        <v>50.124000000000002</v>
      </c>
      <c r="AE16" s="567">
        <v>10.024800000000001</v>
      </c>
      <c r="AF16" s="522">
        <v>40.099200000000003</v>
      </c>
      <c r="AG16" s="572">
        <f>(AF16-AB16)/AF16</f>
        <v>0.53055422552070874</v>
      </c>
    </row>
    <row r="17" spans="2:33" x14ac:dyDescent="0.25">
      <c r="B17" s="231">
        <v>11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676</v>
      </c>
      <c r="J17" s="505" t="s">
        <v>709</v>
      </c>
      <c r="K17" s="507" t="s">
        <v>664</v>
      </c>
      <c r="L17" s="505" t="s">
        <v>122</v>
      </c>
      <c r="M17" s="507" t="s">
        <v>264</v>
      </c>
      <c r="N17" s="508">
        <v>98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v>449.1</v>
      </c>
      <c r="U17" s="560">
        <f t="shared" si="1"/>
        <v>113.17319999999999</v>
      </c>
      <c r="V17" s="568">
        <v>5453.87</v>
      </c>
      <c r="W17" s="567">
        <v>272.69349999999997</v>
      </c>
      <c r="X17" s="567">
        <v>54.538699999999999</v>
      </c>
      <c r="Y17" s="522">
        <v>218.15479999999997</v>
      </c>
      <c r="Z17" s="572">
        <f>(Y17-U17)/Y17</f>
        <v>0.48122525839449781</v>
      </c>
      <c r="AA17" s="412">
        <v>74.7</v>
      </c>
      <c r="AB17" s="560">
        <f t="shared" si="0"/>
        <v>18.824399999999997</v>
      </c>
      <c r="AC17" s="568">
        <v>1002.48</v>
      </c>
      <c r="AD17" s="567">
        <v>50.124000000000002</v>
      </c>
      <c r="AE17" s="567">
        <v>10.024800000000001</v>
      </c>
      <c r="AF17" s="522">
        <v>40.099200000000003</v>
      </c>
      <c r="AG17" s="572">
        <f>(AF17-AB17)/AF17</f>
        <v>0.53055422552070874</v>
      </c>
    </row>
    <row r="18" spans="2:33" x14ac:dyDescent="0.25">
      <c r="B18" s="231">
        <v>12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677</v>
      </c>
      <c r="J18" s="505" t="s">
        <v>709</v>
      </c>
      <c r="K18" s="507" t="s">
        <v>664</v>
      </c>
      <c r="L18" s="505" t="s">
        <v>122</v>
      </c>
      <c r="M18" s="507" t="s">
        <v>264</v>
      </c>
      <c r="N18" s="508">
        <v>98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v>547.4</v>
      </c>
      <c r="U18" s="560">
        <f t="shared" si="1"/>
        <v>137.94479999999996</v>
      </c>
      <c r="V18" s="568">
        <v>5620.55</v>
      </c>
      <c r="W18" s="567">
        <v>281.02750000000003</v>
      </c>
      <c r="X18" s="567">
        <v>56.205500000000008</v>
      </c>
      <c r="Y18" s="522">
        <v>224.82200000000003</v>
      </c>
      <c r="Z18" s="572">
        <f>(Y18-U18)/Y18</f>
        <v>0.38642659526202977</v>
      </c>
      <c r="AA18" s="412">
        <v>74.7</v>
      </c>
      <c r="AB18" s="560">
        <f t="shared" si="0"/>
        <v>18.824399999999997</v>
      </c>
      <c r="AC18" s="568">
        <v>1002.48</v>
      </c>
      <c r="AD18" s="567">
        <v>50.124000000000002</v>
      </c>
      <c r="AE18" s="567">
        <v>10.024800000000001</v>
      </c>
      <c r="AF18" s="522">
        <v>40.099200000000003</v>
      </c>
      <c r="AG18" s="572">
        <f>(AF18-AB18)/AF18</f>
        <v>0.53055422552070874</v>
      </c>
    </row>
    <row r="19" spans="2:33" x14ac:dyDescent="0.25">
      <c r="B19" s="231">
        <v>13</v>
      </c>
      <c r="C19" s="547">
        <v>1</v>
      </c>
      <c r="D19" s="548" t="s">
        <v>298</v>
      </c>
      <c r="E19" s="549" t="s">
        <v>132</v>
      </c>
      <c r="F19" s="549" t="s">
        <v>136</v>
      </c>
      <c r="G19" s="550">
        <v>2</v>
      </c>
      <c r="H19" s="549" t="s">
        <v>187</v>
      </c>
      <c r="I19" s="549" t="s">
        <v>321</v>
      </c>
      <c r="J19" s="549" t="s">
        <v>709</v>
      </c>
      <c r="K19" s="551" t="s">
        <v>664</v>
      </c>
      <c r="L19" s="549" t="s">
        <v>122</v>
      </c>
      <c r="M19" s="551" t="s">
        <v>264</v>
      </c>
      <c r="N19" s="552">
        <v>124</v>
      </c>
      <c r="O19" s="552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v>314.65000000000003</v>
      </c>
      <c r="U19" s="560">
        <f t="shared" si="1"/>
        <v>79.291800000000009</v>
      </c>
      <c r="V19" s="568"/>
      <c r="W19" s="568"/>
      <c r="X19" s="567"/>
      <c r="Y19" s="522"/>
      <c r="Z19" s="522"/>
      <c r="AA19" s="412">
        <v>92.7</v>
      </c>
      <c r="AB19" s="560">
        <f t="shared" si="0"/>
        <v>23.360399999999998</v>
      </c>
      <c r="AC19" s="568"/>
      <c r="AD19" s="568"/>
      <c r="AE19" s="567"/>
      <c r="AF19" s="522"/>
      <c r="AG19" s="522"/>
    </row>
    <row r="20" spans="2:33" x14ac:dyDescent="0.25">
      <c r="B20" s="231">
        <v>14</v>
      </c>
      <c r="C20" s="541">
        <v>1</v>
      </c>
      <c r="D20" s="542" t="s">
        <v>298</v>
      </c>
      <c r="E20" s="543" t="s">
        <v>132</v>
      </c>
      <c r="F20" s="543" t="s">
        <v>136</v>
      </c>
      <c r="G20" s="544">
        <v>2</v>
      </c>
      <c r="H20" s="543" t="s">
        <v>691</v>
      </c>
      <c r="I20" s="543" t="s">
        <v>321</v>
      </c>
      <c r="J20" s="543" t="s">
        <v>709</v>
      </c>
      <c r="K20" s="545" t="s">
        <v>664</v>
      </c>
      <c r="L20" s="543" t="s">
        <v>122</v>
      </c>
      <c r="M20" s="545" t="s">
        <v>264</v>
      </c>
      <c r="N20" s="546">
        <v>124</v>
      </c>
      <c r="O20" s="546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v>635.1</v>
      </c>
      <c r="U20" s="560">
        <f t="shared" si="1"/>
        <v>160.04519999999997</v>
      </c>
      <c r="V20" s="568"/>
      <c r="W20" s="568"/>
      <c r="X20" s="567"/>
      <c r="Y20" s="522"/>
      <c r="Z20" s="573">
        <f>AVERAGE(Z21:Z24)</f>
        <v>0.44687900560297045</v>
      </c>
      <c r="AA20" s="412">
        <v>92.7</v>
      </c>
      <c r="AB20" s="560">
        <f t="shared" si="0"/>
        <v>23.360399999999998</v>
      </c>
      <c r="AC20" s="568"/>
      <c r="AD20" s="568"/>
      <c r="AE20" s="567"/>
      <c r="AF20" s="522"/>
      <c r="AG20" s="573">
        <f>AVERAGE(AG21:AG24)</f>
        <v>0.47389804246579048</v>
      </c>
    </row>
    <row r="21" spans="2:33" x14ac:dyDescent="0.25">
      <c r="B21" s="231">
        <v>15</v>
      </c>
      <c r="C21" s="503">
        <v>1</v>
      </c>
      <c r="D21" s="504" t="s">
        <v>298</v>
      </c>
      <c r="E21" s="505" t="s">
        <v>132</v>
      </c>
      <c r="F21" s="505" t="s">
        <v>136</v>
      </c>
      <c r="G21" s="506">
        <v>2</v>
      </c>
      <c r="H21" s="505" t="s">
        <v>663</v>
      </c>
      <c r="I21" s="505" t="s">
        <v>674</v>
      </c>
      <c r="J21" s="505" t="s">
        <v>709</v>
      </c>
      <c r="K21" s="507" t="s">
        <v>664</v>
      </c>
      <c r="L21" s="505" t="s">
        <v>122</v>
      </c>
      <c r="M21" s="507" t="s">
        <v>264</v>
      </c>
      <c r="N21" s="508">
        <v>124</v>
      </c>
      <c r="O21" s="508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v>374.15000000000003</v>
      </c>
      <c r="U21" s="560">
        <f t="shared" si="1"/>
        <v>94.285799999999995</v>
      </c>
      <c r="V21" s="568">
        <v>4470.21</v>
      </c>
      <c r="W21" s="567">
        <v>223.51050000000001</v>
      </c>
      <c r="X21" s="567">
        <v>44.702100000000002</v>
      </c>
      <c r="Y21" s="522">
        <v>178.80840000000001</v>
      </c>
      <c r="Z21" s="572">
        <f>(Y21-U21)/Y21</f>
        <v>0.47269926916185151</v>
      </c>
      <c r="AA21" s="412">
        <v>92.7</v>
      </c>
      <c r="AB21" s="560">
        <f t="shared" si="0"/>
        <v>23.360399999999998</v>
      </c>
      <c r="AC21" s="568">
        <v>1110.07</v>
      </c>
      <c r="AD21" s="567">
        <v>55.503499999999995</v>
      </c>
      <c r="AE21" s="567">
        <v>11.1007</v>
      </c>
      <c r="AF21" s="522">
        <v>44.402799999999999</v>
      </c>
      <c r="AG21" s="572">
        <f>(AF21-AB21)/AF21</f>
        <v>0.47389804246579048</v>
      </c>
    </row>
    <row r="22" spans="2:33" x14ac:dyDescent="0.25">
      <c r="B22" s="231">
        <v>16</v>
      </c>
      <c r="C22" s="503">
        <v>1</v>
      </c>
      <c r="D22" s="504" t="s">
        <v>298</v>
      </c>
      <c r="E22" s="505" t="s">
        <v>132</v>
      </c>
      <c r="F22" s="505" t="s">
        <v>136</v>
      </c>
      <c r="G22" s="506">
        <v>2</v>
      </c>
      <c r="H22" s="505" t="s">
        <v>663</v>
      </c>
      <c r="I22" s="505" t="s">
        <v>675</v>
      </c>
      <c r="J22" s="505" t="s">
        <v>709</v>
      </c>
      <c r="K22" s="507" t="s">
        <v>664</v>
      </c>
      <c r="L22" s="505" t="s">
        <v>122</v>
      </c>
      <c r="M22" s="507" t="s">
        <v>264</v>
      </c>
      <c r="N22" s="508">
        <v>124</v>
      </c>
      <c r="O22" s="508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v>519.5</v>
      </c>
      <c r="U22" s="560">
        <f t="shared" si="1"/>
        <v>130.91399999999999</v>
      </c>
      <c r="V22" s="568">
        <v>6319.08</v>
      </c>
      <c r="W22" s="567">
        <v>315.95400000000001</v>
      </c>
      <c r="X22" s="567">
        <v>63.190800000000003</v>
      </c>
      <c r="Y22" s="522">
        <v>252.76320000000001</v>
      </c>
      <c r="Z22" s="572">
        <f>(Y22-U22)/Y22</f>
        <v>0.48206859226343085</v>
      </c>
      <c r="AA22" s="412">
        <v>92.7</v>
      </c>
      <c r="AB22" s="560">
        <f t="shared" si="0"/>
        <v>23.360399999999998</v>
      </c>
      <c r="AC22" s="568">
        <v>1110.07</v>
      </c>
      <c r="AD22" s="567">
        <v>55.503499999999995</v>
      </c>
      <c r="AE22" s="567">
        <v>11.1007</v>
      </c>
      <c r="AF22" s="522">
        <v>44.402799999999999</v>
      </c>
      <c r="AG22" s="572">
        <f>(AF22-AB22)/AF22</f>
        <v>0.47389804246579048</v>
      </c>
    </row>
    <row r="23" spans="2:33" x14ac:dyDescent="0.25">
      <c r="B23" s="231">
        <v>17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676</v>
      </c>
      <c r="J23" s="505" t="s">
        <v>709</v>
      </c>
      <c r="K23" s="507" t="s">
        <v>664</v>
      </c>
      <c r="L23" s="505" t="s">
        <v>122</v>
      </c>
      <c r="M23" s="507" t="s">
        <v>264</v>
      </c>
      <c r="N23" s="508">
        <v>124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v>556.05000000000007</v>
      </c>
      <c r="U23" s="560">
        <f t="shared" si="1"/>
        <v>140.12459999999999</v>
      </c>
      <c r="V23" s="568">
        <v>6549.56</v>
      </c>
      <c r="W23" s="567">
        <v>327.47800000000001</v>
      </c>
      <c r="X23" s="567">
        <v>65.49560000000001</v>
      </c>
      <c r="Y23" s="522">
        <v>261.98239999999998</v>
      </c>
      <c r="Z23" s="572">
        <f>(Y23-U23)/Y23</f>
        <v>0.46513735273819923</v>
      </c>
      <c r="AA23" s="412">
        <v>92.7</v>
      </c>
      <c r="AB23" s="560">
        <f t="shared" si="0"/>
        <v>23.360399999999998</v>
      </c>
      <c r="AC23" s="568">
        <v>1110.07</v>
      </c>
      <c r="AD23" s="567">
        <v>55.503499999999995</v>
      </c>
      <c r="AE23" s="567">
        <v>11.1007</v>
      </c>
      <c r="AF23" s="522">
        <v>44.402799999999999</v>
      </c>
      <c r="AG23" s="572">
        <f>(AF23-AB23)/AF23</f>
        <v>0.47389804246579048</v>
      </c>
    </row>
    <row r="24" spans="2:33" x14ac:dyDescent="0.25">
      <c r="B24" s="231">
        <v>18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677</v>
      </c>
      <c r="J24" s="505" t="s">
        <v>709</v>
      </c>
      <c r="K24" s="507" t="s">
        <v>664</v>
      </c>
      <c r="L24" s="505" t="s">
        <v>122</v>
      </c>
      <c r="M24" s="507" t="s">
        <v>264</v>
      </c>
      <c r="N24" s="508">
        <v>124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v>677.6</v>
      </c>
      <c r="U24" s="560">
        <f t="shared" si="1"/>
        <v>170.75519999999997</v>
      </c>
      <c r="V24" s="568">
        <v>6750.4</v>
      </c>
      <c r="W24" s="567">
        <v>337.52</v>
      </c>
      <c r="X24" s="567">
        <v>67.504000000000005</v>
      </c>
      <c r="Y24" s="522">
        <v>270.01599999999996</v>
      </c>
      <c r="Z24" s="572">
        <f>(Y24-U24)/Y24</f>
        <v>0.36761080824840009</v>
      </c>
      <c r="AA24" s="412">
        <v>92.7</v>
      </c>
      <c r="AB24" s="560">
        <f t="shared" si="0"/>
        <v>23.360399999999998</v>
      </c>
      <c r="AC24" s="568">
        <v>1110.07</v>
      </c>
      <c r="AD24" s="567">
        <v>55.503499999999995</v>
      </c>
      <c r="AE24" s="567">
        <v>11.1007</v>
      </c>
      <c r="AF24" s="522">
        <v>44.402799999999999</v>
      </c>
      <c r="AG24" s="572">
        <f>(AF24-AB24)/AF24</f>
        <v>0.47389804246579048</v>
      </c>
    </row>
    <row r="25" spans="2:33" x14ac:dyDescent="0.25">
      <c r="B25" s="231">
        <v>19</v>
      </c>
      <c r="C25" s="547">
        <v>1</v>
      </c>
      <c r="D25" s="548" t="s">
        <v>298</v>
      </c>
      <c r="E25" s="549" t="s">
        <v>132</v>
      </c>
      <c r="F25" s="549" t="s">
        <v>136</v>
      </c>
      <c r="G25" s="550">
        <v>2</v>
      </c>
      <c r="H25" s="549" t="s">
        <v>187</v>
      </c>
      <c r="I25" s="549" t="s">
        <v>321</v>
      </c>
      <c r="J25" s="549" t="s">
        <v>709</v>
      </c>
      <c r="K25" s="551" t="s">
        <v>664</v>
      </c>
      <c r="L25" s="549" t="s">
        <v>122</v>
      </c>
      <c r="M25" s="551" t="s">
        <v>264</v>
      </c>
      <c r="N25" s="552">
        <v>150</v>
      </c>
      <c r="O25" s="552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v>379</v>
      </c>
      <c r="U25" s="560">
        <f t="shared" si="1"/>
        <v>95.507999999999996</v>
      </c>
      <c r="V25" s="568"/>
      <c r="W25" s="568"/>
      <c r="X25" s="567"/>
      <c r="Y25" s="522"/>
      <c r="Z25" s="522" t="s">
        <v>711</v>
      </c>
      <c r="AA25" s="412">
        <v>110.7</v>
      </c>
      <c r="AB25" s="560">
        <f t="shared" si="0"/>
        <v>27.896399999999996</v>
      </c>
      <c r="AC25" s="568"/>
      <c r="AD25" s="568"/>
      <c r="AE25" s="567"/>
      <c r="AF25" s="522"/>
      <c r="AG25" s="522"/>
    </row>
    <row r="26" spans="2:33" x14ac:dyDescent="0.25">
      <c r="B26" s="231">
        <v>20</v>
      </c>
      <c r="C26" s="541">
        <v>1</v>
      </c>
      <c r="D26" s="542" t="s">
        <v>298</v>
      </c>
      <c r="E26" s="543" t="s">
        <v>132</v>
      </c>
      <c r="F26" s="543" t="s">
        <v>136</v>
      </c>
      <c r="G26" s="544">
        <v>2</v>
      </c>
      <c r="H26" s="543" t="s">
        <v>691</v>
      </c>
      <c r="I26" s="543" t="s">
        <v>321</v>
      </c>
      <c r="J26" s="543" t="s">
        <v>709</v>
      </c>
      <c r="K26" s="545" t="s">
        <v>664</v>
      </c>
      <c r="L26" s="543" t="s">
        <v>122</v>
      </c>
      <c r="M26" s="545" t="s">
        <v>264</v>
      </c>
      <c r="N26" s="546">
        <v>150</v>
      </c>
      <c r="O26" s="546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v>765.40000000000009</v>
      </c>
      <c r="U26" s="560">
        <f t="shared" si="1"/>
        <v>192.88079999999999</v>
      </c>
      <c r="V26" s="568"/>
      <c r="W26" s="568"/>
      <c r="X26" s="567"/>
      <c r="Y26" s="522"/>
      <c r="Z26" s="573">
        <f>AVERAGE(Z27:Z30)</f>
        <v>0.43457860269870535</v>
      </c>
      <c r="AA26" s="412">
        <v>110.7</v>
      </c>
      <c r="AB26" s="560">
        <f t="shared" si="0"/>
        <v>27.896399999999996</v>
      </c>
      <c r="AC26" s="568"/>
      <c r="AD26" s="568"/>
      <c r="AE26" s="567"/>
      <c r="AF26" s="522"/>
      <c r="AG26" s="573">
        <f>AVERAGE(AG27:AG30)</f>
        <v>0.44907970613792569</v>
      </c>
    </row>
    <row r="27" spans="2:33" x14ac:dyDescent="0.25">
      <c r="B27" s="231">
        <v>21</v>
      </c>
      <c r="C27" s="503">
        <v>1</v>
      </c>
      <c r="D27" s="504" t="s">
        <v>298</v>
      </c>
      <c r="E27" s="505" t="s">
        <v>132</v>
      </c>
      <c r="F27" s="505" t="s">
        <v>136</v>
      </c>
      <c r="G27" s="506">
        <v>2</v>
      </c>
      <c r="H27" s="505" t="s">
        <v>663</v>
      </c>
      <c r="I27" s="505" t="s">
        <v>674</v>
      </c>
      <c r="J27" s="505" t="s">
        <v>709</v>
      </c>
      <c r="K27" s="507" t="s">
        <v>664</v>
      </c>
      <c r="L27" s="505" t="s">
        <v>122</v>
      </c>
      <c r="M27" s="507" t="s">
        <v>264</v>
      </c>
      <c r="N27" s="508">
        <v>150</v>
      </c>
      <c r="O27" s="508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v>450.75</v>
      </c>
      <c r="U27" s="560">
        <f t="shared" si="1"/>
        <v>113.58899999999998</v>
      </c>
      <c r="V27" s="568">
        <v>5279</v>
      </c>
      <c r="W27" s="567">
        <v>263.95</v>
      </c>
      <c r="X27" s="567">
        <v>52.79</v>
      </c>
      <c r="Y27" s="522">
        <v>211.16</v>
      </c>
      <c r="Z27" s="572">
        <f>(Y27-U27)/Y27</f>
        <v>0.46207141504072746</v>
      </c>
      <c r="AA27" s="412">
        <v>110.7</v>
      </c>
      <c r="AB27" s="560">
        <f t="shared" si="0"/>
        <v>27.896399999999996</v>
      </c>
      <c r="AC27" s="568">
        <v>1265.9000000000001</v>
      </c>
      <c r="AD27" s="567">
        <v>63.295000000000002</v>
      </c>
      <c r="AE27" s="567">
        <v>12.659000000000001</v>
      </c>
      <c r="AF27" s="522">
        <v>50.636000000000003</v>
      </c>
      <c r="AG27" s="572">
        <f>(AF27-AB27)/AF27</f>
        <v>0.44907970613792569</v>
      </c>
    </row>
    <row r="28" spans="2:33" x14ac:dyDescent="0.25">
      <c r="B28" s="231">
        <v>22</v>
      </c>
      <c r="C28" s="503">
        <v>1</v>
      </c>
      <c r="D28" s="504" t="s">
        <v>298</v>
      </c>
      <c r="E28" s="505" t="s">
        <v>132</v>
      </c>
      <c r="F28" s="505" t="s">
        <v>136</v>
      </c>
      <c r="G28" s="506">
        <v>2</v>
      </c>
      <c r="H28" s="505" t="s">
        <v>663</v>
      </c>
      <c r="I28" s="505" t="s">
        <v>675</v>
      </c>
      <c r="J28" s="505" t="s">
        <v>709</v>
      </c>
      <c r="K28" s="507" t="s">
        <v>664</v>
      </c>
      <c r="L28" s="505" t="s">
        <v>122</v>
      </c>
      <c r="M28" s="507" t="s">
        <v>264</v>
      </c>
      <c r="N28" s="508">
        <v>150</v>
      </c>
      <c r="O28" s="508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v>626</v>
      </c>
      <c r="U28" s="560">
        <f t="shared" si="1"/>
        <v>157.75199999999998</v>
      </c>
      <c r="V28" s="568">
        <v>7456.32</v>
      </c>
      <c r="W28" s="567">
        <v>372.81599999999997</v>
      </c>
      <c r="X28" s="567">
        <v>74.563199999999995</v>
      </c>
      <c r="Y28" s="522">
        <v>298.25279999999998</v>
      </c>
      <c r="Z28" s="572">
        <f>(Y28-U28)/Y28</f>
        <v>0.4710795674005408</v>
      </c>
      <c r="AA28" s="412">
        <v>110.7</v>
      </c>
      <c r="AB28" s="560">
        <f t="shared" si="0"/>
        <v>27.896399999999996</v>
      </c>
      <c r="AC28" s="568">
        <v>1265.9000000000001</v>
      </c>
      <c r="AD28" s="567">
        <v>63.295000000000002</v>
      </c>
      <c r="AE28" s="567">
        <v>12.659000000000001</v>
      </c>
      <c r="AF28" s="522">
        <v>50.636000000000003</v>
      </c>
      <c r="AG28" s="572">
        <f>(AF28-AB28)/AF28</f>
        <v>0.44907970613792569</v>
      </c>
    </row>
    <row r="29" spans="2:33" x14ac:dyDescent="0.25">
      <c r="B29" s="231">
        <v>23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676</v>
      </c>
      <c r="J29" s="505" t="s">
        <v>709</v>
      </c>
      <c r="K29" s="507" t="s">
        <v>664</v>
      </c>
      <c r="L29" s="505" t="s">
        <v>122</v>
      </c>
      <c r="M29" s="507" t="s">
        <v>264</v>
      </c>
      <c r="N29" s="508">
        <v>150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v>670.1</v>
      </c>
      <c r="U29" s="560">
        <f t="shared" si="1"/>
        <v>168.86519999999999</v>
      </c>
      <c r="V29" s="568">
        <v>7706.74</v>
      </c>
      <c r="W29" s="567">
        <v>385.33699999999999</v>
      </c>
      <c r="X29" s="567">
        <v>77.067400000000006</v>
      </c>
      <c r="Y29" s="522">
        <v>308.26959999999997</v>
      </c>
      <c r="Z29" s="572">
        <f>(Y29-U29)/Y29</f>
        <v>0.45221585261731939</v>
      </c>
      <c r="AA29" s="412">
        <v>110.7</v>
      </c>
      <c r="AB29" s="560">
        <f t="shared" si="0"/>
        <v>27.896399999999996</v>
      </c>
      <c r="AC29" s="568">
        <v>1265.9000000000001</v>
      </c>
      <c r="AD29" s="567">
        <v>63.295000000000002</v>
      </c>
      <c r="AE29" s="567">
        <v>12.659000000000001</v>
      </c>
      <c r="AF29" s="522">
        <v>50.636000000000003</v>
      </c>
      <c r="AG29" s="572">
        <f>(AF29-AB29)/AF29</f>
        <v>0.44907970613792569</v>
      </c>
    </row>
    <row r="30" spans="2:33" x14ac:dyDescent="0.25">
      <c r="B30" s="231">
        <v>24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677</v>
      </c>
      <c r="J30" s="505" t="s">
        <v>709</v>
      </c>
      <c r="K30" s="507" t="s">
        <v>664</v>
      </c>
      <c r="L30" s="505" t="s">
        <v>122</v>
      </c>
      <c r="M30" s="507" t="s">
        <v>264</v>
      </c>
      <c r="N30" s="508">
        <v>150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v>816.65000000000009</v>
      </c>
      <c r="U30" s="560">
        <f t="shared" si="1"/>
        <v>205.79579999999999</v>
      </c>
      <c r="V30" s="568">
        <v>7951.28</v>
      </c>
      <c r="W30" s="567">
        <v>397.56399999999996</v>
      </c>
      <c r="X30" s="567">
        <v>79.512799999999999</v>
      </c>
      <c r="Y30" s="522">
        <v>318.05119999999999</v>
      </c>
      <c r="Z30" s="572">
        <f>(Y30-U30)/Y30</f>
        <v>0.3529475757362337</v>
      </c>
      <c r="AA30" s="412">
        <v>110.7</v>
      </c>
      <c r="AB30" s="560">
        <f t="shared" si="0"/>
        <v>27.896399999999996</v>
      </c>
      <c r="AC30" s="568">
        <v>1265.9000000000001</v>
      </c>
      <c r="AD30" s="567">
        <v>63.295000000000002</v>
      </c>
      <c r="AE30" s="567">
        <v>12.659000000000001</v>
      </c>
      <c r="AF30" s="522">
        <v>50.636000000000003</v>
      </c>
      <c r="AG30" s="572">
        <f>(AF30-AB30)/AF30</f>
        <v>0.44907970613792569</v>
      </c>
    </row>
    <row r="31" spans="2:33" x14ac:dyDescent="0.25">
      <c r="B31" s="231">
        <v>25</v>
      </c>
      <c r="C31" s="553">
        <v>1</v>
      </c>
      <c r="D31" s="554" t="s">
        <v>298</v>
      </c>
      <c r="E31" s="555" t="s">
        <v>132</v>
      </c>
      <c r="F31" s="555" t="s">
        <v>116</v>
      </c>
      <c r="G31" s="556">
        <v>2</v>
      </c>
      <c r="H31" s="555" t="s">
        <v>187</v>
      </c>
      <c r="I31" s="555" t="s">
        <v>323</v>
      </c>
      <c r="J31" s="555" t="s">
        <v>709</v>
      </c>
      <c r="K31" s="557" t="s">
        <v>665</v>
      </c>
      <c r="L31" s="555" t="s">
        <v>122</v>
      </c>
      <c r="M31" s="557" t="s">
        <v>264</v>
      </c>
      <c r="N31" s="558">
        <v>72</v>
      </c>
      <c r="O31" s="55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v>122.9</v>
      </c>
      <c r="U31" s="560">
        <f t="shared" si="1"/>
        <v>30.970800000000001</v>
      </c>
      <c r="V31" s="568"/>
      <c r="W31" s="568"/>
      <c r="X31" s="567"/>
      <c r="Y31" s="522"/>
      <c r="Z31" s="634">
        <f>AVERAGE(Z33:Z36,Z39:Z42,Z45:Z48,Z51:Z54)</f>
        <v>0.43465689702216354</v>
      </c>
      <c r="AA31" s="412">
        <v>56.650000000000006</v>
      </c>
      <c r="AB31" s="560">
        <f t="shared" si="0"/>
        <v>14.275799999999998</v>
      </c>
      <c r="AC31" s="568"/>
      <c r="AD31" s="568"/>
      <c r="AE31" s="567"/>
      <c r="AF31" s="522"/>
      <c r="AG31" s="634">
        <f>AVERAGE(AG33:AG36,AG39:AG42,AG45:AG48,AG51:AG54)</f>
        <v>0.51206375254180325</v>
      </c>
    </row>
    <row r="32" spans="2:33" x14ac:dyDescent="0.25">
      <c r="B32" s="231">
        <v>26</v>
      </c>
      <c r="C32" s="509">
        <v>1</v>
      </c>
      <c r="D32" s="510" t="s">
        <v>298</v>
      </c>
      <c r="E32" s="511" t="s">
        <v>132</v>
      </c>
      <c r="F32" s="511" t="s">
        <v>116</v>
      </c>
      <c r="G32" s="512">
        <v>2</v>
      </c>
      <c r="H32" s="511" t="s">
        <v>691</v>
      </c>
      <c r="I32" s="511" t="s">
        <v>323</v>
      </c>
      <c r="J32" s="511" t="s">
        <v>709</v>
      </c>
      <c r="K32" s="513" t="s">
        <v>665</v>
      </c>
      <c r="L32" s="511" t="s">
        <v>122</v>
      </c>
      <c r="M32" s="513" t="s">
        <v>264</v>
      </c>
      <c r="N32" s="514">
        <v>72</v>
      </c>
      <c r="O32" s="514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v>221.15</v>
      </c>
      <c r="U32" s="560">
        <f t="shared" si="1"/>
        <v>55.729799999999997</v>
      </c>
      <c r="V32" s="568"/>
      <c r="W32" s="568"/>
      <c r="X32" s="567"/>
      <c r="Y32" s="522"/>
      <c r="Z32" s="573">
        <f>AVERAGE(Z33:Z36)</f>
        <v>0.4589927964883061</v>
      </c>
      <c r="AA32" s="412">
        <v>56.650000000000006</v>
      </c>
      <c r="AB32" s="560">
        <f t="shared" si="0"/>
        <v>14.275799999999998</v>
      </c>
      <c r="AC32" s="568"/>
      <c r="AD32" s="568"/>
      <c r="AE32" s="567"/>
      <c r="AF32" s="522"/>
      <c r="AG32" s="573">
        <f>AVERAGE(AG33:AG36)</f>
        <v>0.5947230360427882</v>
      </c>
    </row>
    <row r="33" spans="2:33" x14ac:dyDescent="0.25">
      <c r="B33" s="231">
        <v>27</v>
      </c>
      <c r="C33" s="515">
        <v>1</v>
      </c>
      <c r="D33" s="516" t="s">
        <v>298</v>
      </c>
      <c r="E33" s="517" t="s">
        <v>132</v>
      </c>
      <c r="F33" s="517" t="s">
        <v>116</v>
      </c>
      <c r="G33" s="518">
        <v>2</v>
      </c>
      <c r="H33" s="517" t="s">
        <v>663</v>
      </c>
      <c r="I33" s="517" t="s">
        <v>681</v>
      </c>
      <c r="J33" s="517" t="s">
        <v>709</v>
      </c>
      <c r="K33" s="519" t="s">
        <v>665</v>
      </c>
      <c r="L33" s="517" t="s">
        <v>122</v>
      </c>
      <c r="M33" s="519" t="s">
        <v>264</v>
      </c>
      <c r="N33" s="520">
        <v>72</v>
      </c>
      <c r="O33" s="520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v>182.4</v>
      </c>
      <c r="U33" s="560">
        <f t="shared" si="1"/>
        <v>45.96479999999999</v>
      </c>
      <c r="V33" s="568">
        <v>2498.04</v>
      </c>
      <c r="W33" s="567">
        <v>124.902</v>
      </c>
      <c r="X33" s="567">
        <v>24.980400000000003</v>
      </c>
      <c r="Y33" s="522">
        <v>99.921599999999998</v>
      </c>
      <c r="Z33" s="572">
        <f>(Y33-U33)/Y33</f>
        <v>0.53999135322092529</v>
      </c>
      <c r="AA33" s="412">
        <v>56.650000000000006</v>
      </c>
      <c r="AB33" s="560">
        <f t="shared" si="0"/>
        <v>14.275799999999998</v>
      </c>
      <c r="AC33" s="568">
        <v>880.62</v>
      </c>
      <c r="AD33" s="567">
        <v>44.030999999999999</v>
      </c>
      <c r="AE33" s="567">
        <v>8.8062000000000005</v>
      </c>
      <c r="AF33" s="522">
        <v>35.224800000000002</v>
      </c>
      <c r="AG33" s="572">
        <f>(AF33-AB33)/AF33</f>
        <v>0.5947230360427882</v>
      </c>
    </row>
    <row r="34" spans="2:33" x14ac:dyDescent="0.25">
      <c r="B34" s="231">
        <v>28</v>
      </c>
      <c r="C34" s="515">
        <v>1</v>
      </c>
      <c r="D34" s="516" t="s">
        <v>298</v>
      </c>
      <c r="E34" s="517" t="s">
        <v>132</v>
      </c>
      <c r="F34" s="517" t="s">
        <v>116</v>
      </c>
      <c r="G34" s="518">
        <v>2</v>
      </c>
      <c r="H34" s="517" t="s">
        <v>663</v>
      </c>
      <c r="I34" s="517" t="s">
        <v>685</v>
      </c>
      <c r="J34" s="517" t="s">
        <v>709</v>
      </c>
      <c r="K34" s="519" t="s">
        <v>665</v>
      </c>
      <c r="L34" s="517" t="s">
        <v>122</v>
      </c>
      <c r="M34" s="519" t="s">
        <v>264</v>
      </c>
      <c r="N34" s="520">
        <v>72</v>
      </c>
      <c r="O34" s="520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v>217.65</v>
      </c>
      <c r="U34" s="560">
        <f t="shared" si="1"/>
        <v>54.847799999999999</v>
      </c>
      <c r="V34" s="568">
        <v>2762.46</v>
      </c>
      <c r="W34" s="567">
        <v>138.12299999999999</v>
      </c>
      <c r="X34" s="567">
        <v>27.624600000000001</v>
      </c>
      <c r="Y34" s="522">
        <v>110.49839999999999</v>
      </c>
      <c r="Z34" s="572">
        <f>(Y34-U34)/Y34</f>
        <v>0.50363263178471362</v>
      </c>
      <c r="AA34" s="412">
        <v>56.650000000000006</v>
      </c>
      <c r="AB34" s="560">
        <f t="shared" si="0"/>
        <v>14.275799999999998</v>
      </c>
      <c r="AC34" s="568">
        <v>880.62</v>
      </c>
      <c r="AD34" s="567">
        <v>44.030999999999999</v>
      </c>
      <c r="AE34" s="567">
        <v>8.8062000000000005</v>
      </c>
      <c r="AF34" s="522">
        <v>35.224800000000002</v>
      </c>
      <c r="AG34" s="572">
        <f>(AF34-AB34)/AF34</f>
        <v>0.5947230360427882</v>
      </c>
    </row>
    <row r="35" spans="2:33" x14ac:dyDescent="0.25">
      <c r="B35" s="231">
        <v>29</v>
      </c>
      <c r="C35" s="515">
        <v>1</v>
      </c>
      <c r="D35" s="516" t="s">
        <v>298</v>
      </c>
      <c r="E35" s="517" t="s">
        <v>132</v>
      </c>
      <c r="F35" s="517" t="s">
        <v>116</v>
      </c>
      <c r="G35" s="518">
        <v>2</v>
      </c>
      <c r="H35" s="517" t="s">
        <v>663</v>
      </c>
      <c r="I35" s="517" t="s">
        <v>687</v>
      </c>
      <c r="J35" s="517" t="s">
        <v>709</v>
      </c>
      <c r="K35" s="519" t="s">
        <v>665</v>
      </c>
      <c r="L35" s="517" t="s">
        <v>122</v>
      </c>
      <c r="M35" s="519" t="s">
        <v>264</v>
      </c>
      <c r="N35" s="520">
        <v>72</v>
      </c>
      <c r="O35" s="520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v>259.90000000000003</v>
      </c>
      <c r="U35" s="560">
        <f t="shared" si="1"/>
        <v>65.494799999999998</v>
      </c>
      <c r="V35" s="568">
        <v>2761.1</v>
      </c>
      <c r="W35" s="567">
        <v>138.05500000000001</v>
      </c>
      <c r="X35" s="567">
        <v>27.611000000000004</v>
      </c>
      <c r="Y35" s="522">
        <v>110.444</v>
      </c>
      <c r="Z35" s="572">
        <f>(Y35-U35)/Y35</f>
        <v>0.40698634602151318</v>
      </c>
      <c r="AA35" s="412">
        <v>56.650000000000006</v>
      </c>
      <c r="AB35" s="560">
        <f t="shared" si="0"/>
        <v>14.275799999999998</v>
      </c>
      <c r="AC35" s="568">
        <v>880.62</v>
      </c>
      <c r="AD35" s="567">
        <v>44.030999999999999</v>
      </c>
      <c r="AE35" s="567">
        <v>8.8062000000000005</v>
      </c>
      <c r="AF35" s="522">
        <v>35.224800000000002</v>
      </c>
      <c r="AG35" s="572">
        <f>(AF35-AB35)/AF35</f>
        <v>0.5947230360427882</v>
      </c>
    </row>
    <row r="36" spans="2:33" x14ac:dyDescent="0.25">
      <c r="B36" s="231">
        <v>30</v>
      </c>
      <c r="C36" s="515">
        <v>1</v>
      </c>
      <c r="D36" s="516" t="s">
        <v>298</v>
      </c>
      <c r="E36" s="517" t="s">
        <v>132</v>
      </c>
      <c r="F36" s="517" t="s">
        <v>116</v>
      </c>
      <c r="G36" s="518">
        <v>2</v>
      </c>
      <c r="H36" s="517" t="s">
        <v>663</v>
      </c>
      <c r="I36" s="517" t="s">
        <v>689</v>
      </c>
      <c r="J36" s="517" t="s">
        <v>709</v>
      </c>
      <c r="K36" s="519" t="s">
        <v>665</v>
      </c>
      <c r="L36" s="517" t="s">
        <v>122</v>
      </c>
      <c r="M36" s="519" t="s">
        <v>264</v>
      </c>
      <c r="N36" s="520">
        <v>72</v>
      </c>
      <c r="O36" s="520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v>299.90000000000003</v>
      </c>
      <c r="U36" s="560">
        <f t="shared" si="1"/>
        <v>75.574799999999996</v>
      </c>
      <c r="V36" s="568">
        <v>3073.95</v>
      </c>
      <c r="W36" s="567">
        <v>153.69749999999999</v>
      </c>
      <c r="X36" s="567">
        <v>30.7395</v>
      </c>
      <c r="Y36" s="522">
        <v>122.958</v>
      </c>
      <c r="Z36" s="572">
        <f>(Y36-U36)/Y36</f>
        <v>0.38536085492607236</v>
      </c>
      <c r="AA36" s="412">
        <v>56.650000000000006</v>
      </c>
      <c r="AB36" s="560">
        <f t="shared" si="0"/>
        <v>14.275799999999998</v>
      </c>
      <c r="AC36" s="568">
        <v>880.62</v>
      </c>
      <c r="AD36" s="567">
        <v>44.030999999999999</v>
      </c>
      <c r="AE36" s="567">
        <v>8.8062000000000005</v>
      </c>
      <c r="AF36" s="522">
        <v>35.224800000000002</v>
      </c>
      <c r="AG36" s="572">
        <f>(AF36-AB36)/AF36</f>
        <v>0.5947230360427882</v>
      </c>
    </row>
    <row r="37" spans="2:33" x14ac:dyDescent="0.25">
      <c r="B37" s="231">
        <v>31</v>
      </c>
      <c r="C37" s="553">
        <v>1</v>
      </c>
      <c r="D37" s="554" t="s">
        <v>298</v>
      </c>
      <c r="E37" s="555" t="s">
        <v>132</v>
      </c>
      <c r="F37" s="555" t="s">
        <v>116</v>
      </c>
      <c r="G37" s="556">
        <v>2</v>
      </c>
      <c r="H37" s="555" t="s">
        <v>187</v>
      </c>
      <c r="I37" s="555" t="s">
        <v>323</v>
      </c>
      <c r="J37" s="555" t="s">
        <v>709</v>
      </c>
      <c r="K37" s="557" t="s">
        <v>665</v>
      </c>
      <c r="L37" s="555" t="s">
        <v>122</v>
      </c>
      <c r="M37" s="557" t="s">
        <v>264</v>
      </c>
      <c r="N37" s="558">
        <v>98</v>
      </c>
      <c r="O37" s="55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v>161.20000000000002</v>
      </c>
      <c r="U37" s="560">
        <f t="shared" si="1"/>
        <v>40.622399999999992</v>
      </c>
      <c r="V37" s="568"/>
      <c r="W37" s="568"/>
      <c r="X37" s="567"/>
      <c r="Y37" s="522"/>
      <c r="Z37" s="522"/>
      <c r="AA37" s="412">
        <v>74.7</v>
      </c>
      <c r="AB37" s="560">
        <f t="shared" si="0"/>
        <v>18.824399999999997</v>
      </c>
      <c r="AC37" s="568"/>
      <c r="AD37" s="568"/>
      <c r="AE37" s="567"/>
      <c r="AF37" s="522"/>
      <c r="AG37" s="522"/>
    </row>
    <row r="38" spans="2:33" x14ac:dyDescent="0.25">
      <c r="B38" s="231">
        <v>32</v>
      </c>
      <c r="C38" s="509">
        <v>1</v>
      </c>
      <c r="D38" s="510" t="s">
        <v>298</v>
      </c>
      <c r="E38" s="511" t="s">
        <v>132</v>
      </c>
      <c r="F38" s="511" t="s">
        <v>116</v>
      </c>
      <c r="G38" s="512">
        <v>2</v>
      </c>
      <c r="H38" s="511" t="s">
        <v>691</v>
      </c>
      <c r="I38" s="511" t="s">
        <v>323</v>
      </c>
      <c r="J38" s="511" t="s">
        <v>709</v>
      </c>
      <c r="K38" s="513" t="s">
        <v>665</v>
      </c>
      <c r="L38" s="511" t="s">
        <v>122</v>
      </c>
      <c r="M38" s="513" t="s">
        <v>264</v>
      </c>
      <c r="N38" s="514">
        <v>98</v>
      </c>
      <c r="O38" s="514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v>288.95</v>
      </c>
      <c r="U38" s="560">
        <f t="shared" si="1"/>
        <v>72.815399999999983</v>
      </c>
      <c r="V38" s="568"/>
      <c r="W38" s="568"/>
      <c r="X38" s="567"/>
      <c r="Y38" s="522"/>
      <c r="Z38" s="573">
        <f>AVERAGE(Z39:Z42)</f>
        <v>0.4356417698402314</v>
      </c>
      <c r="AA38" s="412">
        <v>74.7</v>
      </c>
      <c r="AB38" s="560">
        <f t="shared" si="0"/>
        <v>18.824399999999997</v>
      </c>
      <c r="AC38" s="568"/>
      <c r="AD38" s="568"/>
      <c r="AE38" s="567"/>
      <c r="AF38" s="522"/>
      <c r="AG38" s="573">
        <f>AVERAGE(AG39:AG42)</f>
        <v>0.53055422552070874</v>
      </c>
    </row>
    <row r="39" spans="2:33" x14ac:dyDescent="0.25">
      <c r="B39" s="231">
        <v>33</v>
      </c>
      <c r="C39" s="515">
        <v>1</v>
      </c>
      <c r="D39" s="516" t="s">
        <v>298</v>
      </c>
      <c r="E39" s="517" t="s">
        <v>132</v>
      </c>
      <c r="F39" s="517" t="s">
        <v>116</v>
      </c>
      <c r="G39" s="518">
        <v>2</v>
      </c>
      <c r="H39" s="517" t="s">
        <v>663</v>
      </c>
      <c r="I39" s="517" t="s">
        <v>681</v>
      </c>
      <c r="J39" s="517" t="s">
        <v>709</v>
      </c>
      <c r="K39" s="519" t="s">
        <v>665</v>
      </c>
      <c r="L39" s="517" t="s">
        <v>122</v>
      </c>
      <c r="M39" s="519" t="s">
        <v>264</v>
      </c>
      <c r="N39" s="520">
        <v>98</v>
      </c>
      <c r="O39" s="520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v>238.55</v>
      </c>
      <c r="U39" s="560">
        <f t="shared" si="1"/>
        <v>60.114599999999989</v>
      </c>
      <c r="V39" s="568">
        <v>3127.68</v>
      </c>
      <c r="W39" s="567">
        <v>156.38399999999999</v>
      </c>
      <c r="X39" s="567">
        <v>31.276799999999998</v>
      </c>
      <c r="Y39" s="522">
        <v>125.10719999999999</v>
      </c>
      <c r="Z39" s="572">
        <f>(Y39-U39)/Y39</f>
        <v>0.51949528084714558</v>
      </c>
      <c r="AA39" s="412">
        <v>74.7</v>
      </c>
      <c r="AB39" s="560">
        <f t="shared" si="0"/>
        <v>18.824399999999997</v>
      </c>
      <c r="AC39" s="568">
        <v>1002.48</v>
      </c>
      <c r="AD39" s="567">
        <v>50.124000000000002</v>
      </c>
      <c r="AE39" s="567">
        <v>10.024800000000001</v>
      </c>
      <c r="AF39" s="522">
        <v>40.099200000000003</v>
      </c>
      <c r="AG39" s="572">
        <f>(AF39-AB39)/AF39</f>
        <v>0.53055422552070874</v>
      </c>
    </row>
    <row r="40" spans="2:33" x14ac:dyDescent="0.25">
      <c r="B40" s="231">
        <v>34</v>
      </c>
      <c r="C40" s="515">
        <v>1</v>
      </c>
      <c r="D40" s="516" t="s">
        <v>298</v>
      </c>
      <c r="E40" s="517" t="s">
        <v>132</v>
      </c>
      <c r="F40" s="517" t="s">
        <v>116</v>
      </c>
      <c r="G40" s="518">
        <v>2</v>
      </c>
      <c r="H40" s="517" t="s">
        <v>663</v>
      </c>
      <c r="I40" s="517" t="s">
        <v>685</v>
      </c>
      <c r="J40" s="517" t="s">
        <v>709</v>
      </c>
      <c r="K40" s="519" t="s">
        <v>665</v>
      </c>
      <c r="L40" s="517" t="s">
        <v>122</v>
      </c>
      <c r="M40" s="519" t="s">
        <v>264</v>
      </c>
      <c r="N40" s="520">
        <v>98</v>
      </c>
      <c r="O40" s="520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v>284.40000000000003</v>
      </c>
      <c r="U40" s="560">
        <f t="shared" si="1"/>
        <v>71.668800000000005</v>
      </c>
      <c r="V40" s="568">
        <v>3459.22</v>
      </c>
      <c r="W40" s="567">
        <v>172.96099999999998</v>
      </c>
      <c r="X40" s="567">
        <v>34.592199999999998</v>
      </c>
      <c r="Y40" s="522">
        <v>138.36879999999999</v>
      </c>
      <c r="Z40" s="572">
        <f>(Y40-U40)/Y40</f>
        <v>0.48204508530824863</v>
      </c>
      <c r="AA40" s="412">
        <v>74.7</v>
      </c>
      <c r="AB40" s="560">
        <f t="shared" si="0"/>
        <v>18.824399999999997</v>
      </c>
      <c r="AC40" s="568">
        <v>1002.48</v>
      </c>
      <c r="AD40" s="567">
        <v>50.124000000000002</v>
      </c>
      <c r="AE40" s="567">
        <v>10.024800000000001</v>
      </c>
      <c r="AF40" s="522">
        <v>40.099200000000003</v>
      </c>
      <c r="AG40" s="572">
        <f>(AF40-AB40)/AF40</f>
        <v>0.53055422552070874</v>
      </c>
    </row>
    <row r="41" spans="2:33" x14ac:dyDescent="0.25">
      <c r="B41" s="231">
        <v>35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687</v>
      </c>
      <c r="J41" s="517" t="s">
        <v>709</v>
      </c>
      <c r="K41" s="519" t="s">
        <v>665</v>
      </c>
      <c r="L41" s="517" t="s">
        <v>122</v>
      </c>
      <c r="M41" s="519" t="s">
        <v>264</v>
      </c>
      <c r="N41" s="520">
        <v>98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v>339.3</v>
      </c>
      <c r="U41" s="560">
        <f t="shared" si="1"/>
        <v>85.503599999999992</v>
      </c>
      <c r="V41" s="568">
        <v>3456.49</v>
      </c>
      <c r="W41" s="567">
        <v>172.8245</v>
      </c>
      <c r="X41" s="567">
        <v>34.564900000000002</v>
      </c>
      <c r="Y41" s="522">
        <v>138.25960000000001</v>
      </c>
      <c r="Z41" s="572">
        <f>(Y41-U41)/Y41</f>
        <v>0.3815720572025379</v>
      </c>
      <c r="AA41" s="412">
        <v>74.7</v>
      </c>
      <c r="AB41" s="560">
        <f t="shared" si="0"/>
        <v>18.824399999999997</v>
      </c>
      <c r="AC41" s="568">
        <v>1002.48</v>
      </c>
      <c r="AD41" s="567">
        <v>50.124000000000002</v>
      </c>
      <c r="AE41" s="567">
        <v>10.024800000000001</v>
      </c>
      <c r="AF41" s="522">
        <v>40.099200000000003</v>
      </c>
      <c r="AG41" s="572">
        <f>(AF41-AB41)/AF41</f>
        <v>0.53055422552070874</v>
      </c>
    </row>
    <row r="42" spans="2:33" x14ac:dyDescent="0.25">
      <c r="B42" s="231">
        <v>36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689</v>
      </c>
      <c r="J42" s="517" t="s">
        <v>709</v>
      </c>
      <c r="K42" s="519" t="s">
        <v>665</v>
      </c>
      <c r="L42" s="517" t="s">
        <v>122</v>
      </c>
      <c r="M42" s="519" t="s">
        <v>264</v>
      </c>
      <c r="N42" s="520">
        <v>98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v>391.3</v>
      </c>
      <c r="U42" s="560">
        <f t="shared" si="1"/>
        <v>98.607599999999977</v>
      </c>
      <c r="V42" s="568">
        <v>3848.58</v>
      </c>
      <c r="W42" s="567">
        <v>192.429</v>
      </c>
      <c r="X42" s="567">
        <v>38.485800000000005</v>
      </c>
      <c r="Y42" s="522">
        <v>153.94319999999999</v>
      </c>
      <c r="Z42" s="572">
        <f>(Y42-U42)/Y42</f>
        <v>0.35945465600299342</v>
      </c>
      <c r="AA42" s="412">
        <v>74.7</v>
      </c>
      <c r="AB42" s="560">
        <f t="shared" si="0"/>
        <v>18.824399999999997</v>
      </c>
      <c r="AC42" s="568">
        <v>1002.48</v>
      </c>
      <c r="AD42" s="567">
        <v>50.124000000000002</v>
      </c>
      <c r="AE42" s="567">
        <v>10.024800000000001</v>
      </c>
      <c r="AF42" s="522">
        <v>40.099200000000003</v>
      </c>
      <c r="AG42" s="572">
        <f>(AF42-AB42)/AF42</f>
        <v>0.53055422552070874</v>
      </c>
    </row>
    <row r="43" spans="2:33" x14ac:dyDescent="0.25">
      <c r="B43" s="231">
        <v>37</v>
      </c>
      <c r="C43" s="553">
        <v>1</v>
      </c>
      <c r="D43" s="554" t="s">
        <v>298</v>
      </c>
      <c r="E43" s="555" t="s">
        <v>132</v>
      </c>
      <c r="F43" s="555" t="s">
        <v>116</v>
      </c>
      <c r="G43" s="556">
        <v>2</v>
      </c>
      <c r="H43" s="555" t="s">
        <v>187</v>
      </c>
      <c r="I43" s="555" t="s">
        <v>323</v>
      </c>
      <c r="J43" s="555" t="s">
        <v>709</v>
      </c>
      <c r="K43" s="557" t="s">
        <v>665</v>
      </c>
      <c r="L43" s="555" t="s">
        <v>122</v>
      </c>
      <c r="M43" s="557" t="s">
        <v>264</v>
      </c>
      <c r="N43" s="558">
        <v>124</v>
      </c>
      <c r="O43" s="558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v>199.5</v>
      </c>
      <c r="U43" s="560">
        <f t="shared" si="1"/>
        <v>50.273999999999987</v>
      </c>
      <c r="V43" s="568"/>
      <c r="W43" s="568"/>
      <c r="X43" s="567"/>
      <c r="Y43" s="522"/>
      <c r="Z43" s="522"/>
      <c r="AA43" s="412">
        <v>92.7</v>
      </c>
      <c r="AB43" s="560">
        <f t="shared" si="0"/>
        <v>23.360399999999998</v>
      </c>
      <c r="AC43" s="568"/>
      <c r="AD43" s="568"/>
      <c r="AE43" s="567"/>
      <c r="AF43" s="522"/>
      <c r="AG43" s="522"/>
    </row>
    <row r="44" spans="2:33" x14ac:dyDescent="0.25">
      <c r="B44" s="231">
        <v>38</v>
      </c>
      <c r="C44" s="509">
        <v>1</v>
      </c>
      <c r="D44" s="510" t="s">
        <v>298</v>
      </c>
      <c r="E44" s="511" t="s">
        <v>132</v>
      </c>
      <c r="F44" s="511" t="s">
        <v>116</v>
      </c>
      <c r="G44" s="512">
        <v>2</v>
      </c>
      <c r="H44" s="511" t="s">
        <v>691</v>
      </c>
      <c r="I44" s="511" t="s">
        <v>323</v>
      </c>
      <c r="J44" s="511" t="s">
        <v>709</v>
      </c>
      <c r="K44" s="513" t="s">
        <v>665</v>
      </c>
      <c r="L44" s="511" t="s">
        <v>122</v>
      </c>
      <c r="M44" s="513" t="s">
        <v>264</v>
      </c>
      <c r="N44" s="514">
        <v>124</v>
      </c>
      <c r="O44" s="514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v>356.70000000000005</v>
      </c>
      <c r="U44" s="560">
        <f t="shared" si="1"/>
        <v>89.888400000000004</v>
      </c>
      <c r="V44" s="568"/>
      <c r="W44" s="568"/>
      <c r="X44" s="567"/>
      <c r="Y44" s="522"/>
      <c r="Z44" s="573">
        <f>AVERAGE(Z45:Z48)</f>
        <v>0.4200433366337909</v>
      </c>
      <c r="AA44" s="412">
        <v>92.7</v>
      </c>
      <c r="AB44" s="560">
        <f t="shared" si="0"/>
        <v>23.360399999999998</v>
      </c>
      <c r="AC44" s="568"/>
      <c r="AD44" s="568"/>
      <c r="AE44" s="567"/>
      <c r="AF44" s="522"/>
      <c r="AG44" s="573">
        <f>AVERAGE(AG45:AG48)</f>
        <v>0.47389804246579048</v>
      </c>
    </row>
    <row r="45" spans="2:33" x14ac:dyDescent="0.25">
      <c r="B45" s="231">
        <v>39</v>
      </c>
      <c r="C45" s="515">
        <v>1</v>
      </c>
      <c r="D45" s="516" t="s">
        <v>298</v>
      </c>
      <c r="E45" s="517" t="s">
        <v>132</v>
      </c>
      <c r="F45" s="517" t="s">
        <v>116</v>
      </c>
      <c r="G45" s="518">
        <v>2</v>
      </c>
      <c r="H45" s="517" t="s">
        <v>663</v>
      </c>
      <c r="I45" s="517" t="s">
        <v>681</v>
      </c>
      <c r="J45" s="517" t="s">
        <v>709</v>
      </c>
      <c r="K45" s="519" t="s">
        <v>665</v>
      </c>
      <c r="L45" s="517" t="s">
        <v>122</v>
      </c>
      <c r="M45" s="519" t="s">
        <v>264</v>
      </c>
      <c r="N45" s="520">
        <v>124</v>
      </c>
      <c r="O45" s="520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v>294.7</v>
      </c>
      <c r="U45" s="560">
        <f t="shared" si="1"/>
        <v>74.264399999999995</v>
      </c>
      <c r="V45" s="568">
        <v>3757.32</v>
      </c>
      <c r="W45" s="567">
        <v>187.86600000000001</v>
      </c>
      <c r="X45" s="567">
        <v>37.573200000000007</v>
      </c>
      <c r="Y45" s="522">
        <v>150.2928</v>
      </c>
      <c r="Z45" s="572">
        <f>(Y45-U45)/Y45</f>
        <v>0.505868544600939</v>
      </c>
      <c r="AA45" s="412">
        <v>92.7</v>
      </c>
      <c r="AB45" s="560">
        <f t="shared" si="0"/>
        <v>23.360399999999998</v>
      </c>
      <c r="AC45" s="568">
        <v>1110.07</v>
      </c>
      <c r="AD45" s="567">
        <v>55.503499999999995</v>
      </c>
      <c r="AE45" s="567">
        <v>11.1007</v>
      </c>
      <c r="AF45" s="522">
        <v>44.402799999999999</v>
      </c>
      <c r="AG45" s="572">
        <f>(AF45-AB45)/AF45</f>
        <v>0.47389804246579048</v>
      </c>
    </row>
    <row r="46" spans="2:33" x14ac:dyDescent="0.25">
      <c r="B46" s="231">
        <v>40</v>
      </c>
      <c r="C46" s="515">
        <v>1</v>
      </c>
      <c r="D46" s="516" t="s">
        <v>298</v>
      </c>
      <c r="E46" s="517" t="s">
        <v>132</v>
      </c>
      <c r="F46" s="517" t="s">
        <v>116</v>
      </c>
      <c r="G46" s="518">
        <v>2</v>
      </c>
      <c r="H46" s="517" t="s">
        <v>663</v>
      </c>
      <c r="I46" s="517" t="s">
        <v>685</v>
      </c>
      <c r="J46" s="517" t="s">
        <v>709</v>
      </c>
      <c r="K46" s="519" t="s">
        <v>665</v>
      </c>
      <c r="L46" s="517" t="s">
        <v>122</v>
      </c>
      <c r="M46" s="519" t="s">
        <v>264</v>
      </c>
      <c r="N46" s="520">
        <v>124</v>
      </c>
      <c r="O46" s="520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v>351.1</v>
      </c>
      <c r="U46" s="560">
        <f t="shared" si="1"/>
        <v>88.477199999999996</v>
      </c>
      <c r="V46" s="568">
        <v>4154.6099999999997</v>
      </c>
      <c r="W46" s="567">
        <v>207.73049999999998</v>
      </c>
      <c r="X46" s="567">
        <v>41.546099999999996</v>
      </c>
      <c r="Y46" s="522">
        <v>166.18439999999998</v>
      </c>
      <c r="Z46" s="572">
        <f>(Y46-U46)/Y46</f>
        <v>0.4675962364698491</v>
      </c>
      <c r="AA46" s="412">
        <v>92.7</v>
      </c>
      <c r="AB46" s="560">
        <f t="shared" si="0"/>
        <v>23.360399999999998</v>
      </c>
      <c r="AC46" s="568">
        <v>1110.07</v>
      </c>
      <c r="AD46" s="567">
        <v>55.503499999999995</v>
      </c>
      <c r="AE46" s="567">
        <v>11.1007</v>
      </c>
      <c r="AF46" s="522">
        <v>44.402799999999999</v>
      </c>
      <c r="AG46" s="572">
        <f>(AF46-AB46)/AF46</f>
        <v>0.47389804246579048</v>
      </c>
    </row>
    <row r="47" spans="2:33" x14ac:dyDescent="0.25">
      <c r="B47" s="231">
        <v>41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687</v>
      </c>
      <c r="J47" s="517" t="s">
        <v>709</v>
      </c>
      <c r="K47" s="519" t="s">
        <v>665</v>
      </c>
      <c r="L47" s="517" t="s">
        <v>122</v>
      </c>
      <c r="M47" s="519" t="s">
        <v>264</v>
      </c>
      <c r="N47" s="520">
        <v>124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v>418.70000000000005</v>
      </c>
      <c r="U47" s="560">
        <f t="shared" si="1"/>
        <v>105.5124</v>
      </c>
      <c r="V47" s="568">
        <v>4151.88</v>
      </c>
      <c r="W47" s="567">
        <v>207.59399999999999</v>
      </c>
      <c r="X47" s="567">
        <v>41.518799999999999</v>
      </c>
      <c r="Y47" s="522">
        <v>166.0752</v>
      </c>
      <c r="Z47" s="572">
        <f>(Y47-U47)/Y47</f>
        <v>0.36467094424694352</v>
      </c>
      <c r="AA47" s="412">
        <v>92.7</v>
      </c>
      <c r="AB47" s="560">
        <f t="shared" si="0"/>
        <v>23.360399999999998</v>
      </c>
      <c r="AC47" s="568">
        <v>1110.07</v>
      </c>
      <c r="AD47" s="567">
        <v>55.503499999999995</v>
      </c>
      <c r="AE47" s="567">
        <v>11.1007</v>
      </c>
      <c r="AF47" s="522">
        <v>44.402799999999999</v>
      </c>
      <c r="AG47" s="572">
        <f>(AF47-AB47)/AF47</f>
        <v>0.47389804246579048</v>
      </c>
    </row>
    <row r="48" spans="2:33" x14ac:dyDescent="0.25">
      <c r="B48" s="231">
        <v>42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689</v>
      </c>
      <c r="J48" s="517" t="s">
        <v>709</v>
      </c>
      <c r="K48" s="519" t="s">
        <v>665</v>
      </c>
      <c r="L48" s="517" t="s">
        <v>122</v>
      </c>
      <c r="M48" s="519" t="s">
        <v>264</v>
      </c>
      <c r="N48" s="520">
        <v>124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v>482.70000000000005</v>
      </c>
      <c r="U48" s="560">
        <f t="shared" si="1"/>
        <v>121.64039999999999</v>
      </c>
      <c r="V48" s="568">
        <v>4621.8599999999997</v>
      </c>
      <c r="W48" s="567">
        <v>231.09299999999999</v>
      </c>
      <c r="X48" s="567">
        <v>46.218600000000002</v>
      </c>
      <c r="Y48" s="522">
        <v>184.87439999999998</v>
      </c>
      <c r="Z48" s="572">
        <f>(Y48-U48)/Y48</f>
        <v>0.34203762121743198</v>
      </c>
      <c r="AA48" s="412">
        <v>92.7</v>
      </c>
      <c r="AB48" s="560">
        <f t="shared" si="0"/>
        <v>23.360399999999998</v>
      </c>
      <c r="AC48" s="568">
        <v>1110.07</v>
      </c>
      <c r="AD48" s="567">
        <v>55.503499999999995</v>
      </c>
      <c r="AE48" s="567">
        <v>11.1007</v>
      </c>
      <c r="AF48" s="522">
        <v>44.402799999999999</v>
      </c>
      <c r="AG48" s="572">
        <f>(AF48-AB48)/AF48</f>
        <v>0.47389804246579048</v>
      </c>
    </row>
    <row r="49" spans="2:33" x14ac:dyDescent="0.25">
      <c r="B49" s="231">
        <v>43</v>
      </c>
      <c r="C49" s="553">
        <v>1</v>
      </c>
      <c r="D49" s="554" t="s">
        <v>298</v>
      </c>
      <c r="E49" s="555" t="s">
        <v>132</v>
      </c>
      <c r="F49" s="555" t="s">
        <v>116</v>
      </c>
      <c r="G49" s="556">
        <v>2</v>
      </c>
      <c r="H49" s="555" t="s">
        <v>187</v>
      </c>
      <c r="I49" s="555" t="s">
        <v>323</v>
      </c>
      <c r="J49" s="555" t="s">
        <v>709</v>
      </c>
      <c r="K49" s="557" t="s">
        <v>665</v>
      </c>
      <c r="L49" s="555" t="s">
        <v>122</v>
      </c>
      <c r="M49" s="557" t="s">
        <v>264</v>
      </c>
      <c r="N49" s="558">
        <v>150</v>
      </c>
      <c r="O49" s="558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v>241.8</v>
      </c>
      <c r="U49" s="560">
        <f t="shared" si="1"/>
        <v>60.933599999999998</v>
      </c>
      <c r="V49" s="568"/>
      <c r="W49" s="568"/>
      <c r="X49" s="567"/>
      <c r="Y49" s="522"/>
      <c r="Z49" s="522"/>
      <c r="AA49" s="412">
        <v>110.7</v>
      </c>
      <c r="AB49" s="560">
        <f t="shared" si="0"/>
        <v>27.896399999999996</v>
      </c>
      <c r="AC49" s="568"/>
      <c r="AD49" s="568"/>
      <c r="AE49" s="567"/>
      <c r="AF49" s="522"/>
      <c r="AG49" s="522"/>
    </row>
    <row r="50" spans="2:33" x14ac:dyDescent="0.25">
      <c r="B50" s="231">
        <v>44</v>
      </c>
      <c r="C50" s="509">
        <v>1</v>
      </c>
      <c r="D50" s="510" t="s">
        <v>298</v>
      </c>
      <c r="E50" s="511" t="s">
        <v>132</v>
      </c>
      <c r="F50" s="511" t="s">
        <v>116</v>
      </c>
      <c r="G50" s="512">
        <v>2</v>
      </c>
      <c r="H50" s="511" t="s">
        <v>691</v>
      </c>
      <c r="I50" s="511" t="s">
        <v>323</v>
      </c>
      <c r="J50" s="511" t="s">
        <v>709</v>
      </c>
      <c r="K50" s="513" t="s">
        <v>665</v>
      </c>
      <c r="L50" s="511" t="s">
        <v>122</v>
      </c>
      <c r="M50" s="513" t="s">
        <v>264</v>
      </c>
      <c r="N50" s="514">
        <v>150</v>
      </c>
      <c r="O50" s="514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v>433.40000000000003</v>
      </c>
      <c r="U50" s="560">
        <f t="shared" si="1"/>
        <v>109.21679999999999</v>
      </c>
      <c r="V50" s="568"/>
      <c r="W50" s="568"/>
      <c r="X50" s="567"/>
      <c r="Y50" s="522"/>
      <c r="Z50" s="573">
        <f>AVERAGE(Z51:Z54)</f>
        <v>0.42394968512632569</v>
      </c>
      <c r="AA50" s="412">
        <v>110.7</v>
      </c>
      <c r="AB50" s="560">
        <f t="shared" si="0"/>
        <v>27.896399999999996</v>
      </c>
      <c r="AC50" s="568"/>
      <c r="AD50" s="568"/>
      <c r="AE50" s="567"/>
      <c r="AF50" s="522"/>
      <c r="AG50" s="573">
        <f>AVERAGE(AG51:AG54)</f>
        <v>0.44907970613792569</v>
      </c>
    </row>
    <row r="51" spans="2:33" x14ac:dyDescent="0.25">
      <c r="B51" s="231">
        <v>45</v>
      </c>
      <c r="C51" s="515">
        <v>1</v>
      </c>
      <c r="D51" s="516" t="s">
        <v>298</v>
      </c>
      <c r="E51" s="517" t="s">
        <v>132</v>
      </c>
      <c r="F51" s="517" t="s">
        <v>116</v>
      </c>
      <c r="G51" s="518">
        <v>2</v>
      </c>
      <c r="H51" s="517" t="s">
        <v>663</v>
      </c>
      <c r="I51" s="517" t="s">
        <v>681</v>
      </c>
      <c r="J51" s="517" t="s">
        <v>709</v>
      </c>
      <c r="K51" s="519" t="s">
        <v>665</v>
      </c>
      <c r="L51" s="517" t="s">
        <v>122</v>
      </c>
      <c r="M51" s="519" t="s">
        <v>264</v>
      </c>
      <c r="N51" s="520">
        <v>150</v>
      </c>
      <c r="O51" s="520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v>357.85</v>
      </c>
      <c r="U51" s="560">
        <f t="shared" si="1"/>
        <v>90.17819999999999</v>
      </c>
      <c r="V51" s="568">
        <v>4597.5600000000004</v>
      </c>
      <c r="W51" s="567">
        <v>229.87800000000001</v>
      </c>
      <c r="X51" s="567">
        <v>45.975600000000007</v>
      </c>
      <c r="Y51" s="522">
        <v>183.9024</v>
      </c>
      <c r="Z51" s="572">
        <f>(Y51-U51)/Y51</f>
        <v>0.50964098347819287</v>
      </c>
      <c r="AA51" s="412">
        <v>110.7</v>
      </c>
      <c r="AB51" s="560">
        <f t="shared" si="0"/>
        <v>27.896399999999996</v>
      </c>
      <c r="AC51" s="568">
        <v>1265.9000000000001</v>
      </c>
      <c r="AD51" s="567">
        <v>63.295000000000002</v>
      </c>
      <c r="AE51" s="567">
        <v>12.659000000000001</v>
      </c>
      <c r="AF51" s="522">
        <v>50.636000000000003</v>
      </c>
      <c r="AG51" s="572">
        <f>(AF51-AB51)/AF51</f>
        <v>0.44907970613792569</v>
      </c>
    </row>
    <row r="52" spans="2:33" x14ac:dyDescent="0.25">
      <c r="B52" s="231">
        <v>46</v>
      </c>
      <c r="C52" s="515">
        <v>1</v>
      </c>
      <c r="D52" s="516" t="s">
        <v>298</v>
      </c>
      <c r="E52" s="517" t="s">
        <v>132</v>
      </c>
      <c r="F52" s="517" t="s">
        <v>116</v>
      </c>
      <c r="G52" s="518">
        <v>2</v>
      </c>
      <c r="H52" s="517" t="s">
        <v>663</v>
      </c>
      <c r="I52" s="517" t="s">
        <v>685</v>
      </c>
      <c r="J52" s="517" t="s">
        <v>709</v>
      </c>
      <c r="K52" s="519" t="s">
        <v>665</v>
      </c>
      <c r="L52" s="517" t="s">
        <v>122</v>
      </c>
      <c r="M52" s="519" t="s">
        <v>264</v>
      </c>
      <c r="N52" s="520">
        <v>150</v>
      </c>
      <c r="O52" s="520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v>426.6</v>
      </c>
      <c r="U52" s="560">
        <f t="shared" si="1"/>
        <v>107.50319999999999</v>
      </c>
      <c r="V52" s="568">
        <v>5083.62</v>
      </c>
      <c r="W52" s="567">
        <v>254.18099999999998</v>
      </c>
      <c r="X52" s="567">
        <v>50.836199999999998</v>
      </c>
      <c r="Y52" s="522">
        <v>203.34479999999999</v>
      </c>
      <c r="Z52" s="572">
        <f>(Y52-U52)/Y52</f>
        <v>0.47132555147709704</v>
      </c>
      <c r="AA52" s="412">
        <v>110.7</v>
      </c>
      <c r="AB52" s="560">
        <f t="shared" si="0"/>
        <v>27.896399999999996</v>
      </c>
      <c r="AC52" s="568">
        <v>1265.9000000000001</v>
      </c>
      <c r="AD52" s="567">
        <v>63.295000000000002</v>
      </c>
      <c r="AE52" s="567">
        <v>12.659000000000001</v>
      </c>
      <c r="AF52" s="522">
        <v>50.636000000000003</v>
      </c>
      <c r="AG52" s="572">
        <f>(AF52-AB52)/AF52</f>
        <v>0.44907970613792569</v>
      </c>
    </row>
    <row r="53" spans="2:33" x14ac:dyDescent="0.25">
      <c r="B53" s="231">
        <v>47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687</v>
      </c>
      <c r="J53" s="517" t="s">
        <v>709</v>
      </c>
      <c r="K53" s="519" t="s">
        <v>665</v>
      </c>
      <c r="L53" s="517" t="s">
        <v>122</v>
      </c>
      <c r="M53" s="519" t="s">
        <v>264</v>
      </c>
      <c r="N53" s="520">
        <v>150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v>508.95000000000005</v>
      </c>
      <c r="U53" s="560">
        <f t="shared" si="1"/>
        <v>128.25539999999998</v>
      </c>
      <c r="V53" s="568">
        <v>5079.53</v>
      </c>
      <c r="W53" s="567">
        <v>253.97649999999999</v>
      </c>
      <c r="X53" s="567">
        <v>50.795299999999997</v>
      </c>
      <c r="Y53" s="522">
        <v>203.18119999999999</v>
      </c>
      <c r="Z53" s="572">
        <f>(Y53-U53)/Y53</f>
        <v>0.36876344858677879</v>
      </c>
      <c r="AA53" s="412">
        <v>110.7</v>
      </c>
      <c r="AB53" s="560">
        <f t="shared" si="0"/>
        <v>27.896399999999996</v>
      </c>
      <c r="AC53" s="568">
        <v>1265.9000000000001</v>
      </c>
      <c r="AD53" s="567">
        <v>63.295000000000002</v>
      </c>
      <c r="AE53" s="567">
        <v>12.659000000000001</v>
      </c>
      <c r="AF53" s="522">
        <v>50.636000000000003</v>
      </c>
      <c r="AG53" s="572">
        <f>(AF53-AB53)/AF53</f>
        <v>0.44907970613792569</v>
      </c>
    </row>
    <row r="54" spans="2:33" x14ac:dyDescent="0.25">
      <c r="B54" s="231">
        <v>48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689</v>
      </c>
      <c r="J54" s="517" t="s">
        <v>709</v>
      </c>
      <c r="K54" s="519" t="s">
        <v>665</v>
      </c>
      <c r="L54" s="517" t="s">
        <v>122</v>
      </c>
      <c r="M54" s="519" t="s">
        <v>264</v>
      </c>
      <c r="N54" s="520">
        <v>150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v>586.95000000000005</v>
      </c>
      <c r="U54" s="560">
        <f t="shared" si="1"/>
        <v>147.91139999999999</v>
      </c>
      <c r="V54" s="568">
        <v>5654.7</v>
      </c>
      <c r="W54" s="567">
        <v>282.73500000000001</v>
      </c>
      <c r="X54" s="567">
        <v>56.547000000000004</v>
      </c>
      <c r="Y54" s="522">
        <v>226.18800000000002</v>
      </c>
      <c r="Z54" s="572">
        <f>(Y54-U54)/Y54</f>
        <v>0.34606875696323425</v>
      </c>
      <c r="AA54" s="412">
        <v>110.7</v>
      </c>
      <c r="AB54" s="560">
        <f t="shared" si="0"/>
        <v>27.896399999999996</v>
      </c>
      <c r="AC54" s="568">
        <v>1265.9000000000001</v>
      </c>
      <c r="AD54" s="567">
        <v>63.295000000000002</v>
      </c>
      <c r="AE54" s="567">
        <v>12.659000000000001</v>
      </c>
      <c r="AF54" s="522">
        <v>50.636000000000003</v>
      </c>
      <c r="AG54" s="572">
        <f>(AF54-AB54)/AF54</f>
        <v>0.44907970613792569</v>
      </c>
    </row>
    <row r="56" spans="2:33" x14ac:dyDescent="0.25">
      <c r="B56" s="230">
        <v>1</v>
      </c>
      <c r="C56" s="547">
        <v>1</v>
      </c>
      <c r="D56" s="548" t="s">
        <v>298</v>
      </c>
      <c r="E56" s="549" t="s">
        <v>131</v>
      </c>
      <c r="F56" s="549" t="s">
        <v>136</v>
      </c>
      <c r="G56" s="550">
        <v>2</v>
      </c>
      <c r="H56" s="549" t="s">
        <v>187</v>
      </c>
      <c r="I56" s="549" t="s">
        <v>321</v>
      </c>
      <c r="J56" s="549" t="s">
        <v>709</v>
      </c>
      <c r="K56" s="551" t="s">
        <v>664</v>
      </c>
      <c r="L56" s="549" t="s">
        <v>122</v>
      </c>
      <c r="M56" s="551" t="s">
        <v>264</v>
      </c>
      <c r="N56" s="552">
        <v>72</v>
      </c>
      <c r="O56" s="552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v>189.5</v>
      </c>
      <c r="U56" s="560">
        <f>T56*0.7*0.6*0.6</f>
        <v>47.753999999999998</v>
      </c>
      <c r="V56" s="567"/>
      <c r="W56" s="567"/>
      <c r="X56" s="567"/>
      <c r="Y56" s="522"/>
      <c r="Z56" s="634">
        <f>AVERAGE(Z58:Z61,Z64:Z67,Z70:Z73,Z76:Z79)</f>
        <v>0.42857223206034056</v>
      </c>
      <c r="AA56" s="412">
        <v>56.650000000000006</v>
      </c>
      <c r="AB56" s="560">
        <f t="shared" si="0"/>
        <v>14.275799999999998</v>
      </c>
      <c r="AC56" s="567"/>
      <c r="AD56" s="567"/>
      <c r="AE56" s="567"/>
      <c r="AF56" s="522"/>
      <c r="AG56" s="634">
        <f>AVERAGE(AG58:AG61,AG64:AG67,AG70:AG73,AG76:AG79)</f>
        <v>0.49423306267942457</v>
      </c>
    </row>
    <row r="57" spans="2:33" x14ac:dyDescent="0.25">
      <c r="B57" s="231">
        <v>2</v>
      </c>
      <c r="C57" s="541">
        <v>1</v>
      </c>
      <c r="D57" s="542" t="s">
        <v>298</v>
      </c>
      <c r="E57" s="543" t="s">
        <v>131</v>
      </c>
      <c r="F57" s="543" t="s">
        <v>136</v>
      </c>
      <c r="G57" s="544">
        <v>2</v>
      </c>
      <c r="H57" s="543" t="s">
        <v>691</v>
      </c>
      <c r="I57" s="543" t="s">
        <v>321</v>
      </c>
      <c r="J57" s="543" t="s">
        <v>709</v>
      </c>
      <c r="K57" s="545" t="s">
        <v>664</v>
      </c>
      <c r="L57" s="543" t="s">
        <v>122</v>
      </c>
      <c r="M57" s="545" t="s">
        <v>264</v>
      </c>
      <c r="N57" s="546">
        <v>72</v>
      </c>
      <c r="O57" s="546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v>382.70000000000005</v>
      </c>
      <c r="U57" s="560">
        <f>T57*0.7*0.6*0.6</f>
        <v>96.440399999999997</v>
      </c>
      <c r="V57" s="567"/>
      <c r="W57" s="567"/>
      <c r="X57" s="567"/>
      <c r="Y57" s="522"/>
      <c r="Z57" s="573">
        <f>AVERAGE(Z58:Z61)</f>
        <v>0.47189496124569685</v>
      </c>
      <c r="AA57" s="412">
        <v>56.650000000000006</v>
      </c>
      <c r="AB57" s="560">
        <f t="shared" si="0"/>
        <v>14.275799999999998</v>
      </c>
      <c r="AC57" s="567"/>
      <c r="AD57" s="567"/>
      <c r="AE57" s="567"/>
      <c r="AF57" s="522"/>
      <c r="AG57" s="573">
        <f>AVERAGE(AG58:AG61)</f>
        <v>0.58346560537802583</v>
      </c>
    </row>
    <row r="58" spans="2:33" x14ac:dyDescent="0.25">
      <c r="B58" s="231">
        <v>3</v>
      </c>
      <c r="C58" s="503">
        <v>1</v>
      </c>
      <c r="D58" s="504" t="s">
        <v>298</v>
      </c>
      <c r="E58" s="505" t="s">
        <v>131</v>
      </c>
      <c r="F58" s="505" t="s">
        <v>136</v>
      </c>
      <c r="G58" s="506">
        <v>2</v>
      </c>
      <c r="H58" s="505" t="s">
        <v>663</v>
      </c>
      <c r="I58" s="505" t="s">
        <v>674</v>
      </c>
      <c r="J58" s="505" t="s">
        <v>709</v>
      </c>
      <c r="K58" s="507" t="s">
        <v>664</v>
      </c>
      <c r="L58" s="505" t="s">
        <v>122</v>
      </c>
      <c r="M58" s="507" t="s">
        <v>264</v>
      </c>
      <c r="N58" s="508">
        <v>72</v>
      </c>
      <c r="O58" s="508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v>225.4</v>
      </c>
      <c r="U58" s="560">
        <f t="shared" ref="U58:U103" si="2">T58*0.7*0.6*0.6</f>
        <v>56.800799999999995</v>
      </c>
      <c r="V58" s="568">
        <v>2767.92</v>
      </c>
      <c r="W58" s="567">
        <v>138.39600000000002</v>
      </c>
      <c r="X58" s="567">
        <v>27.679200000000005</v>
      </c>
      <c r="Y58" s="522">
        <v>110.71680000000001</v>
      </c>
      <c r="Z58" s="572">
        <f>(Y58-U58)/Y58</f>
        <v>0.48697216682563088</v>
      </c>
      <c r="AA58" s="412">
        <v>56.650000000000006</v>
      </c>
      <c r="AB58" s="560">
        <f t="shared" si="0"/>
        <v>14.275799999999998</v>
      </c>
      <c r="AC58" s="568">
        <v>856.81999999999994</v>
      </c>
      <c r="AD58" s="567">
        <v>42.840999999999994</v>
      </c>
      <c r="AE58" s="567">
        <v>8.5681999999999992</v>
      </c>
      <c r="AF58" s="522">
        <v>34.272799999999997</v>
      </c>
      <c r="AG58" s="572">
        <f>(AF58-AB58)/AF58</f>
        <v>0.58346560537802583</v>
      </c>
    </row>
    <row r="59" spans="2:33" x14ac:dyDescent="0.25">
      <c r="B59" s="231">
        <v>4</v>
      </c>
      <c r="C59" s="503">
        <v>1</v>
      </c>
      <c r="D59" s="504" t="s">
        <v>298</v>
      </c>
      <c r="E59" s="505" t="s">
        <v>131</v>
      </c>
      <c r="F59" s="505" t="s">
        <v>136</v>
      </c>
      <c r="G59" s="506">
        <v>2</v>
      </c>
      <c r="H59" s="505" t="s">
        <v>663</v>
      </c>
      <c r="I59" s="505" t="s">
        <v>675</v>
      </c>
      <c r="J59" s="505" t="s">
        <v>709</v>
      </c>
      <c r="K59" s="507" t="s">
        <v>664</v>
      </c>
      <c r="L59" s="505" t="s">
        <v>122</v>
      </c>
      <c r="M59" s="507" t="s">
        <v>264</v>
      </c>
      <c r="N59" s="508">
        <v>72</v>
      </c>
      <c r="O59" s="508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v>313</v>
      </c>
      <c r="U59" s="560">
        <f t="shared" si="2"/>
        <v>78.875999999999991</v>
      </c>
      <c r="V59" s="568">
        <v>3997.08</v>
      </c>
      <c r="W59" s="567">
        <v>199.85399999999998</v>
      </c>
      <c r="X59" s="567">
        <v>39.970799999999997</v>
      </c>
      <c r="Y59" s="522">
        <v>159.88319999999999</v>
      </c>
      <c r="Z59" s="572">
        <f>(Y59-U59)/Y59</f>
        <v>0.50666486535170674</v>
      </c>
      <c r="AA59" s="412">
        <v>56.650000000000006</v>
      </c>
      <c r="AB59" s="560">
        <f t="shared" si="0"/>
        <v>14.275799999999998</v>
      </c>
      <c r="AC59" s="568">
        <v>856.81999999999994</v>
      </c>
      <c r="AD59" s="567">
        <v>42.840999999999994</v>
      </c>
      <c r="AE59" s="567">
        <v>8.5681999999999992</v>
      </c>
      <c r="AF59" s="522">
        <v>34.272799999999997</v>
      </c>
      <c r="AG59" s="572">
        <f>(AF59-AB59)/AF59</f>
        <v>0.58346560537802583</v>
      </c>
    </row>
    <row r="60" spans="2:33" x14ac:dyDescent="0.25">
      <c r="B60" s="231">
        <v>5</v>
      </c>
      <c r="C60" s="503">
        <v>1</v>
      </c>
      <c r="D60" s="504" t="s">
        <v>298</v>
      </c>
      <c r="E60" s="505" t="s">
        <v>131</v>
      </c>
      <c r="F60" s="505" t="s">
        <v>136</v>
      </c>
      <c r="G60" s="506">
        <v>2</v>
      </c>
      <c r="H60" s="505" t="s">
        <v>663</v>
      </c>
      <c r="I60" s="505" t="s">
        <v>676</v>
      </c>
      <c r="J60" s="505" t="s">
        <v>709</v>
      </c>
      <c r="K60" s="507" t="s">
        <v>664</v>
      </c>
      <c r="L60" s="505" t="s">
        <v>122</v>
      </c>
      <c r="M60" s="507" t="s">
        <v>264</v>
      </c>
      <c r="N60" s="508">
        <v>72</v>
      </c>
      <c r="O60" s="508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v>335.05</v>
      </c>
      <c r="U60" s="560">
        <f t="shared" si="2"/>
        <v>84.432599999999994</v>
      </c>
      <c r="V60" s="568">
        <v>4176.47</v>
      </c>
      <c r="W60" s="567">
        <v>208.82350000000002</v>
      </c>
      <c r="X60" s="567">
        <v>41.764700000000005</v>
      </c>
      <c r="Y60" s="522">
        <v>167.05880000000002</v>
      </c>
      <c r="Z60" s="572">
        <f>(Y60-U60)/Y60</f>
        <v>0.49459352036528464</v>
      </c>
      <c r="AA60" s="412">
        <v>56.650000000000006</v>
      </c>
      <c r="AB60" s="560">
        <f t="shared" si="0"/>
        <v>14.275799999999998</v>
      </c>
      <c r="AC60" s="568">
        <v>856.81999999999994</v>
      </c>
      <c r="AD60" s="567">
        <v>42.840999999999994</v>
      </c>
      <c r="AE60" s="567">
        <v>8.5681999999999992</v>
      </c>
      <c r="AF60" s="522">
        <v>34.272799999999997</v>
      </c>
      <c r="AG60" s="572">
        <f>(AF60-AB60)/AF60</f>
        <v>0.58346560537802583</v>
      </c>
    </row>
    <row r="61" spans="2:33" x14ac:dyDescent="0.25">
      <c r="B61" s="231">
        <v>6</v>
      </c>
      <c r="C61" s="503">
        <v>1</v>
      </c>
      <c r="D61" s="504" t="s">
        <v>298</v>
      </c>
      <c r="E61" s="505" t="s">
        <v>131</v>
      </c>
      <c r="F61" s="505" t="s">
        <v>136</v>
      </c>
      <c r="G61" s="506">
        <v>2</v>
      </c>
      <c r="H61" s="505" t="s">
        <v>663</v>
      </c>
      <c r="I61" s="505" t="s">
        <v>677</v>
      </c>
      <c r="J61" s="505" t="s">
        <v>709</v>
      </c>
      <c r="K61" s="507" t="s">
        <v>664</v>
      </c>
      <c r="L61" s="505" t="s">
        <v>122</v>
      </c>
      <c r="M61" s="507" t="s">
        <v>264</v>
      </c>
      <c r="N61" s="508">
        <v>72</v>
      </c>
      <c r="O61" s="508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v>408.35</v>
      </c>
      <c r="U61" s="560">
        <f t="shared" si="2"/>
        <v>102.90419999999999</v>
      </c>
      <c r="V61" s="568">
        <v>4283.03</v>
      </c>
      <c r="W61" s="567">
        <v>214.1515</v>
      </c>
      <c r="X61" s="567">
        <v>42.830300000000001</v>
      </c>
      <c r="Y61" s="522">
        <v>171.3212</v>
      </c>
      <c r="Z61" s="572">
        <f>(Y61-U61)/Y61</f>
        <v>0.39934929244016509</v>
      </c>
      <c r="AA61" s="412">
        <v>56.650000000000006</v>
      </c>
      <c r="AB61" s="560">
        <f t="shared" si="0"/>
        <v>14.275799999999998</v>
      </c>
      <c r="AC61" s="568">
        <v>856.81999999999994</v>
      </c>
      <c r="AD61" s="567">
        <v>42.840999999999994</v>
      </c>
      <c r="AE61" s="567">
        <v>8.5681999999999992</v>
      </c>
      <c r="AF61" s="522">
        <v>34.272799999999997</v>
      </c>
      <c r="AG61" s="572">
        <f>(AF61-AB61)/AF61</f>
        <v>0.58346560537802583</v>
      </c>
    </row>
    <row r="62" spans="2:33" x14ac:dyDescent="0.25">
      <c r="B62" s="231">
        <v>7</v>
      </c>
      <c r="C62" s="547">
        <v>1</v>
      </c>
      <c r="D62" s="548" t="s">
        <v>298</v>
      </c>
      <c r="E62" s="549" t="s">
        <v>131</v>
      </c>
      <c r="F62" s="549" t="s">
        <v>136</v>
      </c>
      <c r="G62" s="550">
        <v>2</v>
      </c>
      <c r="H62" s="549" t="s">
        <v>187</v>
      </c>
      <c r="I62" s="549" t="s">
        <v>321</v>
      </c>
      <c r="J62" s="549" t="s">
        <v>709</v>
      </c>
      <c r="K62" s="551" t="s">
        <v>664</v>
      </c>
      <c r="L62" s="549" t="s">
        <v>122</v>
      </c>
      <c r="M62" s="551" t="s">
        <v>264</v>
      </c>
      <c r="N62" s="552">
        <v>98</v>
      </c>
      <c r="O62" s="552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v>253.85000000000002</v>
      </c>
      <c r="U62" s="560">
        <f t="shared" si="2"/>
        <v>63.970199999999991</v>
      </c>
      <c r="V62" s="568"/>
      <c r="W62" s="568"/>
      <c r="X62" s="567"/>
      <c r="Y62" s="522"/>
      <c r="Z62" s="522"/>
      <c r="AA62" s="412">
        <v>74.7</v>
      </c>
      <c r="AB62" s="560">
        <f t="shared" si="0"/>
        <v>18.824399999999997</v>
      </c>
      <c r="AC62" s="568"/>
      <c r="AD62" s="568"/>
      <c r="AE62" s="567"/>
      <c r="AF62" s="522"/>
      <c r="AG62" s="522"/>
    </row>
    <row r="63" spans="2:33" x14ac:dyDescent="0.25">
      <c r="B63" s="231">
        <v>8</v>
      </c>
      <c r="C63" s="541">
        <v>1</v>
      </c>
      <c r="D63" s="542" t="s">
        <v>298</v>
      </c>
      <c r="E63" s="543" t="s">
        <v>131</v>
      </c>
      <c r="F63" s="543" t="s">
        <v>136</v>
      </c>
      <c r="G63" s="544">
        <v>2</v>
      </c>
      <c r="H63" s="543" t="s">
        <v>691</v>
      </c>
      <c r="I63" s="543" t="s">
        <v>321</v>
      </c>
      <c r="J63" s="543" t="s">
        <v>709</v>
      </c>
      <c r="K63" s="545" t="s">
        <v>664</v>
      </c>
      <c r="L63" s="543" t="s">
        <v>122</v>
      </c>
      <c r="M63" s="545" t="s">
        <v>264</v>
      </c>
      <c r="N63" s="546">
        <v>98</v>
      </c>
      <c r="O63" s="546">
        <v>96</v>
      </c>
      <c r="P63" s="197" t="s">
        <v>287</v>
      </c>
      <c r="Q63" s="178" t="s">
        <v>274</v>
      </c>
      <c r="R63" s="176" t="s">
        <v>190</v>
      </c>
      <c r="S63" s="179" t="s">
        <v>289</v>
      </c>
      <c r="T63" s="411">
        <v>513</v>
      </c>
      <c r="U63" s="560">
        <f t="shared" si="2"/>
        <v>129.27599999999998</v>
      </c>
      <c r="V63" s="568"/>
      <c r="W63" s="568"/>
      <c r="X63" s="567"/>
      <c r="Y63" s="522"/>
      <c r="Z63" s="573">
        <f>AVERAGE(Z64:Z67)</f>
        <v>0.43222893301571558</v>
      </c>
      <c r="AA63" s="412">
        <v>74.7</v>
      </c>
      <c r="AB63" s="560">
        <f t="shared" si="0"/>
        <v>18.824399999999997</v>
      </c>
      <c r="AC63" s="568"/>
      <c r="AD63" s="568"/>
      <c r="AE63" s="567"/>
      <c r="AF63" s="522"/>
      <c r="AG63" s="573">
        <f>AVERAGE(AG64:AG67)</f>
        <v>0.51464991800996263</v>
      </c>
    </row>
    <row r="64" spans="2:33" x14ac:dyDescent="0.25">
      <c r="B64" s="231">
        <v>9</v>
      </c>
      <c r="C64" s="503">
        <v>1</v>
      </c>
      <c r="D64" s="504" t="s">
        <v>298</v>
      </c>
      <c r="E64" s="505" t="s">
        <v>131</v>
      </c>
      <c r="F64" s="505" t="s">
        <v>136</v>
      </c>
      <c r="G64" s="506">
        <v>2</v>
      </c>
      <c r="H64" s="505" t="s">
        <v>663</v>
      </c>
      <c r="I64" s="505" t="s">
        <v>674</v>
      </c>
      <c r="J64" s="505" t="s">
        <v>709</v>
      </c>
      <c r="K64" s="507" t="s">
        <v>664</v>
      </c>
      <c r="L64" s="505" t="s">
        <v>122</v>
      </c>
      <c r="M64" s="507" t="s">
        <v>264</v>
      </c>
      <c r="N64" s="508">
        <v>98</v>
      </c>
      <c r="O64" s="508">
        <v>96</v>
      </c>
      <c r="P64" s="197" t="s">
        <v>287</v>
      </c>
      <c r="Q64" s="178" t="s">
        <v>274</v>
      </c>
      <c r="R64" s="176" t="s">
        <v>190</v>
      </c>
      <c r="S64" s="179" t="s">
        <v>289</v>
      </c>
      <c r="T64" s="411">
        <v>301.95</v>
      </c>
      <c r="U64" s="560">
        <f t="shared" si="2"/>
        <v>76.091399999999993</v>
      </c>
      <c r="V64" s="568">
        <v>3448.29</v>
      </c>
      <c r="W64" s="567">
        <v>172.4145</v>
      </c>
      <c r="X64" s="567">
        <v>34.482900000000001</v>
      </c>
      <c r="Y64" s="522">
        <v>137.9316</v>
      </c>
      <c r="Z64" s="572">
        <f>(Y64-U64)/Y64</f>
        <v>0.44833961180759163</v>
      </c>
      <c r="AA64" s="412">
        <v>74.7</v>
      </c>
      <c r="AB64" s="560">
        <f t="shared" si="0"/>
        <v>18.824399999999997</v>
      </c>
      <c r="AC64" s="568">
        <v>969.63</v>
      </c>
      <c r="AD64" s="567">
        <v>48.481499999999997</v>
      </c>
      <c r="AE64" s="567">
        <v>9.6963000000000008</v>
      </c>
      <c r="AF64" s="522">
        <v>38.785199999999996</v>
      </c>
      <c r="AG64" s="572">
        <f>(AF64-AB64)/AF64</f>
        <v>0.51464991800996263</v>
      </c>
    </row>
    <row r="65" spans="2:33" x14ac:dyDescent="0.25">
      <c r="B65" s="231">
        <v>10</v>
      </c>
      <c r="C65" s="503">
        <v>1</v>
      </c>
      <c r="D65" s="504" t="s">
        <v>298</v>
      </c>
      <c r="E65" s="505" t="s">
        <v>131</v>
      </c>
      <c r="F65" s="505" t="s">
        <v>136</v>
      </c>
      <c r="G65" s="506">
        <v>2</v>
      </c>
      <c r="H65" s="505" t="s">
        <v>663</v>
      </c>
      <c r="I65" s="505" t="s">
        <v>675</v>
      </c>
      <c r="J65" s="505" t="s">
        <v>709</v>
      </c>
      <c r="K65" s="507" t="s">
        <v>664</v>
      </c>
      <c r="L65" s="505" t="s">
        <v>122</v>
      </c>
      <c r="M65" s="507" t="s">
        <v>264</v>
      </c>
      <c r="N65" s="508">
        <v>98</v>
      </c>
      <c r="O65" s="508">
        <v>96</v>
      </c>
      <c r="P65" s="197" t="s">
        <v>287</v>
      </c>
      <c r="Q65" s="178" t="s">
        <v>274</v>
      </c>
      <c r="R65" s="176" t="s">
        <v>190</v>
      </c>
      <c r="S65" s="179" t="s">
        <v>289</v>
      </c>
      <c r="T65" s="411">
        <v>419.5</v>
      </c>
      <c r="U65" s="560">
        <f t="shared" si="2"/>
        <v>105.71399999999998</v>
      </c>
      <c r="V65" s="568">
        <v>4988.5200000000004</v>
      </c>
      <c r="W65" s="567">
        <v>249.42600000000002</v>
      </c>
      <c r="X65" s="567">
        <v>49.885200000000005</v>
      </c>
      <c r="Y65" s="522">
        <v>199.54080000000002</v>
      </c>
      <c r="Z65" s="572">
        <f>(Y65-U65)/Y65</f>
        <v>0.47021361044959237</v>
      </c>
      <c r="AA65" s="412">
        <v>74.7</v>
      </c>
      <c r="AB65" s="560">
        <f t="shared" si="0"/>
        <v>18.824399999999997</v>
      </c>
      <c r="AC65" s="568">
        <v>969.63</v>
      </c>
      <c r="AD65" s="567">
        <v>48.481499999999997</v>
      </c>
      <c r="AE65" s="567">
        <v>9.6963000000000008</v>
      </c>
      <c r="AF65" s="522">
        <v>38.785199999999996</v>
      </c>
      <c r="AG65" s="572">
        <f>(AF65-AB65)/AF65</f>
        <v>0.51464991800996263</v>
      </c>
    </row>
    <row r="66" spans="2:33" x14ac:dyDescent="0.25">
      <c r="B66" s="231">
        <v>11</v>
      </c>
      <c r="C66" s="503">
        <v>1</v>
      </c>
      <c r="D66" s="504" t="s">
        <v>298</v>
      </c>
      <c r="E66" s="505" t="s">
        <v>131</v>
      </c>
      <c r="F66" s="505" t="s">
        <v>136</v>
      </c>
      <c r="G66" s="506">
        <v>2</v>
      </c>
      <c r="H66" s="505" t="s">
        <v>663</v>
      </c>
      <c r="I66" s="505" t="s">
        <v>676</v>
      </c>
      <c r="J66" s="505" t="s">
        <v>709</v>
      </c>
      <c r="K66" s="507" t="s">
        <v>664</v>
      </c>
      <c r="L66" s="505" t="s">
        <v>122</v>
      </c>
      <c r="M66" s="507" t="s">
        <v>264</v>
      </c>
      <c r="N66" s="508">
        <v>98</v>
      </c>
      <c r="O66" s="508">
        <v>96</v>
      </c>
      <c r="P66" s="197" t="s">
        <v>287</v>
      </c>
      <c r="Q66" s="178" t="s">
        <v>274</v>
      </c>
      <c r="R66" s="176" t="s">
        <v>190</v>
      </c>
      <c r="S66" s="179" t="s">
        <v>289</v>
      </c>
      <c r="T66" s="411">
        <v>449.1</v>
      </c>
      <c r="U66" s="560">
        <f t="shared" si="2"/>
        <v>113.17319999999999</v>
      </c>
      <c r="V66" s="568">
        <v>5205.22</v>
      </c>
      <c r="W66" s="567">
        <v>260.26100000000002</v>
      </c>
      <c r="X66" s="567">
        <v>52.052200000000006</v>
      </c>
      <c r="Y66" s="522">
        <v>208.20880000000002</v>
      </c>
      <c r="Z66" s="572">
        <f>(Y66-U66)/Y66</f>
        <v>0.45644372380033899</v>
      </c>
      <c r="AA66" s="412">
        <v>74.7</v>
      </c>
      <c r="AB66" s="560">
        <f t="shared" si="0"/>
        <v>18.824399999999997</v>
      </c>
      <c r="AC66" s="568">
        <v>969.63</v>
      </c>
      <c r="AD66" s="567">
        <v>48.481499999999997</v>
      </c>
      <c r="AE66" s="567">
        <v>9.6963000000000008</v>
      </c>
      <c r="AF66" s="522">
        <v>38.785199999999996</v>
      </c>
      <c r="AG66" s="572">
        <f>(AF66-AB66)/AF66</f>
        <v>0.51464991800996263</v>
      </c>
    </row>
    <row r="67" spans="2:33" x14ac:dyDescent="0.25">
      <c r="B67" s="231">
        <v>12</v>
      </c>
      <c r="C67" s="503">
        <v>1</v>
      </c>
      <c r="D67" s="504" t="s">
        <v>298</v>
      </c>
      <c r="E67" s="505" t="s">
        <v>131</v>
      </c>
      <c r="F67" s="505" t="s">
        <v>136</v>
      </c>
      <c r="G67" s="506">
        <v>2</v>
      </c>
      <c r="H67" s="505" t="s">
        <v>663</v>
      </c>
      <c r="I67" s="505" t="s">
        <v>677</v>
      </c>
      <c r="J67" s="505" t="s">
        <v>709</v>
      </c>
      <c r="K67" s="507" t="s">
        <v>664</v>
      </c>
      <c r="L67" s="505" t="s">
        <v>122</v>
      </c>
      <c r="M67" s="507" t="s">
        <v>264</v>
      </c>
      <c r="N67" s="508">
        <v>98</v>
      </c>
      <c r="O67" s="508">
        <v>96</v>
      </c>
      <c r="P67" s="197" t="s">
        <v>287</v>
      </c>
      <c r="Q67" s="178" t="s">
        <v>274</v>
      </c>
      <c r="R67" s="176" t="s">
        <v>190</v>
      </c>
      <c r="S67" s="179" t="s">
        <v>289</v>
      </c>
      <c r="T67" s="411">
        <v>547.4</v>
      </c>
      <c r="U67" s="560">
        <f t="shared" si="2"/>
        <v>137.94479999999996</v>
      </c>
      <c r="V67" s="568">
        <v>5337.75</v>
      </c>
      <c r="W67" s="567">
        <v>266.88749999999999</v>
      </c>
      <c r="X67" s="567">
        <v>53.377499999999998</v>
      </c>
      <c r="Y67" s="522">
        <v>213.51</v>
      </c>
      <c r="Z67" s="572">
        <f>(Y67-U67)/Y67</f>
        <v>0.35391878600533949</v>
      </c>
      <c r="AA67" s="412">
        <v>74.7</v>
      </c>
      <c r="AB67" s="560">
        <f t="shared" si="0"/>
        <v>18.824399999999997</v>
      </c>
      <c r="AC67" s="568">
        <v>969.63</v>
      </c>
      <c r="AD67" s="567">
        <v>48.481499999999997</v>
      </c>
      <c r="AE67" s="567">
        <v>9.6963000000000008</v>
      </c>
      <c r="AF67" s="522">
        <v>38.785199999999996</v>
      </c>
      <c r="AG67" s="572">
        <f>(AF67-AB67)/AF67</f>
        <v>0.51464991800996263</v>
      </c>
    </row>
    <row r="68" spans="2:33" x14ac:dyDescent="0.25">
      <c r="B68" s="231">
        <v>13</v>
      </c>
      <c r="C68" s="547">
        <v>1</v>
      </c>
      <c r="D68" s="548" t="s">
        <v>298</v>
      </c>
      <c r="E68" s="549" t="s">
        <v>131</v>
      </c>
      <c r="F68" s="549" t="s">
        <v>136</v>
      </c>
      <c r="G68" s="550">
        <v>2</v>
      </c>
      <c r="H68" s="549" t="s">
        <v>187</v>
      </c>
      <c r="I68" s="549" t="s">
        <v>321</v>
      </c>
      <c r="J68" s="549" t="s">
        <v>709</v>
      </c>
      <c r="K68" s="551" t="s">
        <v>664</v>
      </c>
      <c r="L68" s="549" t="s">
        <v>122</v>
      </c>
      <c r="M68" s="551" t="s">
        <v>264</v>
      </c>
      <c r="N68" s="552">
        <v>124</v>
      </c>
      <c r="O68" s="552">
        <v>96</v>
      </c>
      <c r="P68" s="197" t="s">
        <v>287</v>
      </c>
      <c r="Q68" s="178" t="s">
        <v>274</v>
      </c>
      <c r="R68" s="176" t="s">
        <v>190</v>
      </c>
      <c r="S68" s="179" t="s">
        <v>289</v>
      </c>
      <c r="T68" s="411">
        <v>314.65000000000003</v>
      </c>
      <c r="U68" s="560">
        <f t="shared" si="2"/>
        <v>79.291800000000009</v>
      </c>
      <c r="V68" s="568"/>
      <c r="W68" s="568"/>
      <c r="X68" s="567"/>
      <c r="Y68" s="522"/>
      <c r="Z68" s="522"/>
      <c r="AA68" s="412">
        <v>92.7</v>
      </c>
      <c r="AB68" s="560">
        <f t="shared" si="0"/>
        <v>23.360399999999998</v>
      </c>
      <c r="AC68" s="568"/>
      <c r="AD68" s="568"/>
      <c r="AE68" s="567"/>
      <c r="AF68" s="522"/>
      <c r="AG68" s="522"/>
    </row>
    <row r="69" spans="2:33" x14ac:dyDescent="0.25">
      <c r="B69" s="231">
        <v>14</v>
      </c>
      <c r="C69" s="541">
        <v>1</v>
      </c>
      <c r="D69" s="542" t="s">
        <v>298</v>
      </c>
      <c r="E69" s="543" t="s">
        <v>131</v>
      </c>
      <c r="F69" s="543" t="s">
        <v>136</v>
      </c>
      <c r="G69" s="544">
        <v>2</v>
      </c>
      <c r="H69" s="543" t="s">
        <v>691</v>
      </c>
      <c r="I69" s="543" t="s">
        <v>321</v>
      </c>
      <c r="J69" s="543" t="s">
        <v>709</v>
      </c>
      <c r="K69" s="545" t="s">
        <v>664</v>
      </c>
      <c r="L69" s="543" t="s">
        <v>122</v>
      </c>
      <c r="M69" s="545" t="s">
        <v>264</v>
      </c>
      <c r="N69" s="546">
        <v>124</v>
      </c>
      <c r="O69" s="546">
        <v>96</v>
      </c>
      <c r="P69" s="197" t="s">
        <v>287</v>
      </c>
      <c r="Q69" s="178" t="s">
        <v>274</v>
      </c>
      <c r="R69" s="176" t="s">
        <v>190</v>
      </c>
      <c r="S69" s="179" t="s">
        <v>289</v>
      </c>
      <c r="T69" s="411">
        <v>635.1</v>
      </c>
      <c r="U69" s="560">
        <f t="shared" si="2"/>
        <v>160.04519999999997</v>
      </c>
      <c r="V69" s="568"/>
      <c r="W69" s="568"/>
      <c r="X69" s="567"/>
      <c r="Y69" s="522"/>
      <c r="Z69" s="573">
        <f>AVERAGE(Z70:Z73)</f>
        <v>0.41299272687270872</v>
      </c>
      <c r="AA69" s="412">
        <v>92.7</v>
      </c>
      <c r="AB69" s="560">
        <f t="shared" si="0"/>
        <v>23.360399999999998</v>
      </c>
      <c r="AC69" s="568"/>
      <c r="AD69" s="568"/>
      <c r="AE69" s="567"/>
      <c r="AF69" s="522"/>
      <c r="AG69" s="573">
        <f>AVERAGE(AG70:AG73)</f>
        <v>0.45357834560577848</v>
      </c>
    </row>
    <row r="70" spans="2:33" x14ac:dyDescent="0.25">
      <c r="B70" s="231">
        <v>15</v>
      </c>
      <c r="C70" s="503">
        <v>1</v>
      </c>
      <c r="D70" s="504" t="s">
        <v>298</v>
      </c>
      <c r="E70" s="505" t="s">
        <v>131</v>
      </c>
      <c r="F70" s="505" t="s">
        <v>136</v>
      </c>
      <c r="G70" s="506">
        <v>2</v>
      </c>
      <c r="H70" s="505" t="s">
        <v>663</v>
      </c>
      <c r="I70" s="505" t="s">
        <v>674</v>
      </c>
      <c r="J70" s="505" t="s">
        <v>709</v>
      </c>
      <c r="K70" s="507" t="s">
        <v>664</v>
      </c>
      <c r="L70" s="505" t="s">
        <v>122</v>
      </c>
      <c r="M70" s="507" t="s">
        <v>264</v>
      </c>
      <c r="N70" s="508">
        <v>124</v>
      </c>
      <c r="O70" s="508">
        <v>96</v>
      </c>
      <c r="P70" s="197" t="s">
        <v>287</v>
      </c>
      <c r="Q70" s="178" t="s">
        <v>274</v>
      </c>
      <c r="R70" s="176" t="s">
        <v>190</v>
      </c>
      <c r="S70" s="179" t="s">
        <v>289</v>
      </c>
      <c r="T70" s="411">
        <v>374.15000000000003</v>
      </c>
      <c r="U70" s="560">
        <f t="shared" si="2"/>
        <v>94.285799999999995</v>
      </c>
      <c r="V70" s="568">
        <v>4127.3</v>
      </c>
      <c r="W70" s="567">
        <v>206.36500000000001</v>
      </c>
      <c r="X70" s="567">
        <v>41.273000000000003</v>
      </c>
      <c r="Y70" s="522">
        <v>165.09200000000001</v>
      </c>
      <c r="Z70" s="572">
        <f>(Y70-U70)/Y70</f>
        <v>0.42888934654616828</v>
      </c>
      <c r="AA70" s="412">
        <v>92.7</v>
      </c>
      <c r="AB70" s="560">
        <f t="shared" si="0"/>
        <v>23.360399999999998</v>
      </c>
      <c r="AC70" s="568">
        <v>1068.79</v>
      </c>
      <c r="AD70" s="567">
        <v>53.439499999999995</v>
      </c>
      <c r="AE70" s="567">
        <v>10.687899999999999</v>
      </c>
      <c r="AF70" s="522">
        <v>42.751599999999996</v>
      </c>
      <c r="AG70" s="572">
        <f>(AF70-AB70)/AF70</f>
        <v>0.45357834560577848</v>
      </c>
    </row>
    <row r="71" spans="2:33" x14ac:dyDescent="0.25">
      <c r="B71" s="231">
        <v>16</v>
      </c>
      <c r="C71" s="503">
        <v>1</v>
      </c>
      <c r="D71" s="504" t="s">
        <v>298</v>
      </c>
      <c r="E71" s="505" t="s">
        <v>131</v>
      </c>
      <c r="F71" s="505" t="s">
        <v>136</v>
      </c>
      <c r="G71" s="506">
        <v>2</v>
      </c>
      <c r="H71" s="505" t="s">
        <v>663</v>
      </c>
      <c r="I71" s="505" t="s">
        <v>675</v>
      </c>
      <c r="J71" s="505" t="s">
        <v>709</v>
      </c>
      <c r="K71" s="507" t="s">
        <v>664</v>
      </c>
      <c r="L71" s="505" t="s">
        <v>122</v>
      </c>
      <c r="M71" s="507" t="s">
        <v>264</v>
      </c>
      <c r="N71" s="508">
        <v>124</v>
      </c>
      <c r="O71" s="508">
        <v>96</v>
      </c>
      <c r="P71" s="197" t="s">
        <v>287</v>
      </c>
      <c r="Q71" s="178" t="s">
        <v>274</v>
      </c>
      <c r="R71" s="176" t="s">
        <v>190</v>
      </c>
      <c r="S71" s="179" t="s">
        <v>289</v>
      </c>
      <c r="T71" s="411">
        <v>519.5</v>
      </c>
      <c r="U71" s="560">
        <f t="shared" si="2"/>
        <v>130.91399999999999</v>
      </c>
      <c r="V71" s="568">
        <v>5979.96</v>
      </c>
      <c r="W71" s="567">
        <v>298.99799999999999</v>
      </c>
      <c r="X71" s="567">
        <v>59.799599999999998</v>
      </c>
      <c r="Y71" s="522">
        <v>239.19839999999999</v>
      </c>
      <c r="Z71" s="572">
        <f>(Y71-U71)/Y71</f>
        <v>0.45269700800674256</v>
      </c>
      <c r="AA71" s="412">
        <v>92.7</v>
      </c>
      <c r="AB71" s="560">
        <f t="shared" si="0"/>
        <v>23.360399999999998</v>
      </c>
      <c r="AC71" s="568">
        <v>1068.79</v>
      </c>
      <c r="AD71" s="567">
        <v>53.439499999999995</v>
      </c>
      <c r="AE71" s="567">
        <v>10.687899999999999</v>
      </c>
      <c r="AF71" s="522">
        <v>42.751599999999996</v>
      </c>
      <c r="AG71" s="572">
        <f>(AF71-AB71)/AF71</f>
        <v>0.45357834560577848</v>
      </c>
    </row>
    <row r="72" spans="2:33" x14ac:dyDescent="0.25">
      <c r="B72" s="231">
        <v>17</v>
      </c>
      <c r="C72" s="503">
        <v>1</v>
      </c>
      <c r="D72" s="504" t="s">
        <v>298</v>
      </c>
      <c r="E72" s="505" t="s">
        <v>131</v>
      </c>
      <c r="F72" s="505" t="s">
        <v>136</v>
      </c>
      <c r="G72" s="506">
        <v>2</v>
      </c>
      <c r="H72" s="505" t="s">
        <v>663</v>
      </c>
      <c r="I72" s="505" t="s">
        <v>676</v>
      </c>
      <c r="J72" s="505" t="s">
        <v>709</v>
      </c>
      <c r="K72" s="507" t="s">
        <v>664</v>
      </c>
      <c r="L72" s="505" t="s">
        <v>122</v>
      </c>
      <c r="M72" s="507" t="s">
        <v>264</v>
      </c>
      <c r="N72" s="508">
        <v>124</v>
      </c>
      <c r="O72" s="508">
        <v>96</v>
      </c>
      <c r="P72" s="197" t="s">
        <v>287</v>
      </c>
      <c r="Q72" s="178" t="s">
        <v>274</v>
      </c>
      <c r="R72" s="176" t="s">
        <v>190</v>
      </c>
      <c r="S72" s="179" t="s">
        <v>289</v>
      </c>
      <c r="T72" s="411">
        <v>556.05000000000007</v>
      </c>
      <c r="U72" s="560">
        <f t="shared" si="2"/>
        <v>140.12459999999999</v>
      </c>
      <c r="V72" s="568">
        <v>6235.34</v>
      </c>
      <c r="W72" s="567">
        <v>311.767</v>
      </c>
      <c r="X72" s="567">
        <v>62.353400000000001</v>
      </c>
      <c r="Y72" s="522">
        <v>249.4136</v>
      </c>
      <c r="Z72" s="572">
        <f>(Y72-U72)/Y72</f>
        <v>0.43818380393049944</v>
      </c>
      <c r="AA72" s="412">
        <v>92.7</v>
      </c>
      <c r="AB72" s="560">
        <f t="shared" ref="AB72:AB103" si="3">AA72*0.7*0.6*0.6</f>
        <v>23.360399999999998</v>
      </c>
      <c r="AC72" s="568">
        <v>1068.79</v>
      </c>
      <c r="AD72" s="567">
        <v>53.439499999999995</v>
      </c>
      <c r="AE72" s="567">
        <v>10.687899999999999</v>
      </c>
      <c r="AF72" s="522">
        <v>42.751599999999996</v>
      </c>
      <c r="AG72" s="572">
        <f>(AF72-AB72)/AF72</f>
        <v>0.45357834560577848</v>
      </c>
    </row>
    <row r="73" spans="2:33" x14ac:dyDescent="0.25">
      <c r="B73" s="231">
        <v>18</v>
      </c>
      <c r="C73" s="503">
        <v>1</v>
      </c>
      <c r="D73" s="504" t="s">
        <v>298</v>
      </c>
      <c r="E73" s="505" t="s">
        <v>131</v>
      </c>
      <c r="F73" s="505" t="s">
        <v>136</v>
      </c>
      <c r="G73" s="506">
        <v>2</v>
      </c>
      <c r="H73" s="505" t="s">
        <v>663</v>
      </c>
      <c r="I73" s="505" t="s">
        <v>677</v>
      </c>
      <c r="J73" s="505" t="s">
        <v>709</v>
      </c>
      <c r="K73" s="507" t="s">
        <v>664</v>
      </c>
      <c r="L73" s="505" t="s">
        <v>122</v>
      </c>
      <c r="M73" s="507" t="s">
        <v>264</v>
      </c>
      <c r="N73" s="508">
        <v>124</v>
      </c>
      <c r="O73" s="508">
        <v>96</v>
      </c>
      <c r="P73" s="197" t="s">
        <v>287</v>
      </c>
      <c r="Q73" s="178" t="s">
        <v>274</v>
      </c>
      <c r="R73" s="176" t="s">
        <v>190</v>
      </c>
      <c r="S73" s="179" t="s">
        <v>289</v>
      </c>
      <c r="T73" s="411">
        <v>677.6</v>
      </c>
      <c r="U73" s="560">
        <f t="shared" si="2"/>
        <v>170.75519999999997</v>
      </c>
      <c r="V73" s="568">
        <v>6392.46</v>
      </c>
      <c r="W73" s="567">
        <v>319.62299999999999</v>
      </c>
      <c r="X73" s="567">
        <v>63.924599999999998</v>
      </c>
      <c r="Y73" s="522">
        <v>255.69839999999999</v>
      </c>
      <c r="Z73" s="572">
        <f>(Y73-U73)/Y73</f>
        <v>0.33220074900742447</v>
      </c>
      <c r="AA73" s="412">
        <v>92.7</v>
      </c>
      <c r="AB73" s="560">
        <f t="shared" si="3"/>
        <v>23.360399999999998</v>
      </c>
      <c r="AC73" s="568">
        <v>1068.79</v>
      </c>
      <c r="AD73" s="567">
        <v>53.439499999999995</v>
      </c>
      <c r="AE73" s="567">
        <v>10.687899999999999</v>
      </c>
      <c r="AF73" s="522">
        <v>42.751599999999996</v>
      </c>
      <c r="AG73" s="572">
        <f>(AF73-AB73)/AF73</f>
        <v>0.45357834560577848</v>
      </c>
    </row>
    <row r="74" spans="2:33" x14ac:dyDescent="0.25">
      <c r="B74" s="231">
        <v>19</v>
      </c>
      <c r="C74" s="547">
        <v>1</v>
      </c>
      <c r="D74" s="548" t="s">
        <v>298</v>
      </c>
      <c r="E74" s="549" t="s">
        <v>131</v>
      </c>
      <c r="F74" s="549" t="s">
        <v>136</v>
      </c>
      <c r="G74" s="550">
        <v>2</v>
      </c>
      <c r="H74" s="549" t="s">
        <v>187</v>
      </c>
      <c r="I74" s="549" t="s">
        <v>321</v>
      </c>
      <c r="J74" s="549" t="s">
        <v>709</v>
      </c>
      <c r="K74" s="551" t="s">
        <v>664</v>
      </c>
      <c r="L74" s="549" t="s">
        <v>122</v>
      </c>
      <c r="M74" s="551" t="s">
        <v>264</v>
      </c>
      <c r="N74" s="552">
        <v>150</v>
      </c>
      <c r="O74" s="552">
        <v>96</v>
      </c>
      <c r="P74" s="197" t="s">
        <v>287</v>
      </c>
      <c r="Q74" s="178" t="s">
        <v>274</v>
      </c>
      <c r="R74" s="176" t="s">
        <v>190</v>
      </c>
      <c r="S74" s="179" t="s">
        <v>289</v>
      </c>
      <c r="T74" s="411">
        <v>379</v>
      </c>
      <c r="U74" s="560">
        <f t="shared" si="2"/>
        <v>95.507999999999996</v>
      </c>
      <c r="V74" s="568"/>
      <c r="W74" s="568"/>
      <c r="X74" s="567"/>
      <c r="Y74" s="522"/>
      <c r="Z74" s="522"/>
      <c r="AA74" s="412">
        <v>110.7</v>
      </c>
      <c r="AB74" s="560">
        <f t="shared" si="3"/>
        <v>27.896399999999996</v>
      </c>
      <c r="AC74" s="568"/>
      <c r="AD74" s="568"/>
      <c r="AE74" s="567"/>
      <c r="AF74" s="522"/>
      <c r="AG74" s="522"/>
    </row>
    <row r="75" spans="2:33" x14ac:dyDescent="0.25">
      <c r="B75" s="231">
        <v>20</v>
      </c>
      <c r="C75" s="541">
        <v>1</v>
      </c>
      <c r="D75" s="542" t="s">
        <v>298</v>
      </c>
      <c r="E75" s="543" t="s">
        <v>131</v>
      </c>
      <c r="F75" s="543" t="s">
        <v>136</v>
      </c>
      <c r="G75" s="544">
        <v>2</v>
      </c>
      <c r="H75" s="543" t="s">
        <v>691</v>
      </c>
      <c r="I75" s="543" t="s">
        <v>321</v>
      </c>
      <c r="J75" s="543" t="s">
        <v>709</v>
      </c>
      <c r="K75" s="545" t="s">
        <v>664</v>
      </c>
      <c r="L75" s="543" t="s">
        <v>122</v>
      </c>
      <c r="M75" s="545" t="s">
        <v>264</v>
      </c>
      <c r="N75" s="546">
        <v>150</v>
      </c>
      <c r="O75" s="546">
        <v>96</v>
      </c>
      <c r="P75" s="197" t="s">
        <v>287</v>
      </c>
      <c r="Q75" s="178" t="s">
        <v>274</v>
      </c>
      <c r="R75" s="176" t="s">
        <v>190</v>
      </c>
      <c r="S75" s="179" t="s">
        <v>289</v>
      </c>
      <c r="T75" s="411">
        <v>765.40000000000009</v>
      </c>
      <c r="U75" s="560">
        <f t="shared" si="2"/>
        <v>192.88079999999999</v>
      </c>
      <c r="V75" s="568"/>
      <c r="W75" s="568"/>
      <c r="X75" s="567"/>
      <c r="Y75" s="522"/>
      <c r="Z75" s="573">
        <f>AVERAGE(Z76:Z79)</f>
        <v>0.39717230710724089</v>
      </c>
      <c r="AA75" s="412">
        <v>110.7</v>
      </c>
      <c r="AB75" s="560">
        <f t="shared" si="3"/>
        <v>27.896399999999996</v>
      </c>
      <c r="AC75" s="568"/>
      <c r="AD75" s="568"/>
      <c r="AE75" s="567"/>
      <c r="AF75" s="522"/>
      <c r="AG75" s="573">
        <f>AVERAGE(AG76:AG79)</f>
        <v>0.42523838172393047</v>
      </c>
    </row>
    <row r="76" spans="2:33" x14ac:dyDescent="0.25">
      <c r="B76" s="231">
        <v>21</v>
      </c>
      <c r="C76" s="503">
        <v>1</v>
      </c>
      <c r="D76" s="504" t="s">
        <v>298</v>
      </c>
      <c r="E76" s="505" t="s">
        <v>131</v>
      </c>
      <c r="F76" s="505" t="s">
        <v>136</v>
      </c>
      <c r="G76" s="506">
        <v>2</v>
      </c>
      <c r="H76" s="505" t="s">
        <v>663</v>
      </c>
      <c r="I76" s="505" t="s">
        <v>674</v>
      </c>
      <c r="J76" s="505" t="s">
        <v>709</v>
      </c>
      <c r="K76" s="507" t="s">
        <v>664</v>
      </c>
      <c r="L76" s="505" t="s">
        <v>122</v>
      </c>
      <c r="M76" s="507" t="s">
        <v>264</v>
      </c>
      <c r="N76" s="508">
        <v>150</v>
      </c>
      <c r="O76" s="508">
        <v>96</v>
      </c>
      <c r="P76" s="197" t="s">
        <v>287</v>
      </c>
      <c r="Q76" s="178" t="s">
        <v>274</v>
      </c>
      <c r="R76" s="176" t="s">
        <v>190</v>
      </c>
      <c r="S76" s="179" t="s">
        <v>289</v>
      </c>
      <c r="T76" s="411">
        <v>450.75</v>
      </c>
      <c r="U76" s="560">
        <f t="shared" si="2"/>
        <v>113.58899999999998</v>
      </c>
      <c r="V76" s="568">
        <v>4847.28</v>
      </c>
      <c r="W76" s="567">
        <v>242.36399999999998</v>
      </c>
      <c r="X76" s="567">
        <v>48.472799999999999</v>
      </c>
      <c r="Y76" s="522">
        <v>193.89119999999997</v>
      </c>
      <c r="Z76" s="572">
        <f>(Y76-U76)/Y76</f>
        <v>0.4141611377927415</v>
      </c>
      <c r="AA76" s="412">
        <v>110.7</v>
      </c>
      <c r="AB76" s="560">
        <f t="shared" si="3"/>
        <v>27.896399999999996</v>
      </c>
      <c r="AC76" s="568">
        <v>1213.3899999999999</v>
      </c>
      <c r="AD76" s="567">
        <v>60.669499999999992</v>
      </c>
      <c r="AE76" s="567">
        <v>12.133899999999999</v>
      </c>
      <c r="AF76" s="522">
        <v>48.535599999999995</v>
      </c>
      <c r="AG76" s="572">
        <f>(AF76-AB76)/AF76</f>
        <v>0.42523838172393047</v>
      </c>
    </row>
    <row r="77" spans="2:33" x14ac:dyDescent="0.25">
      <c r="B77" s="231">
        <v>22</v>
      </c>
      <c r="C77" s="503">
        <v>1</v>
      </c>
      <c r="D77" s="504" t="s">
        <v>298</v>
      </c>
      <c r="E77" s="505" t="s">
        <v>131</v>
      </c>
      <c r="F77" s="505" t="s">
        <v>136</v>
      </c>
      <c r="G77" s="506">
        <v>2</v>
      </c>
      <c r="H77" s="505" t="s">
        <v>663</v>
      </c>
      <c r="I77" s="505" t="s">
        <v>675</v>
      </c>
      <c r="J77" s="505" t="s">
        <v>709</v>
      </c>
      <c r="K77" s="507" t="s">
        <v>664</v>
      </c>
      <c r="L77" s="505" t="s">
        <v>122</v>
      </c>
      <c r="M77" s="507" t="s">
        <v>264</v>
      </c>
      <c r="N77" s="508">
        <v>150</v>
      </c>
      <c r="O77" s="508">
        <v>96</v>
      </c>
      <c r="P77" s="197" t="s">
        <v>287</v>
      </c>
      <c r="Q77" s="178" t="s">
        <v>274</v>
      </c>
      <c r="R77" s="176" t="s">
        <v>190</v>
      </c>
      <c r="S77" s="179" t="s">
        <v>289</v>
      </c>
      <c r="T77" s="411">
        <v>626</v>
      </c>
      <c r="U77" s="560">
        <f t="shared" si="2"/>
        <v>157.75199999999998</v>
      </c>
      <c r="V77" s="568">
        <v>7028.64</v>
      </c>
      <c r="W77" s="567">
        <v>351.43200000000002</v>
      </c>
      <c r="X77" s="567">
        <v>70.2864</v>
      </c>
      <c r="Y77" s="522">
        <v>281.1456</v>
      </c>
      <c r="Z77" s="572">
        <f>(Y77-U77)/Y77</f>
        <v>0.43889571809055528</v>
      </c>
      <c r="AA77" s="412">
        <v>110.7</v>
      </c>
      <c r="AB77" s="560">
        <f t="shared" si="3"/>
        <v>27.896399999999996</v>
      </c>
      <c r="AC77" s="568">
        <v>1213.3899999999999</v>
      </c>
      <c r="AD77" s="567">
        <v>60.669499999999992</v>
      </c>
      <c r="AE77" s="567">
        <v>12.133899999999999</v>
      </c>
      <c r="AF77" s="522">
        <v>48.535599999999995</v>
      </c>
      <c r="AG77" s="572">
        <f>(AF77-AB77)/AF77</f>
        <v>0.42523838172393047</v>
      </c>
    </row>
    <row r="78" spans="2:33" x14ac:dyDescent="0.25">
      <c r="B78" s="231">
        <v>23</v>
      </c>
      <c r="C78" s="503">
        <v>1</v>
      </c>
      <c r="D78" s="504" t="s">
        <v>298</v>
      </c>
      <c r="E78" s="505" t="s">
        <v>131</v>
      </c>
      <c r="F78" s="505" t="s">
        <v>136</v>
      </c>
      <c r="G78" s="506">
        <v>2</v>
      </c>
      <c r="H78" s="505" t="s">
        <v>663</v>
      </c>
      <c r="I78" s="505" t="s">
        <v>676</v>
      </c>
      <c r="J78" s="505" t="s">
        <v>709</v>
      </c>
      <c r="K78" s="507" t="s">
        <v>664</v>
      </c>
      <c r="L78" s="505" t="s">
        <v>122</v>
      </c>
      <c r="M78" s="507" t="s">
        <v>264</v>
      </c>
      <c r="N78" s="508">
        <v>150</v>
      </c>
      <c r="O78" s="508">
        <v>96</v>
      </c>
      <c r="P78" s="197" t="s">
        <v>287</v>
      </c>
      <c r="Q78" s="178" t="s">
        <v>274</v>
      </c>
      <c r="R78" s="176" t="s">
        <v>190</v>
      </c>
      <c r="S78" s="179" t="s">
        <v>289</v>
      </c>
      <c r="T78" s="411">
        <v>670.1</v>
      </c>
      <c r="U78" s="560">
        <f t="shared" si="2"/>
        <v>168.86519999999999</v>
      </c>
      <c r="V78" s="568">
        <v>7306.44</v>
      </c>
      <c r="W78" s="567">
        <v>365.322</v>
      </c>
      <c r="X78" s="567">
        <v>73.064400000000006</v>
      </c>
      <c r="Y78" s="522">
        <v>292.25760000000002</v>
      </c>
      <c r="Z78" s="572">
        <f>(Y78-U78)/Y78</f>
        <v>0.42220424721204863</v>
      </c>
      <c r="AA78" s="412">
        <v>110.7</v>
      </c>
      <c r="AB78" s="560">
        <f t="shared" si="3"/>
        <v>27.896399999999996</v>
      </c>
      <c r="AC78" s="568">
        <v>1213.3899999999999</v>
      </c>
      <c r="AD78" s="567">
        <v>60.669499999999992</v>
      </c>
      <c r="AE78" s="567">
        <v>12.133899999999999</v>
      </c>
      <c r="AF78" s="522">
        <v>48.535599999999995</v>
      </c>
      <c r="AG78" s="572">
        <f>(AF78-AB78)/AF78</f>
        <v>0.42523838172393047</v>
      </c>
    </row>
    <row r="79" spans="2:33" x14ac:dyDescent="0.25">
      <c r="B79" s="231">
        <v>24</v>
      </c>
      <c r="C79" s="503">
        <v>1</v>
      </c>
      <c r="D79" s="504" t="s">
        <v>298</v>
      </c>
      <c r="E79" s="505" t="s">
        <v>131</v>
      </c>
      <c r="F79" s="505" t="s">
        <v>136</v>
      </c>
      <c r="G79" s="506">
        <v>2</v>
      </c>
      <c r="H79" s="505" t="s">
        <v>663</v>
      </c>
      <c r="I79" s="505" t="s">
        <v>677</v>
      </c>
      <c r="J79" s="505" t="s">
        <v>709</v>
      </c>
      <c r="K79" s="507" t="s">
        <v>664</v>
      </c>
      <c r="L79" s="505" t="s">
        <v>122</v>
      </c>
      <c r="M79" s="507" t="s">
        <v>264</v>
      </c>
      <c r="N79" s="508">
        <v>150</v>
      </c>
      <c r="O79" s="508">
        <v>96</v>
      </c>
      <c r="P79" s="197" t="s">
        <v>287</v>
      </c>
      <c r="Q79" s="178" t="s">
        <v>274</v>
      </c>
      <c r="R79" s="176" t="s">
        <v>190</v>
      </c>
      <c r="S79" s="179" t="s">
        <v>289</v>
      </c>
      <c r="T79" s="411">
        <v>816.65000000000009</v>
      </c>
      <c r="U79" s="560">
        <f t="shared" si="2"/>
        <v>205.79579999999999</v>
      </c>
      <c r="V79" s="568">
        <v>7493.6</v>
      </c>
      <c r="W79" s="567">
        <v>374.68</v>
      </c>
      <c r="X79" s="567">
        <v>74.936000000000007</v>
      </c>
      <c r="Y79" s="522">
        <v>299.74400000000003</v>
      </c>
      <c r="Z79" s="572">
        <f>(Y79-U79)/Y79</f>
        <v>0.31342812533361813</v>
      </c>
      <c r="AA79" s="412">
        <v>110.7</v>
      </c>
      <c r="AB79" s="560">
        <f t="shared" si="3"/>
        <v>27.896399999999996</v>
      </c>
      <c r="AC79" s="568">
        <v>1213.3899999999999</v>
      </c>
      <c r="AD79" s="567">
        <v>60.669499999999992</v>
      </c>
      <c r="AE79" s="567">
        <v>12.133899999999999</v>
      </c>
      <c r="AF79" s="522">
        <v>48.535599999999995</v>
      </c>
      <c r="AG79" s="572">
        <f>(AF79-AB79)/AF79</f>
        <v>0.42523838172393047</v>
      </c>
    </row>
    <row r="80" spans="2:33" x14ac:dyDescent="0.25">
      <c r="B80" s="231">
        <v>25</v>
      </c>
      <c r="C80" s="553">
        <v>1</v>
      </c>
      <c r="D80" s="554" t="s">
        <v>298</v>
      </c>
      <c r="E80" s="555" t="s">
        <v>131</v>
      </c>
      <c r="F80" s="555" t="s">
        <v>116</v>
      </c>
      <c r="G80" s="556">
        <v>2</v>
      </c>
      <c r="H80" s="555" t="s">
        <v>187</v>
      </c>
      <c r="I80" s="555" t="s">
        <v>323</v>
      </c>
      <c r="J80" s="555" t="s">
        <v>709</v>
      </c>
      <c r="K80" s="557" t="s">
        <v>665</v>
      </c>
      <c r="L80" s="555" t="s">
        <v>122</v>
      </c>
      <c r="M80" s="557" t="s">
        <v>264</v>
      </c>
      <c r="N80" s="558">
        <v>72</v>
      </c>
      <c r="O80" s="558">
        <v>96</v>
      </c>
      <c r="P80" s="197" t="s">
        <v>287</v>
      </c>
      <c r="Q80" s="178" t="s">
        <v>274</v>
      </c>
      <c r="R80" s="176" t="s">
        <v>190</v>
      </c>
      <c r="S80" s="179" t="s">
        <v>289</v>
      </c>
      <c r="T80" s="411">
        <v>122.9</v>
      </c>
      <c r="U80" s="560">
        <f t="shared" si="2"/>
        <v>30.970800000000001</v>
      </c>
      <c r="V80" s="568"/>
      <c r="W80" s="568"/>
      <c r="X80" s="567"/>
      <c r="Y80" s="522"/>
      <c r="Z80" s="634">
        <f>AVERAGE(Z82:Z85,Z88:Z91,Z94:Z97,Z100:Z103)</f>
        <v>0.41042536550038256</v>
      </c>
      <c r="AA80" s="412">
        <v>56.650000000000006</v>
      </c>
      <c r="AB80" s="560">
        <f t="shared" si="3"/>
        <v>14.275799999999998</v>
      </c>
      <c r="AC80" s="568"/>
      <c r="AD80" s="568"/>
      <c r="AE80" s="567"/>
      <c r="AF80" s="522"/>
      <c r="AG80" s="634">
        <f>AVERAGE(AG82:AG85,AG88:AG91,AG94:AG97,AG100:AG103)</f>
        <v>0.49423306267942457</v>
      </c>
    </row>
    <row r="81" spans="2:33" x14ac:dyDescent="0.25">
      <c r="B81" s="231">
        <v>26</v>
      </c>
      <c r="C81" s="509">
        <v>1</v>
      </c>
      <c r="D81" s="510" t="s">
        <v>298</v>
      </c>
      <c r="E81" s="511" t="s">
        <v>131</v>
      </c>
      <c r="F81" s="511" t="s">
        <v>116</v>
      </c>
      <c r="G81" s="512">
        <v>2</v>
      </c>
      <c r="H81" s="511" t="s">
        <v>691</v>
      </c>
      <c r="I81" s="511" t="s">
        <v>323</v>
      </c>
      <c r="J81" s="511" t="s">
        <v>709</v>
      </c>
      <c r="K81" s="513" t="s">
        <v>665</v>
      </c>
      <c r="L81" s="511" t="s">
        <v>122</v>
      </c>
      <c r="M81" s="513" t="s">
        <v>264</v>
      </c>
      <c r="N81" s="514">
        <v>72</v>
      </c>
      <c r="O81" s="514">
        <v>96</v>
      </c>
      <c r="P81" s="197" t="s">
        <v>287</v>
      </c>
      <c r="Q81" s="178" t="s">
        <v>274</v>
      </c>
      <c r="R81" s="176" t="s">
        <v>190</v>
      </c>
      <c r="S81" s="179" t="s">
        <v>289</v>
      </c>
      <c r="T81" s="411">
        <v>221.15</v>
      </c>
      <c r="U81" s="560">
        <f t="shared" si="2"/>
        <v>55.729799999999997</v>
      </c>
      <c r="V81" s="570">
        <v>3251.56</v>
      </c>
      <c r="W81" s="570" t="s">
        <v>698</v>
      </c>
      <c r="X81" s="568"/>
      <c r="Y81" s="522"/>
      <c r="Z81" s="573">
        <f>AVERAGE(Z82:Z85)</f>
        <v>0.43847829266145277</v>
      </c>
      <c r="AA81" s="412">
        <v>56.650000000000006</v>
      </c>
      <c r="AB81" s="560">
        <f t="shared" si="3"/>
        <v>14.275799999999998</v>
      </c>
      <c r="AC81" s="568"/>
      <c r="AD81" s="568"/>
      <c r="AE81" s="567"/>
      <c r="AF81" s="522"/>
      <c r="AG81" s="573">
        <f>AVERAGE(AG82:AG85)</f>
        <v>0.58346560537802583</v>
      </c>
    </row>
    <row r="82" spans="2:33" x14ac:dyDescent="0.25">
      <c r="B82" s="231">
        <v>27</v>
      </c>
      <c r="C82" s="515">
        <v>1</v>
      </c>
      <c r="D82" s="516" t="s">
        <v>298</v>
      </c>
      <c r="E82" s="517" t="s">
        <v>131</v>
      </c>
      <c r="F82" s="517" t="s">
        <v>116</v>
      </c>
      <c r="G82" s="518">
        <v>2</v>
      </c>
      <c r="H82" s="517" t="s">
        <v>663</v>
      </c>
      <c r="I82" s="517" t="s">
        <v>681</v>
      </c>
      <c r="J82" s="517" t="s">
        <v>709</v>
      </c>
      <c r="K82" s="519" t="s">
        <v>665</v>
      </c>
      <c r="L82" s="517" t="s">
        <v>122</v>
      </c>
      <c r="M82" s="519" t="s">
        <v>264</v>
      </c>
      <c r="N82" s="520">
        <v>72</v>
      </c>
      <c r="O82" s="520">
        <v>96</v>
      </c>
      <c r="P82" s="197" t="s">
        <v>287</v>
      </c>
      <c r="Q82" s="178" t="s">
        <v>274</v>
      </c>
      <c r="R82" s="176" t="s">
        <v>190</v>
      </c>
      <c r="S82" s="179" t="s">
        <v>289</v>
      </c>
      <c r="T82" s="411">
        <v>182.4</v>
      </c>
      <c r="U82" s="560">
        <f t="shared" si="2"/>
        <v>45.96479999999999</v>
      </c>
      <c r="V82" s="568">
        <v>2289.6</v>
      </c>
      <c r="W82" s="567">
        <v>114.47999999999999</v>
      </c>
      <c r="X82" s="567">
        <v>22.896000000000001</v>
      </c>
      <c r="Y82" s="522">
        <v>91.583999999999989</v>
      </c>
      <c r="Z82" s="572">
        <f>(Y82-U82)/Y82</f>
        <v>0.49811320754716987</v>
      </c>
      <c r="AA82" s="412">
        <v>56.650000000000006</v>
      </c>
      <c r="AB82" s="560">
        <f t="shared" si="3"/>
        <v>14.275799999999998</v>
      </c>
      <c r="AC82" s="568">
        <v>856.81999999999994</v>
      </c>
      <c r="AD82" s="567">
        <v>42.840999999999994</v>
      </c>
      <c r="AE82" s="567">
        <v>8.5681999999999992</v>
      </c>
      <c r="AF82" s="522">
        <v>34.272799999999997</v>
      </c>
      <c r="AG82" s="572">
        <f>(AF82-AB82)/AF82</f>
        <v>0.58346560537802583</v>
      </c>
    </row>
    <row r="83" spans="2:33" x14ac:dyDescent="0.25">
      <c r="B83" s="231">
        <v>28</v>
      </c>
      <c r="C83" s="515">
        <v>1</v>
      </c>
      <c r="D83" s="516" t="s">
        <v>298</v>
      </c>
      <c r="E83" s="517" t="s">
        <v>131</v>
      </c>
      <c r="F83" s="517" t="s">
        <v>116</v>
      </c>
      <c r="G83" s="518">
        <v>2</v>
      </c>
      <c r="H83" s="517" t="s">
        <v>663</v>
      </c>
      <c r="I83" s="517" t="s">
        <v>685</v>
      </c>
      <c r="J83" s="517" t="s">
        <v>709</v>
      </c>
      <c r="K83" s="519" t="s">
        <v>665</v>
      </c>
      <c r="L83" s="517" t="s">
        <v>122</v>
      </c>
      <c r="M83" s="519" t="s">
        <v>264</v>
      </c>
      <c r="N83" s="520">
        <v>72</v>
      </c>
      <c r="O83" s="520">
        <v>96</v>
      </c>
      <c r="P83" s="197" t="s">
        <v>287</v>
      </c>
      <c r="Q83" s="178" t="s">
        <v>274</v>
      </c>
      <c r="R83" s="176" t="s">
        <v>190</v>
      </c>
      <c r="S83" s="179" t="s">
        <v>289</v>
      </c>
      <c r="T83" s="411">
        <v>217.65</v>
      </c>
      <c r="U83" s="560">
        <f t="shared" si="2"/>
        <v>54.847799999999999</v>
      </c>
      <c r="V83" s="568">
        <v>2550.69</v>
      </c>
      <c r="W83" s="567">
        <v>127.53450000000001</v>
      </c>
      <c r="X83" s="567">
        <v>25.506900000000002</v>
      </c>
      <c r="Y83" s="522">
        <v>102.02760000000001</v>
      </c>
      <c r="Z83" s="572">
        <f>(Y83-U83)/Y83</f>
        <v>0.46242193288874778</v>
      </c>
      <c r="AA83" s="412">
        <v>56.650000000000006</v>
      </c>
      <c r="AB83" s="560">
        <f t="shared" si="3"/>
        <v>14.275799999999998</v>
      </c>
      <c r="AC83" s="568">
        <v>856.81999999999994</v>
      </c>
      <c r="AD83" s="567">
        <v>42.840999999999994</v>
      </c>
      <c r="AE83" s="567">
        <v>8.5681999999999992</v>
      </c>
      <c r="AF83" s="522">
        <v>34.272799999999997</v>
      </c>
      <c r="AG83" s="572">
        <f>(AF83-AB83)/AF83</f>
        <v>0.58346560537802583</v>
      </c>
    </row>
    <row r="84" spans="2:33" x14ac:dyDescent="0.25">
      <c r="B84" s="231">
        <v>29</v>
      </c>
      <c r="C84" s="515">
        <v>1</v>
      </c>
      <c r="D84" s="516" t="s">
        <v>298</v>
      </c>
      <c r="E84" s="517" t="s">
        <v>131</v>
      </c>
      <c r="F84" s="517" t="s">
        <v>116</v>
      </c>
      <c r="G84" s="518">
        <v>2</v>
      </c>
      <c r="H84" s="517" t="s">
        <v>663</v>
      </c>
      <c r="I84" s="517" t="s">
        <v>687</v>
      </c>
      <c r="J84" s="517" t="s">
        <v>709</v>
      </c>
      <c r="K84" s="519" t="s">
        <v>665</v>
      </c>
      <c r="L84" s="517" t="s">
        <v>122</v>
      </c>
      <c r="M84" s="519" t="s">
        <v>264</v>
      </c>
      <c r="N84" s="520">
        <v>72</v>
      </c>
      <c r="O84" s="520">
        <v>96</v>
      </c>
      <c r="P84" s="197" t="s">
        <v>287</v>
      </c>
      <c r="Q84" s="178" t="s">
        <v>274</v>
      </c>
      <c r="R84" s="176" t="s">
        <v>190</v>
      </c>
      <c r="S84" s="179" t="s">
        <v>289</v>
      </c>
      <c r="T84" s="411">
        <v>259.90000000000003</v>
      </c>
      <c r="U84" s="560">
        <f t="shared" si="2"/>
        <v>65.494799999999998</v>
      </c>
      <c r="V84" s="568">
        <v>2547.9699999999998</v>
      </c>
      <c r="W84" s="567">
        <v>127.39849999999998</v>
      </c>
      <c r="X84" s="567">
        <v>25.479699999999998</v>
      </c>
      <c r="Y84" s="522">
        <v>101.91879999999999</v>
      </c>
      <c r="Z84" s="572">
        <f>(Y84-U84)/Y84</f>
        <v>0.35738254375051509</v>
      </c>
      <c r="AA84" s="412">
        <v>56.650000000000006</v>
      </c>
      <c r="AB84" s="560">
        <f t="shared" si="3"/>
        <v>14.275799999999998</v>
      </c>
      <c r="AC84" s="568">
        <v>856.81999999999994</v>
      </c>
      <c r="AD84" s="567">
        <v>42.840999999999994</v>
      </c>
      <c r="AE84" s="567">
        <v>8.5681999999999992</v>
      </c>
      <c r="AF84" s="522">
        <v>34.272799999999997</v>
      </c>
      <c r="AG84" s="572">
        <f>(AF84-AB84)/AF84</f>
        <v>0.58346560537802583</v>
      </c>
    </row>
    <row r="85" spans="2:33" x14ac:dyDescent="0.25">
      <c r="B85" s="231">
        <v>30</v>
      </c>
      <c r="C85" s="515">
        <v>1</v>
      </c>
      <c r="D85" s="516" t="s">
        <v>298</v>
      </c>
      <c r="E85" s="517" t="s">
        <v>131</v>
      </c>
      <c r="F85" s="517" t="s">
        <v>116</v>
      </c>
      <c r="G85" s="518">
        <v>2</v>
      </c>
      <c r="H85" s="517" t="s">
        <v>663</v>
      </c>
      <c r="I85" s="517" t="s">
        <v>689</v>
      </c>
      <c r="J85" s="517" t="s">
        <v>709</v>
      </c>
      <c r="K85" s="519" t="s">
        <v>665</v>
      </c>
      <c r="L85" s="517" t="s">
        <v>122</v>
      </c>
      <c r="M85" s="519" t="s">
        <v>264</v>
      </c>
      <c r="N85" s="520">
        <v>72</v>
      </c>
      <c r="O85" s="520">
        <v>96</v>
      </c>
      <c r="P85" s="197" t="s">
        <v>287</v>
      </c>
      <c r="Q85" s="178" t="s">
        <v>274</v>
      </c>
      <c r="R85" s="176" t="s">
        <v>190</v>
      </c>
      <c r="S85" s="179" t="s">
        <v>289</v>
      </c>
      <c r="T85" s="411">
        <v>299.90000000000003</v>
      </c>
      <c r="U85" s="560">
        <f t="shared" si="2"/>
        <v>75.574799999999996</v>
      </c>
      <c r="V85" s="568">
        <v>3349.92</v>
      </c>
      <c r="W85" s="567">
        <v>167.49600000000001</v>
      </c>
      <c r="X85" s="567">
        <v>33.499200000000002</v>
      </c>
      <c r="Y85" s="522">
        <v>133.99680000000001</v>
      </c>
      <c r="Z85" s="572">
        <f>(Y85-U85)/Y85</f>
        <v>0.43599548645937819</v>
      </c>
      <c r="AA85" s="412">
        <v>56.650000000000006</v>
      </c>
      <c r="AB85" s="560">
        <f t="shared" si="3"/>
        <v>14.275799999999998</v>
      </c>
      <c r="AC85" s="568">
        <v>856.81999999999994</v>
      </c>
      <c r="AD85" s="567">
        <v>42.840999999999994</v>
      </c>
      <c r="AE85" s="567">
        <v>8.5681999999999992</v>
      </c>
      <c r="AF85" s="522">
        <v>34.272799999999997</v>
      </c>
      <c r="AG85" s="572">
        <f>(AF85-AB85)/AF85</f>
        <v>0.58346560537802583</v>
      </c>
    </row>
    <row r="86" spans="2:33" x14ac:dyDescent="0.25">
      <c r="B86" s="231">
        <v>31</v>
      </c>
      <c r="C86" s="553">
        <v>1</v>
      </c>
      <c r="D86" s="554" t="s">
        <v>298</v>
      </c>
      <c r="E86" s="555" t="s">
        <v>131</v>
      </c>
      <c r="F86" s="555" t="s">
        <v>116</v>
      </c>
      <c r="G86" s="556">
        <v>2</v>
      </c>
      <c r="H86" s="555" t="s">
        <v>187</v>
      </c>
      <c r="I86" s="555" t="s">
        <v>323</v>
      </c>
      <c r="J86" s="555" t="s">
        <v>709</v>
      </c>
      <c r="K86" s="557" t="s">
        <v>665</v>
      </c>
      <c r="L86" s="555" t="s">
        <v>122</v>
      </c>
      <c r="M86" s="557" t="s">
        <v>264</v>
      </c>
      <c r="N86" s="558">
        <v>98</v>
      </c>
      <c r="O86" s="558">
        <v>96</v>
      </c>
      <c r="P86" s="197" t="s">
        <v>287</v>
      </c>
      <c r="Q86" s="178" t="s">
        <v>274</v>
      </c>
      <c r="R86" s="176" t="s">
        <v>190</v>
      </c>
      <c r="S86" s="179" t="s">
        <v>289</v>
      </c>
      <c r="T86" s="411">
        <v>161.20000000000002</v>
      </c>
      <c r="U86" s="560">
        <f t="shared" si="2"/>
        <v>40.622399999999992</v>
      </c>
      <c r="V86" s="568"/>
      <c r="W86" s="568"/>
      <c r="X86" s="567"/>
      <c r="Y86" s="522"/>
      <c r="Z86" s="522"/>
      <c r="AA86" s="412">
        <v>74.7</v>
      </c>
      <c r="AB86" s="560">
        <f t="shared" si="3"/>
        <v>18.824399999999997</v>
      </c>
      <c r="AC86" s="568"/>
      <c r="AD86" s="568"/>
      <c r="AE86" s="567"/>
      <c r="AF86" s="522"/>
      <c r="AG86" s="522"/>
    </row>
    <row r="87" spans="2:33" x14ac:dyDescent="0.25">
      <c r="B87" s="231">
        <v>32</v>
      </c>
      <c r="C87" s="509">
        <v>1</v>
      </c>
      <c r="D87" s="510" t="s">
        <v>298</v>
      </c>
      <c r="E87" s="511" t="s">
        <v>131</v>
      </c>
      <c r="F87" s="511" t="s">
        <v>116</v>
      </c>
      <c r="G87" s="512">
        <v>2</v>
      </c>
      <c r="H87" s="511" t="s">
        <v>691</v>
      </c>
      <c r="I87" s="511" t="s">
        <v>323</v>
      </c>
      <c r="J87" s="511" t="s">
        <v>709</v>
      </c>
      <c r="K87" s="513" t="s">
        <v>665</v>
      </c>
      <c r="L87" s="511" t="s">
        <v>122</v>
      </c>
      <c r="M87" s="513" t="s">
        <v>264</v>
      </c>
      <c r="N87" s="514">
        <v>98</v>
      </c>
      <c r="O87" s="514">
        <v>96</v>
      </c>
      <c r="P87" s="197" t="s">
        <v>287</v>
      </c>
      <c r="Q87" s="178" t="s">
        <v>274</v>
      </c>
      <c r="R87" s="176" t="s">
        <v>190</v>
      </c>
      <c r="S87" s="179" t="s">
        <v>289</v>
      </c>
      <c r="T87" s="411">
        <v>288.95</v>
      </c>
      <c r="U87" s="560">
        <f t="shared" si="2"/>
        <v>72.815399999999983</v>
      </c>
      <c r="V87" s="570">
        <v>4056.24</v>
      </c>
      <c r="W87" s="570" t="s">
        <v>698</v>
      </c>
      <c r="X87" s="568"/>
      <c r="Y87" s="522"/>
      <c r="Z87" s="573">
        <f>AVERAGE(Z88:Z91)</f>
        <v>0.41195247288138198</v>
      </c>
      <c r="AA87" s="412">
        <v>74.7</v>
      </c>
      <c r="AB87" s="560">
        <f t="shared" si="3"/>
        <v>18.824399999999997</v>
      </c>
      <c r="AC87" s="568"/>
      <c r="AD87" s="568"/>
      <c r="AE87" s="567"/>
      <c r="AF87" s="522"/>
      <c r="AG87" s="573">
        <f>AVERAGE(AG88:AG91)</f>
        <v>0.51464991800996263</v>
      </c>
    </row>
    <row r="88" spans="2:33" x14ac:dyDescent="0.25">
      <c r="B88" s="231">
        <v>33</v>
      </c>
      <c r="C88" s="515">
        <v>1</v>
      </c>
      <c r="D88" s="516" t="s">
        <v>298</v>
      </c>
      <c r="E88" s="517" t="s">
        <v>131</v>
      </c>
      <c r="F88" s="517" t="s">
        <v>116</v>
      </c>
      <c r="G88" s="518">
        <v>2</v>
      </c>
      <c r="H88" s="517" t="s">
        <v>663</v>
      </c>
      <c r="I88" s="517" t="s">
        <v>681</v>
      </c>
      <c r="J88" s="517" t="s">
        <v>709</v>
      </c>
      <c r="K88" s="519" t="s">
        <v>665</v>
      </c>
      <c r="L88" s="517" t="s">
        <v>122</v>
      </c>
      <c r="M88" s="519" t="s">
        <v>264</v>
      </c>
      <c r="N88" s="520">
        <v>98</v>
      </c>
      <c r="O88" s="520">
        <v>96</v>
      </c>
      <c r="P88" s="197" t="s">
        <v>287</v>
      </c>
      <c r="Q88" s="178" t="s">
        <v>274</v>
      </c>
      <c r="R88" s="176" t="s">
        <v>190</v>
      </c>
      <c r="S88" s="179" t="s">
        <v>289</v>
      </c>
      <c r="T88" s="411">
        <v>238.55</v>
      </c>
      <c r="U88" s="560">
        <f t="shared" si="2"/>
        <v>60.114599999999989</v>
      </c>
      <c r="V88" s="568">
        <v>2854.44</v>
      </c>
      <c r="W88" s="567">
        <v>142.72200000000001</v>
      </c>
      <c r="X88" s="567">
        <v>28.544400000000003</v>
      </c>
      <c r="Y88" s="522">
        <v>114.17760000000001</v>
      </c>
      <c r="Z88" s="572">
        <f>(Y88-U88)/Y88</f>
        <v>0.4734991802244925</v>
      </c>
      <c r="AA88" s="412">
        <v>74.7</v>
      </c>
      <c r="AB88" s="560">
        <f t="shared" si="3"/>
        <v>18.824399999999997</v>
      </c>
      <c r="AC88" s="568">
        <v>969.63</v>
      </c>
      <c r="AD88" s="567">
        <v>48.481499999999997</v>
      </c>
      <c r="AE88" s="567">
        <v>9.6963000000000008</v>
      </c>
      <c r="AF88" s="522">
        <v>38.785199999999996</v>
      </c>
      <c r="AG88" s="572">
        <f>(AF88-AB88)/AF88</f>
        <v>0.51464991800996263</v>
      </c>
    </row>
    <row r="89" spans="2:33" x14ac:dyDescent="0.25">
      <c r="B89" s="231">
        <v>34</v>
      </c>
      <c r="C89" s="515">
        <v>1</v>
      </c>
      <c r="D89" s="516" t="s">
        <v>298</v>
      </c>
      <c r="E89" s="517" t="s">
        <v>131</v>
      </c>
      <c r="F89" s="517" t="s">
        <v>116</v>
      </c>
      <c r="G89" s="518">
        <v>2</v>
      </c>
      <c r="H89" s="517" t="s">
        <v>663</v>
      </c>
      <c r="I89" s="517" t="s">
        <v>685</v>
      </c>
      <c r="J89" s="517" t="s">
        <v>709</v>
      </c>
      <c r="K89" s="519" t="s">
        <v>665</v>
      </c>
      <c r="L89" s="517" t="s">
        <v>122</v>
      </c>
      <c r="M89" s="519" t="s">
        <v>264</v>
      </c>
      <c r="N89" s="520">
        <v>98</v>
      </c>
      <c r="O89" s="520">
        <v>96</v>
      </c>
      <c r="P89" s="197" t="s">
        <v>287</v>
      </c>
      <c r="Q89" s="178" t="s">
        <v>274</v>
      </c>
      <c r="R89" s="176" t="s">
        <v>190</v>
      </c>
      <c r="S89" s="179" t="s">
        <v>289</v>
      </c>
      <c r="T89" s="411">
        <v>284.40000000000003</v>
      </c>
      <c r="U89" s="560">
        <f t="shared" si="2"/>
        <v>71.668800000000005</v>
      </c>
      <c r="V89" s="568">
        <v>3180.51</v>
      </c>
      <c r="W89" s="567">
        <v>159.02550000000002</v>
      </c>
      <c r="X89" s="567">
        <v>31.805100000000007</v>
      </c>
      <c r="Y89" s="522">
        <v>127.22040000000001</v>
      </c>
      <c r="Z89" s="572">
        <f>(Y89-U89)/Y89</f>
        <v>0.4366563852966977</v>
      </c>
      <c r="AA89" s="412">
        <v>74.7</v>
      </c>
      <c r="AB89" s="560">
        <f t="shared" si="3"/>
        <v>18.824399999999997</v>
      </c>
      <c r="AC89" s="568">
        <v>969.63</v>
      </c>
      <c r="AD89" s="567">
        <v>48.481499999999997</v>
      </c>
      <c r="AE89" s="567">
        <v>9.6963000000000008</v>
      </c>
      <c r="AF89" s="522">
        <v>38.785199999999996</v>
      </c>
      <c r="AG89" s="572">
        <f>(AF89-AB89)/AF89</f>
        <v>0.51464991800996263</v>
      </c>
    </row>
    <row r="90" spans="2:33" x14ac:dyDescent="0.25">
      <c r="B90" s="231">
        <v>35</v>
      </c>
      <c r="C90" s="515">
        <v>1</v>
      </c>
      <c r="D90" s="516" t="s">
        <v>298</v>
      </c>
      <c r="E90" s="517" t="s">
        <v>131</v>
      </c>
      <c r="F90" s="517" t="s">
        <v>116</v>
      </c>
      <c r="G90" s="518">
        <v>2</v>
      </c>
      <c r="H90" s="517" t="s">
        <v>663</v>
      </c>
      <c r="I90" s="517" t="s">
        <v>687</v>
      </c>
      <c r="J90" s="517" t="s">
        <v>709</v>
      </c>
      <c r="K90" s="519" t="s">
        <v>665</v>
      </c>
      <c r="L90" s="517" t="s">
        <v>122</v>
      </c>
      <c r="M90" s="519" t="s">
        <v>264</v>
      </c>
      <c r="N90" s="520">
        <v>98</v>
      </c>
      <c r="O90" s="520">
        <v>96</v>
      </c>
      <c r="P90" s="197" t="s">
        <v>287</v>
      </c>
      <c r="Q90" s="178" t="s">
        <v>274</v>
      </c>
      <c r="R90" s="176" t="s">
        <v>190</v>
      </c>
      <c r="S90" s="179" t="s">
        <v>289</v>
      </c>
      <c r="T90" s="411">
        <v>339.3</v>
      </c>
      <c r="U90" s="560">
        <f t="shared" si="2"/>
        <v>85.503599999999992</v>
      </c>
      <c r="V90" s="568">
        <v>3177.78</v>
      </c>
      <c r="W90" s="567">
        <v>158.88900000000001</v>
      </c>
      <c r="X90" s="567">
        <v>31.777800000000003</v>
      </c>
      <c r="Y90" s="522">
        <v>127.11120000000001</v>
      </c>
      <c r="Z90" s="572">
        <f>(Y90-U90)/Y90</f>
        <v>0.3273322885788193</v>
      </c>
      <c r="AA90" s="412">
        <v>74.7</v>
      </c>
      <c r="AB90" s="560">
        <f t="shared" si="3"/>
        <v>18.824399999999997</v>
      </c>
      <c r="AC90" s="568">
        <v>969.63</v>
      </c>
      <c r="AD90" s="567">
        <v>48.481499999999997</v>
      </c>
      <c r="AE90" s="567">
        <v>9.6963000000000008</v>
      </c>
      <c r="AF90" s="522">
        <v>38.785199999999996</v>
      </c>
      <c r="AG90" s="572">
        <f>(AF90-AB90)/AF90</f>
        <v>0.51464991800996263</v>
      </c>
    </row>
    <row r="91" spans="2:33" x14ac:dyDescent="0.25">
      <c r="B91" s="231">
        <v>36</v>
      </c>
      <c r="C91" s="515">
        <v>1</v>
      </c>
      <c r="D91" s="516" t="s">
        <v>298</v>
      </c>
      <c r="E91" s="517" t="s">
        <v>131</v>
      </c>
      <c r="F91" s="517" t="s">
        <v>116</v>
      </c>
      <c r="G91" s="518">
        <v>2</v>
      </c>
      <c r="H91" s="517" t="s">
        <v>663</v>
      </c>
      <c r="I91" s="517" t="s">
        <v>689</v>
      </c>
      <c r="J91" s="517" t="s">
        <v>709</v>
      </c>
      <c r="K91" s="519" t="s">
        <v>665</v>
      </c>
      <c r="L91" s="517" t="s">
        <v>122</v>
      </c>
      <c r="M91" s="519" t="s">
        <v>264</v>
      </c>
      <c r="N91" s="520">
        <v>98</v>
      </c>
      <c r="O91" s="520">
        <v>96</v>
      </c>
      <c r="P91" s="197" t="s">
        <v>287</v>
      </c>
      <c r="Q91" s="178" t="s">
        <v>274</v>
      </c>
      <c r="R91" s="176" t="s">
        <v>190</v>
      </c>
      <c r="S91" s="179" t="s">
        <v>289</v>
      </c>
      <c r="T91" s="411">
        <v>391.3</v>
      </c>
      <c r="U91" s="560">
        <f t="shared" si="2"/>
        <v>98.607599999999977</v>
      </c>
      <c r="V91" s="568">
        <v>4180.57</v>
      </c>
      <c r="W91" s="567">
        <v>209.02849999999998</v>
      </c>
      <c r="X91" s="567">
        <v>41.805700000000002</v>
      </c>
      <c r="Y91" s="522">
        <v>167.22279999999998</v>
      </c>
      <c r="Z91" s="572">
        <f>(Y91-U91)/Y91</f>
        <v>0.41032203742551859</v>
      </c>
      <c r="AA91" s="412">
        <v>74.7</v>
      </c>
      <c r="AB91" s="560">
        <f t="shared" si="3"/>
        <v>18.824399999999997</v>
      </c>
      <c r="AC91" s="568">
        <v>969.63</v>
      </c>
      <c r="AD91" s="567">
        <v>48.481499999999997</v>
      </c>
      <c r="AE91" s="567">
        <v>9.6963000000000008</v>
      </c>
      <c r="AF91" s="522">
        <v>38.785199999999996</v>
      </c>
      <c r="AG91" s="572">
        <f>(AF91-AB91)/AF91</f>
        <v>0.51464991800996263</v>
      </c>
    </row>
    <row r="92" spans="2:33" x14ac:dyDescent="0.25">
      <c r="B92" s="231">
        <v>37</v>
      </c>
      <c r="C92" s="553">
        <v>1</v>
      </c>
      <c r="D92" s="554" t="s">
        <v>298</v>
      </c>
      <c r="E92" s="555" t="s">
        <v>131</v>
      </c>
      <c r="F92" s="555" t="s">
        <v>116</v>
      </c>
      <c r="G92" s="556">
        <v>2</v>
      </c>
      <c r="H92" s="555" t="s">
        <v>187</v>
      </c>
      <c r="I92" s="555" t="s">
        <v>323</v>
      </c>
      <c r="J92" s="555" t="s">
        <v>709</v>
      </c>
      <c r="K92" s="557" t="s">
        <v>665</v>
      </c>
      <c r="L92" s="555" t="s">
        <v>122</v>
      </c>
      <c r="M92" s="557" t="s">
        <v>264</v>
      </c>
      <c r="N92" s="558">
        <v>124</v>
      </c>
      <c r="O92" s="558">
        <v>96</v>
      </c>
      <c r="P92" s="197" t="s">
        <v>287</v>
      </c>
      <c r="Q92" s="178" t="s">
        <v>274</v>
      </c>
      <c r="R92" s="176" t="s">
        <v>190</v>
      </c>
      <c r="S92" s="179" t="s">
        <v>289</v>
      </c>
      <c r="T92" s="411">
        <v>199.5</v>
      </c>
      <c r="U92" s="560">
        <f t="shared" si="2"/>
        <v>50.273999999999987</v>
      </c>
      <c r="V92" s="568"/>
      <c r="W92" s="568"/>
      <c r="X92" s="567"/>
      <c r="Y92" s="522"/>
      <c r="Z92" s="522"/>
      <c r="AA92" s="412">
        <v>92.7</v>
      </c>
      <c r="AB92" s="560">
        <f t="shared" si="3"/>
        <v>23.360399999999998</v>
      </c>
      <c r="AC92" s="568"/>
      <c r="AD92" s="568"/>
      <c r="AE92" s="567"/>
      <c r="AF92" s="522"/>
      <c r="AG92" s="522"/>
    </row>
    <row r="93" spans="2:33" x14ac:dyDescent="0.25">
      <c r="B93" s="231">
        <v>38</v>
      </c>
      <c r="C93" s="509">
        <v>1</v>
      </c>
      <c r="D93" s="510" t="s">
        <v>298</v>
      </c>
      <c r="E93" s="511" t="s">
        <v>131</v>
      </c>
      <c r="F93" s="511" t="s">
        <v>116</v>
      </c>
      <c r="G93" s="512">
        <v>2</v>
      </c>
      <c r="H93" s="511" t="s">
        <v>691</v>
      </c>
      <c r="I93" s="511" t="s">
        <v>323</v>
      </c>
      <c r="J93" s="511" t="s">
        <v>709</v>
      </c>
      <c r="K93" s="513" t="s">
        <v>665</v>
      </c>
      <c r="L93" s="511" t="s">
        <v>122</v>
      </c>
      <c r="M93" s="513" t="s">
        <v>264</v>
      </c>
      <c r="N93" s="514">
        <v>124</v>
      </c>
      <c r="O93" s="514">
        <v>96</v>
      </c>
      <c r="P93" s="197" t="s">
        <v>287</v>
      </c>
      <c r="Q93" s="178" t="s">
        <v>274</v>
      </c>
      <c r="R93" s="176" t="s">
        <v>190</v>
      </c>
      <c r="S93" s="179" t="s">
        <v>289</v>
      </c>
      <c r="T93" s="411">
        <v>356.70000000000005</v>
      </c>
      <c r="U93" s="560">
        <f t="shared" si="2"/>
        <v>89.888400000000004</v>
      </c>
      <c r="V93" s="570">
        <v>4289.87</v>
      </c>
      <c r="W93" s="570" t="s">
        <v>698</v>
      </c>
      <c r="X93" s="568"/>
      <c r="Y93" s="522"/>
      <c r="Z93" s="573">
        <f>AVERAGE(Z94:Z97)</f>
        <v>0.39433777170630135</v>
      </c>
      <c r="AA93" s="412">
        <v>92.7</v>
      </c>
      <c r="AB93" s="560">
        <f t="shared" si="3"/>
        <v>23.360399999999998</v>
      </c>
      <c r="AC93" s="568"/>
      <c r="AD93" s="568"/>
      <c r="AE93" s="567"/>
      <c r="AF93" s="522"/>
      <c r="AG93" s="573">
        <f>AVERAGE(AG94:AG97)</f>
        <v>0.45357834560577848</v>
      </c>
    </row>
    <row r="94" spans="2:33" x14ac:dyDescent="0.25">
      <c r="B94" s="231">
        <v>39</v>
      </c>
      <c r="C94" s="515">
        <v>1</v>
      </c>
      <c r="D94" s="516" t="s">
        <v>298</v>
      </c>
      <c r="E94" s="517" t="s">
        <v>131</v>
      </c>
      <c r="F94" s="517" t="s">
        <v>116</v>
      </c>
      <c r="G94" s="518">
        <v>2</v>
      </c>
      <c r="H94" s="517" t="s">
        <v>663</v>
      </c>
      <c r="I94" s="517" t="s">
        <v>681</v>
      </c>
      <c r="J94" s="517" t="s">
        <v>709</v>
      </c>
      <c r="K94" s="519" t="s">
        <v>665</v>
      </c>
      <c r="L94" s="517" t="s">
        <v>122</v>
      </c>
      <c r="M94" s="519" t="s">
        <v>264</v>
      </c>
      <c r="N94" s="520">
        <v>124</v>
      </c>
      <c r="O94" s="520">
        <v>96</v>
      </c>
      <c r="P94" s="197" t="s">
        <v>287</v>
      </c>
      <c r="Q94" s="178" t="s">
        <v>274</v>
      </c>
      <c r="R94" s="176" t="s">
        <v>190</v>
      </c>
      <c r="S94" s="179" t="s">
        <v>289</v>
      </c>
      <c r="T94" s="411">
        <v>294.7</v>
      </c>
      <c r="U94" s="560">
        <f t="shared" si="2"/>
        <v>74.264399999999995</v>
      </c>
      <c r="V94" s="568">
        <v>3419.28</v>
      </c>
      <c r="W94" s="567">
        <v>170.964</v>
      </c>
      <c r="X94" s="567">
        <v>34.192799999999998</v>
      </c>
      <c r="Y94" s="522">
        <v>136.77119999999999</v>
      </c>
      <c r="Z94" s="572">
        <f>(Y94-U94)/Y94</f>
        <v>0.45701726679300908</v>
      </c>
      <c r="AA94" s="412">
        <v>92.7</v>
      </c>
      <c r="AB94" s="560">
        <f t="shared" si="3"/>
        <v>23.360399999999998</v>
      </c>
      <c r="AC94" s="568">
        <v>1068.79</v>
      </c>
      <c r="AD94" s="567">
        <v>53.439499999999995</v>
      </c>
      <c r="AE94" s="567">
        <v>10.687899999999999</v>
      </c>
      <c r="AF94" s="522">
        <v>42.751599999999996</v>
      </c>
      <c r="AG94" s="572">
        <f>(AF94-AB94)/AF94</f>
        <v>0.45357834560577848</v>
      </c>
    </row>
    <row r="95" spans="2:33" x14ac:dyDescent="0.25">
      <c r="B95" s="231">
        <v>40</v>
      </c>
      <c r="C95" s="515">
        <v>1</v>
      </c>
      <c r="D95" s="516" t="s">
        <v>298</v>
      </c>
      <c r="E95" s="517" t="s">
        <v>131</v>
      </c>
      <c r="F95" s="517" t="s">
        <v>116</v>
      </c>
      <c r="G95" s="518">
        <v>2</v>
      </c>
      <c r="H95" s="517" t="s">
        <v>663</v>
      </c>
      <c r="I95" s="517" t="s">
        <v>685</v>
      </c>
      <c r="J95" s="517" t="s">
        <v>709</v>
      </c>
      <c r="K95" s="519" t="s">
        <v>665</v>
      </c>
      <c r="L95" s="517" t="s">
        <v>122</v>
      </c>
      <c r="M95" s="519" t="s">
        <v>264</v>
      </c>
      <c r="N95" s="520">
        <v>124</v>
      </c>
      <c r="O95" s="520">
        <v>96</v>
      </c>
      <c r="P95" s="197" t="s">
        <v>287</v>
      </c>
      <c r="Q95" s="178" t="s">
        <v>274</v>
      </c>
      <c r="R95" s="176" t="s">
        <v>190</v>
      </c>
      <c r="S95" s="179" t="s">
        <v>289</v>
      </c>
      <c r="T95" s="411">
        <v>351.1</v>
      </c>
      <c r="U95" s="560">
        <f t="shared" si="2"/>
        <v>88.477199999999996</v>
      </c>
      <c r="V95" s="568">
        <v>3811.7</v>
      </c>
      <c r="W95" s="567">
        <v>190.58499999999998</v>
      </c>
      <c r="X95" s="567">
        <v>38.116999999999997</v>
      </c>
      <c r="Y95" s="522">
        <v>152.46799999999999</v>
      </c>
      <c r="Z95" s="572">
        <f>(Y95-U95)/Y95</f>
        <v>0.41969987144843507</v>
      </c>
      <c r="AA95" s="412">
        <v>92.7</v>
      </c>
      <c r="AB95" s="560">
        <f t="shared" si="3"/>
        <v>23.360399999999998</v>
      </c>
      <c r="AC95" s="568">
        <v>1068.79</v>
      </c>
      <c r="AD95" s="567">
        <v>53.439499999999995</v>
      </c>
      <c r="AE95" s="567">
        <v>10.687899999999999</v>
      </c>
      <c r="AF95" s="522">
        <v>42.751599999999996</v>
      </c>
      <c r="AG95" s="572">
        <f>(AF95-AB95)/AF95</f>
        <v>0.45357834560577848</v>
      </c>
    </row>
    <row r="96" spans="2:33" x14ac:dyDescent="0.25">
      <c r="B96" s="231">
        <v>41</v>
      </c>
      <c r="C96" s="515">
        <v>1</v>
      </c>
      <c r="D96" s="516" t="s">
        <v>298</v>
      </c>
      <c r="E96" s="517" t="s">
        <v>131</v>
      </c>
      <c r="F96" s="517" t="s">
        <v>116</v>
      </c>
      <c r="G96" s="518">
        <v>2</v>
      </c>
      <c r="H96" s="517" t="s">
        <v>663</v>
      </c>
      <c r="I96" s="517" t="s">
        <v>687</v>
      </c>
      <c r="J96" s="517" t="s">
        <v>709</v>
      </c>
      <c r="K96" s="519" t="s">
        <v>665</v>
      </c>
      <c r="L96" s="517" t="s">
        <v>122</v>
      </c>
      <c r="M96" s="519" t="s">
        <v>264</v>
      </c>
      <c r="N96" s="520">
        <v>124</v>
      </c>
      <c r="O96" s="520">
        <v>96</v>
      </c>
      <c r="P96" s="197" t="s">
        <v>287</v>
      </c>
      <c r="Q96" s="178" t="s">
        <v>274</v>
      </c>
      <c r="R96" s="176" t="s">
        <v>190</v>
      </c>
      <c r="S96" s="179" t="s">
        <v>289</v>
      </c>
      <c r="T96" s="411">
        <v>418.70000000000005</v>
      </c>
      <c r="U96" s="560">
        <f t="shared" si="2"/>
        <v>105.5124</v>
      </c>
      <c r="V96" s="568">
        <v>3808.97</v>
      </c>
      <c r="W96" s="567">
        <v>190.4485</v>
      </c>
      <c r="X96" s="567">
        <v>38.089700000000001</v>
      </c>
      <c r="Y96" s="522">
        <v>152.3588</v>
      </c>
      <c r="Z96" s="572">
        <f>(Y96-U96)/Y96</f>
        <v>0.3074741990616886</v>
      </c>
      <c r="AA96" s="412">
        <v>92.7</v>
      </c>
      <c r="AB96" s="560">
        <f t="shared" si="3"/>
        <v>23.360399999999998</v>
      </c>
      <c r="AC96" s="568">
        <v>1068.79</v>
      </c>
      <c r="AD96" s="567">
        <v>53.439499999999995</v>
      </c>
      <c r="AE96" s="567">
        <v>10.687899999999999</v>
      </c>
      <c r="AF96" s="522">
        <v>42.751599999999996</v>
      </c>
      <c r="AG96" s="572">
        <f>(AF96-AB96)/AF96</f>
        <v>0.45357834560577848</v>
      </c>
    </row>
    <row r="97" spans="2:33" x14ac:dyDescent="0.25">
      <c r="B97" s="231">
        <v>42</v>
      </c>
      <c r="C97" s="515">
        <v>1</v>
      </c>
      <c r="D97" s="516" t="s">
        <v>298</v>
      </c>
      <c r="E97" s="517" t="s">
        <v>131</v>
      </c>
      <c r="F97" s="517" t="s">
        <v>116</v>
      </c>
      <c r="G97" s="518">
        <v>2</v>
      </c>
      <c r="H97" s="517" t="s">
        <v>663</v>
      </c>
      <c r="I97" s="517" t="s">
        <v>689</v>
      </c>
      <c r="J97" s="517" t="s">
        <v>709</v>
      </c>
      <c r="K97" s="519" t="s">
        <v>665</v>
      </c>
      <c r="L97" s="517" t="s">
        <v>122</v>
      </c>
      <c r="M97" s="519" t="s">
        <v>264</v>
      </c>
      <c r="N97" s="520">
        <v>124</v>
      </c>
      <c r="O97" s="520">
        <v>96</v>
      </c>
      <c r="P97" s="197" t="s">
        <v>287</v>
      </c>
      <c r="Q97" s="178" t="s">
        <v>274</v>
      </c>
      <c r="R97" s="176" t="s">
        <v>190</v>
      </c>
      <c r="S97" s="179" t="s">
        <v>289</v>
      </c>
      <c r="T97" s="411">
        <v>482.70000000000005</v>
      </c>
      <c r="U97" s="560">
        <f t="shared" si="2"/>
        <v>121.64039999999999</v>
      </c>
      <c r="V97" s="568">
        <v>5011.22</v>
      </c>
      <c r="W97" s="567">
        <v>250.56100000000001</v>
      </c>
      <c r="X97" s="567">
        <v>50.112200000000001</v>
      </c>
      <c r="Y97" s="522">
        <v>200.44880000000001</v>
      </c>
      <c r="Z97" s="572">
        <f>(Y97-U97)/Y97</f>
        <v>0.39315974952207255</v>
      </c>
      <c r="AA97" s="412">
        <v>92.7</v>
      </c>
      <c r="AB97" s="560">
        <f t="shared" si="3"/>
        <v>23.360399999999998</v>
      </c>
      <c r="AC97" s="568">
        <v>1068.79</v>
      </c>
      <c r="AD97" s="567">
        <v>53.439499999999995</v>
      </c>
      <c r="AE97" s="567">
        <v>10.687899999999999</v>
      </c>
      <c r="AF97" s="522">
        <v>42.751599999999996</v>
      </c>
      <c r="AG97" s="572">
        <f>(AF97-AB97)/AF97</f>
        <v>0.45357834560577848</v>
      </c>
    </row>
    <row r="98" spans="2:33" x14ac:dyDescent="0.25">
      <c r="B98" s="231">
        <v>43</v>
      </c>
      <c r="C98" s="553">
        <v>1</v>
      </c>
      <c r="D98" s="554" t="s">
        <v>298</v>
      </c>
      <c r="E98" s="555" t="s">
        <v>131</v>
      </c>
      <c r="F98" s="555" t="s">
        <v>116</v>
      </c>
      <c r="G98" s="556">
        <v>2</v>
      </c>
      <c r="H98" s="555" t="s">
        <v>187</v>
      </c>
      <c r="I98" s="555" t="s">
        <v>323</v>
      </c>
      <c r="J98" s="555" t="s">
        <v>709</v>
      </c>
      <c r="K98" s="557" t="s">
        <v>665</v>
      </c>
      <c r="L98" s="555" t="s">
        <v>122</v>
      </c>
      <c r="M98" s="557" t="s">
        <v>264</v>
      </c>
      <c r="N98" s="558">
        <v>150</v>
      </c>
      <c r="O98" s="558">
        <v>96</v>
      </c>
      <c r="P98" s="197" t="s">
        <v>287</v>
      </c>
      <c r="Q98" s="178" t="s">
        <v>274</v>
      </c>
      <c r="R98" s="176" t="s">
        <v>190</v>
      </c>
      <c r="S98" s="179" t="s">
        <v>289</v>
      </c>
      <c r="T98" s="411">
        <v>241.8</v>
      </c>
      <c r="U98" s="560">
        <f t="shared" si="2"/>
        <v>60.933599999999998</v>
      </c>
      <c r="V98" s="568"/>
      <c r="W98" s="568"/>
      <c r="X98" s="567"/>
      <c r="Y98" s="522"/>
      <c r="Z98" s="522"/>
      <c r="AA98" s="412">
        <v>110.7</v>
      </c>
      <c r="AB98" s="560">
        <f t="shared" si="3"/>
        <v>27.896399999999996</v>
      </c>
      <c r="AC98" s="568"/>
      <c r="AD98" s="568"/>
      <c r="AE98" s="567"/>
      <c r="AF98" s="522"/>
      <c r="AG98" s="522"/>
    </row>
    <row r="99" spans="2:33" x14ac:dyDescent="0.25">
      <c r="B99" s="231">
        <v>44</v>
      </c>
      <c r="C99" s="509">
        <v>1</v>
      </c>
      <c r="D99" s="510" t="s">
        <v>298</v>
      </c>
      <c r="E99" s="511" t="s">
        <v>131</v>
      </c>
      <c r="F99" s="511" t="s">
        <v>116</v>
      </c>
      <c r="G99" s="512">
        <v>2</v>
      </c>
      <c r="H99" s="511" t="s">
        <v>691</v>
      </c>
      <c r="I99" s="511" t="s">
        <v>323</v>
      </c>
      <c r="J99" s="511" t="s">
        <v>709</v>
      </c>
      <c r="K99" s="513" t="s">
        <v>665</v>
      </c>
      <c r="L99" s="511" t="s">
        <v>122</v>
      </c>
      <c r="M99" s="513" t="s">
        <v>264</v>
      </c>
      <c r="N99" s="514">
        <v>150</v>
      </c>
      <c r="O99" s="514">
        <v>96</v>
      </c>
      <c r="P99" s="197" t="s">
        <v>287</v>
      </c>
      <c r="Q99" s="178" t="s">
        <v>274</v>
      </c>
      <c r="R99" s="176" t="s">
        <v>190</v>
      </c>
      <c r="S99" s="179" t="s">
        <v>289</v>
      </c>
      <c r="T99" s="411">
        <v>433.40000000000003</v>
      </c>
      <c r="U99" s="560">
        <f t="shared" si="2"/>
        <v>109.21679999999999</v>
      </c>
      <c r="V99" s="570">
        <v>5743.5</v>
      </c>
      <c r="W99" s="570" t="s">
        <v>698</v>
      </c>
      <c r="X99" s="568"/>
      <c r="Y99" s="522"/>
      <c r="Z99" s="573">
        <f>AVERAGE(Z100:Z103)</f>
        <v>0.39693292475239411</v>
      </c>
      <c r="AA99" s="412">
        <v>110.7</v>
      </c>
      <c r="AB99" s="560">
        <f t="shared" si="3"/>
        <v>27.896399999999996</v>
      </c>
      <c r="AC99" s="568"/>
      <c r="AD99" s="568"/>
      <c r="AE99" s="567"/>
      <c r="AF99" s="522"/>
      <c r="AG99" s="573">
        <f>AVERAGE(AG100:AG103)</f>
        <v>0.42523838172393047</v>
      </c>
    </row>
    <row r="100" spans="2:33" x14ac:dyDescent="0.25">
      <c r="B100" s="231">
        <v>45</v>
      </c>
      <c r="C100" s="515">
        <v>1</v>
      </c>
      <c r="D100" s="516" t="s">
        <v>298</v>
      </c>
      <c r="E100" s="517" t="s">
        <v>131</v>
      </c>
      <c r="F100" s="517" t="s">
        <v>116</v>
      </c>
      <c r="G100" s="518">
        <v>2</v>
      </c>
      <c r="H100" s="517" t="s">
        <v>663</v>
      </c>
      <c r="I100" s="517" t="s">
        <v>681</v>
      </c>
      <c r="J100" s="517" t="s">
        <v>709</v>
      </c>
      <c r="K100" s="519" t="s">
        <v>665</v>
      </c>
      <c r="L100" s="517" t="s">
        <v>122</v>
      </c>
      <c r="M100" s="519" t="s">
        <v>264</v>
      </c>
      <c r="N100" s="520">
        <v>150</v>
      </c>
      <c r="O100" s="520">
        <v>96</v>
      </c>
      <c r="P100" s="197" t="s">
        <v>287</v>
      </c>
      <c r="Q100" s="178" t="s">
        <v>274</v>
      </c>
      <c r="R100" s="176" t="s">
        <v>190</v>
      </c>
      <c r="S100" s="179" t="s">
        <v>289</v>
      </c>
      <c r="T100" s="411">
        <v>357.85</v>
      </c>
      <c r="U100" s="560">
        <f t="shared" si="2"/>
        <v>90.17819999999999</v>
      </c>
      <c r="V100" s="568">
        <v>4172.04</v>
      </c>
      <c r="W100" s="567">
        <v>208.602</v>
      </c>
      <c r="X100" s="567">
        <v>41.720400000000005</v>
      </c>
      <c r="Y100" s="522">
        <v>166.88159999999999</v>
      </c>
      <c r="Z100" s="572">
        <f>(Y100-U100)/Y100</f>
        <v>0.45962766416429374</v>
      </c>
      <c r="AA100" s="412">
        <v>110.7</v>
      </c>
      <c r="AB100" s="560">
        <f t="shared" si="3"/>
        <v>27.896399999999996</v>
      </c>
      <c r="AC100" s="568">
        <v>1213.3899999999999</v>
      </c>
      <c r="AD100" s="567">
        <v>60.669499999999992</v>
      </c>
      <c r="AE100" s="567">
        <v>12.133899999999999</v>
      </c>
      <c r="AF100" s="522">
        <v>48.535599999999995</v>
      </c>
      <c r="AG100" s="572">
        <f>(AF100-AB100)/AF100</f>
        <v>0.42523838172393047</v>
      </c>
    </row>
    <row r="101" spans="2:33" x14ac:dyDescent="0.25">
      <c r="B101" s="231">
        <v>46</v>
      </c>
      <c r="C101" s="515">
        <v>1</v>
      </c>
      <c r="D101" s="516" t="s">
        <v>298</v>
      </c>
      <c r="E101" s="517" t="s">
        <v>131</v>
      </c>
      <c r="F101" s="517" t="s">
        <v>116</v>
      </c>
      <c r="G101" s="518">
        <v>2</v>
      </c>
      <c r="H101" s="517" t="s">
        <v>663</v>
      </c>
      <c r="I101" s="517" t="s">
        <v>685</v>
      </c>
      <c r="J101" s="517" t="s">
        <v>709</v>
      </c>
      <c r="K101" s="519" t="s">
        <v>665</v>
      </c>
      <c r="L101" s="517" t="s">
        <v>122</v>
      </c>
      <c r="M101" s="519" t="s">
        <v>264</v>
      </c>
      <c r="N101" s="520">
        <v>150</v>
      </c>
      <c r="O101" s="520">
        <v>96</v>
      </c>
      <c r="P101" s="197" t="s">
        <v>287</v>
      </c>
      <c r="Q101" s="178" t="s">
        <v>274</v>
      </c>
      <c r="R101" s="176" t="s">
        <v>190</v>
      </c>
      <c r="S101" s="179" t="s">
        <v>289</v>
      </c>
      <c r="T101" s="411">
        <v>426.6</v>
      </c>
      <c r="U101" s="560">
        <f t="shared" si="2"/>
        <v>107.50319999999999</v>
      </c>
      <c r="V101" s="568">
        <v>4651.92</v>
      </c>
      <c r="W101" s="567">
        <v>232.596</v>
      </c>
      <c r="X101" s="567">
        <v>46.519200000000005</v>
      </c>
      <c r="Y101" s="522">
        <v>186.07679999999999</v>
      </c>
      <c r="Z101" s="572">
        <f>(Y101-U101)/Y101</f>
        <v>0.42226435536294693</v>
      </c>
      <c r="AA101" s="412">
        <v>110.7</v>
      </c>
      <c r="AB101" s="560">
        <f t="shared" si="3"/>
        <v>27.896399999999996</v>
      </c>
      <c r="AC101" s="568">
        <v>1213.3899999999999</v>
      </c>
      <c r="AD101" s="567">
        <v>60.669499999999992</v>
      </c>
      <c r="AE101" s="567">
        <v>12.133899999999999</v>
      </c>
      <c r="AF101" s="522">
        <v>48.535599999999995</v>
      </c>
      <c r="AG101" s="572">
        <f>(AF101-AB101)/AF101</f>
        <v>0.42523838172393047</v>
      </c>
    </row>
    <row r="102" spans="2:33" x14ac:dyDescent="0.25">
      <c r="B102" s="231">
        <v>47</v>
      </c>
      <c r="C102" s="515">
        <v>1</v>
      </c>
      <c r="D102" s="516" t="s">
        <v>298</v>
      </c>
      <c r="E102" s="517" t="s">
        <v>131</v>
      </c>
      <c r="F102" s="517" t="s">
        <v>116</v>
      </c>
      <c r="G102" s="518">
        <v>2</v>
      </c>
      <c r="H102" s="517" t="s">
        <v>663</v>
      </c>
      <c r="I102" s="517" t="s">
        <v>687</v>
      </c>
      <c r="J102" s="517" t="s">
        <v>709</v>
      </c>
      <c r="K102" s="519" t="s">
        <v>665</v>
      </c>
      <c r="L102" s="517" t="s">
        <v>122</v>
      </c>
      <c r="M102" s="519" t="s">
        <v>264</v>
      </c>
      <c r="N102" s="520">
        <v>150</v>
      </c>
      <c r="O102" s="520">
        <v>96</v>
      </c>
      <c r="P102" s="197" t="s">
        <v>287</v>
      </c>
      <c r="Q102" s="178" t="s">
        <v>274</v>
      </c>
      <c r="R102" s="176" t="s">
        <v>190</v>
      </c>
      <c r="S102" s="179" t="s">
        <v>289</v>
      </c>
      <c r="T102" s="411">
        <v>508.95000000000005</v>
      </c>
      <c r="U102" s="560">
        <f t="shared" si="2"/>
        <v>128.25539999999998</v>
      </c>
      <c r="V102" s="568">
        <v>4647.8100000000004</v>
      </c>
      <c r="W102" s="567">
        <v>232.39050000000003</v>
      </c>
      <c r="X102" s="567">
        <v>46.478100000000012</v>
      </c>
      <c r="Y102" s="522">
        <v>185.91240000000002</v>
      </c>
      <c r="Z102" s="572">
        <f>(Y102-U102)/Y102</f>
        <v>0.31012993216159884</v>
      </c>
      <c r="AA102" s="412">
        <v>110.7</v>
      </c>
      <c r="AB102" s="560">
        <f t="shared" si="3"/>
        <v>27.896399999999996</v>
      </c>
      <c r="AC102" s="568">
        <v>1213.3899999999999</v>
      </c>
      <c r="AD102" s="567">
        <v>60.669499999999992</v>
      </c>
      <c r="AE102" s="567">
        <v>12.133899999999999</v>
      </c>
      <c r="AF102" s="522">
        <v>48.535599999999995</v>
      </c>
      <c r="AG102" s="572">
        <f>(AF102-AB102)/AF102</f>
        <v>0.42523838172393047</v>
      </c>
    </row>
    <row r="103" spans="2:33" x14ac:dyDescent="0.25">
      <c r="B103" s="231">
        <v>48</v>
      </c>
      <c r="C103" s="515">
        <v>1</v>
      </c>
      <c r="D103" s="516" t="s">
        <v>298</v>
      </c>
      <c r="E103" s="517" t="s">
        <v>131</v>
      </c>
      <c r="F103" s="517" t="s">
        <v>116</v>
      </c>
      <c r="G103" s="518">
        <v>2</v>
      </c>
      <c r="H103" s="517" t="s">
        <v>663</v>
      </c>
      <c r="I103" s="517" t="s">
        <v>689</v>
      </c>
      <c r="J103" s="517" t="s">
        <v>709</v>
      </c>
      <c r="K103" s="519" t="s">
        <v>665</v>
      </c>
      <c r="L103" s="517" t="s">
        <v>122</v>
      </c>
      <c r="M103" s="519" t="s">
        <v>264</v>
      </c>
      <c r="N103" s="520">
        <v>150</v>
      </c>
      <c r="O103" s="520">
        <v>96</v>
      </c>
      <c r="P103" s="197" t="s">
        <v>287</v>
      </c>
      <c r="Q103" s="178" t="s">
        <v>274</v>
      </c>
      <c r="R103" s="176" t="s">
        <v>190</v>
      </c>
      <c r="S103" s="179" t="s">
        <v>289</v>
      </c>
      <c r="T103" s="411">
        <v>586.95000000000005</v>
      </c>
      <c r="U103" s="560">
        <f t="shared" si="2"/>
        <v>147.91139999999999</v>
      </c>
      <c r="V103" s="568">
        <v>6119.22</v>
      </c>
      <c r="W103" s="567">
        <v>305.96100000000001</v>
      </c>
      <c r="X103" s="567">
        <v>61.192200000000007</v>
      </c>
      <c r="Y103" s="522">
        <v>244.7688</v>
      </c>
      <c r="Z103" s="572">
        <f>(Y103-U103)/Y103</f>
        <v>0.39570974732073699</v>
      </c>
      <c r="AA103" s="412">
        <v>110.7</v>
      </c>
      <c r="AB103" s="560">
        <f t="shared" si="3"/>
        <v>27.896399999999996</v>
      </c>
      <c r="AC103" s="568">
        <v>1213.3899999999999</v>
      </c>
      <c r="AD103" s="567">
        <v>60.669499999999992</v>
      </c>
      <c r="AE103" s="567">
        <v>12.133899999999999</v>
      </c>
      <c r="AF103" s="522">
        <v>48.535599999999995</v>
      </c>
      <c r="AG103" s="572">
        <f>(AF103-AB103)/AF103</f>
        <v>0.42523838172393047</v>
      </c>
    </row>
    <row r="105" spans="2:33" x14ac:dyDescent="0.25">
      <c r="B105" s="230">
        <v>1</v>
      </c>
      <c r="C105" s="547">
        <v>1</v>
      </c>
      <c r="D105" s="548" t="s">
        <v>298</v>
      </c>
      <c r="E105" s="549" t="s">
        <v>132</v>
      </c>
      <c r="F105" s="549" t="s">
        <v>136</v>
      </c>
      <c r="G105" s="550">
        <v>2</v>
      </c>
      <c r="H105" s="549" t="s">
        <v>187</v>
      </c>
      <c r="I105" s="549" t="s">
        <v>321</v>
      </c>
      <c r="J105" s="549" t="s">
        <v>709</v>
      </c>
      <c r="K105" s="551" t="s">
        <v>664</v>
      </c>
      <c r="L105" s="549" t="s">
        <v>122</v>
      </c>
      <c r="M105" s="551" t="s">
        <v>264</v>
      </c>
      <c r="N105" s="552">
        <v>72</v>
      </c>
      <c r="O105" s="552">
        <v>96</v>
      </c>
      <c r="P105" s="197" t="s">
        <v>266</v>
      </c>
      <c r="Q105" s="178" t="s">
        <v>342</v>
      </c>
      <c r="R105" s="176" t="s">
        <v>699</v>
      </c>
      <c r="S105" s="179" t="s">
        <v>271</v>
      </c>
      <c r="T105" s="411">
        <v>189.5</v>
      </c>
      <c r="U105" s="560">
        <f>T105*0.7*0.6*0.6</f>
        <v>47.753999999999998</v>
      </c>
      <c r="V105" s="567"/>
      <c r="W105" s="567"/>
      <c r="X105" s="567"/>
      <c r="Y105" s="522"/>
      <c r="Z105" s="634">
        <f>AVERAGE(Z107:Z110,Z113:Z116,Z119:Z122,Z125:Z128)</f>
        <v>0.46117011109019035</v>
      </c>
      <c r="AA105" s="412">
        <v>175.3</v>
      </c>
      <c r="AB105" s="560">
        <f t="shared" ref="AB105:AB152" si="4">AA105*0.7*0.6*0.6</f>
        <v>44.175599999999996</v>
      </c>
      <c r="AC105" s="567"/>
      <c r="AD105" s="567"/>
      <c r="AE105" s="567"/>
      <c r="AF105" s="522"/>
      <c r="AG105" s="634">
        <f>AVERAGE(AG107:AG110,AG113:AG116,AG119:AG122,AG125:AG128)</f>
        <v>0.78625950721922311</v>
      </c>
    </row>
    <row r="106" spans="2:33" x14ac:dyDescent="0.25">
      <c r="B106" s="231">
        <v>2</v>
      </c>
      <c r="C106" s="541">
        <v>1</v>
      </c>
      <c r="D106" s="542" t="s">
        <v>298</v>
      </c>
      <c r="E106" s="543" t="s">
        <v>132</v>
      </c>
      <c r="F106" s="543" t="s">
        <v>136</v>
      </c>
      <c r="G106" s="544">
        <v>2</v>
      </c>
      <c r="H106" s="543" t="s">
        <v>691</v>
      </c>
      <c r="I106" s="543" t="s">
        <v>321</v>
      </c>
      <c r="J106" s="543" t="s">
        <v>709</v>
      </c>
      <c r="K106" s="545" t="s">
        <v>664</v>
      </c>
      <c r="L106" s="543" t="s">
        <v>122</v>
      </c>
      <c r="M106" s="545" t="s">
        <v>264</v>
      </c>
      <c r="N106" s="546">
        <v>72</v>
      </c>
      <c r="O106" s="546">
        <v>96</v>
      </c>
      <c r="P106" s="197" t="s">
        <v>266</v>
      </c>
      <c r="Q106" s="178" t="s">
        <v>342</v>
      </c>
      <c r="R106" s="176" t="s">
        <v>699</v>
      </c>
      <c r="S106" s="179" t="s">
        <v>271</v>
      </c>
      <c r="T106" s="411">
        <v>382.70000000000005</v>
      </c>
      <c r="U106" s="560">
        <f t="shared" ref="U106:U152" si="5">T106*0.7*0.6*0.6</f>
        <v>96.440399999999997</v>
      </c>
      <c r="V106" s="567"/>
      <c r="W106" s="567"/>
      <c r="X106" s="567"/>
      <c r="Y106" s="522"/>
      <c r="Z106" s="573">
        <f>AVERAGE(Z107:Z110)</f>
        <v>0.49950137578629744</v>
      </c>
      <c r="AA106" s="412">
        <v>175.3</v>
      </c>
      <c r="AB106" s="560">
        <f t="shared" si="4"/>
        <v>44.175599999999996</v>
      </c>
      <c r="AC106" s="567"/>
      <c r="AD106" s="567"/>
      <c r="AE106" s="567"/>
      <c r="AF106" s="522"/>
      <c r="AG106" s="573">
        <f>AVERAGE(AG107:AG110)</f>
        <v>0.80962042685817415</v>
      </c>
    </row>
    <row r="107" spans="2:33" x14ac:dyDescent="0.25">
      <c r="B107" s="231">
        <v>3</v>
      </c>
      <c r="C107" s="503">
        <v>1</v>
      </c>
      <c r="D107" s="504" t="s">
        <v>298</v>
      </c>
      <c r="E107" s="505" t="s">
        <v>132</v>
      </c>
      <c r="F107" s="505" t="s">
        <v>136</v>
      </c>
      <c r="G107" s="506">
        <v>2</v>
      </c>
      <c r="H107" s="505" t="s">
        <v>663</v>
      </c>
      <c r="I107" s="505" t="s">
        <v>674</v>
      </c>
      <c r="J107" s="505" t="s">
        <v>709</v>
      </c>
      <c r="K107" s="507" t="s">
        <v>664</v>
      </c>
      <c r="L107" s="505" t="s">
        <v>122</v>
      </c>
      <c r="M107" s="507" t="s">
        <v>264</v>
      </c>
      <c r="N107" s="508">
        <v>72</v>
      </c>
      <c r="O107" s="508">
        <v>96</v>
      </c>
      <c r="P107" s="197" t="s">
        <v>266</v>
      </c>
      <c r="Q107" s="178" t="s">
        <v>342</v>
      </c>
      <c r="R107" s="176" t="s">
        <v>699</v>
      </c>
      <c r="S107" s="179" t="s">
        <v>271</v>
      </c>
      <c r="T107" s="411">
        <v>225.4</v>
      </c>
      <c r="U107" s="560">
        <f t="shared" si="5"/>
        <v>56.800799999999995</v>
      </c>
      <c r="V107" s="568">
        <v>2981.05</v>
      </c>
      <c r="W107" s="567">
        <v>149.05250000000001</v>
      </c>
      <c r="X107" s="567">
        <v>29.810500000000005</v>
      </c>
      <c r="Y107" s="522">
        <v>119.242</v>
      </c>
      <c r="Z107" s="572">
        <f>(Y107-U107)/Y107</f>
        <v>0.52365106254507643</v>
      </c>
      <c r="AA107" s="412">
        <v>175.3</v>
      </c>
      <c r="AB107" s="560">
        <f t="shared" si="4"/>
        <v>44.175599999999996</v>
      </c>
      <c r="AC107" s="568">
        <v>5800.99</v>
      </c>
      <c r="AD107" s="567">
        <v>290.04949999999997</v>
      </c>
      <c r="AE107" s="567">
        <v>58.009899999999995</v>
      </c>
      <c r="AF107" s="522">
        <v>232.03959999999998</v>
      </c>
      <c r="AG107" s="572">
        <f>(AF107-AB107)/AF107</f>
        <v>0.80962042685817415</v>
      </c>
    </row>
    <row r="108" spans="2:33" x14ac:dyDescent="0.25">
      <c r="B108" s="231">
        <v>4</v>
      </c>
      <c r="C108" s="503">
        <v>1</v>
      </c>
      <c r="D108" s="504" t="s">
        <v>298</v>
      </c>
      <c r="E108" s="505" t="s">
        <v>132</v>
      </c>
      <c r="F108" s="505" t="s">
        <v>136</v>
      </c>
      <c r="G108" s="506">
        <v>2</v>
      </c>
      <c r="H108" s="505" t="s">
        <v>663</v>
      </c>
      <c r="I108" s="505" t="s">
        <v>675</v>
      </c>
      <c r="J108" s="505" t="s">
        <v>709</v>
      </c>
      <c r="K108" s="507" t="s">
        <v>664</v>
      </c>
      <c r="L108" s="505" t="s">
        <v>122</v>
      </c>
      <c r="M108" s="507" t="s">
        <v>264</v>
      </c>
      <c r="N108" s="508">
        <v>72</v>
      </c>
      <c r="O108" s="508">
        <v>96</v>
      </c>
      <c r="P108" s="197" t="s">
        <v>266</v>
      </c>
      <c r="Q108" s="178" t="s">
        <v>342</v>
      </c>
      <c r="R108" s="176" t="s">
        <v>699</v>
      </c>
      <c r="S108" s="179" t="s">
        <v>271</v>
      </c>
      <c r="T108" s="411">
        <v>313</v>
      </c>
      <c r="U108" s="560">
        <f t="shared" si="5"/>
        <v>78.875999999999991</v>
      </c>
      <c r="V108" s="568">
        <v>4206.6000000000004</v>
      </c>
      <c r="W108" s="567">
        <v>210.33</v>
      </c>
      <c r="X108" s="567">
        <v>42.066000000000003</v>
      </c>
      <c r="Y108" s="522">
        <v>168.26400000000001</v>
      </c>
      <c r="Z108" s="572">
        <f>(Y108-U108)/Y108</f>
        <v>0.53123662815575534</v>
      </c>
      <c r="AA108" s="412">
        <v>175.3</v>
      </c>
      <c r="AB108" s="560">
        <f t="shared" si="4"/>
        <v>44.175599999999996</v>
      </c>
      <c r="AC108" s="568">
        <v>5800.99</v>
      </c>
      <c r="AD108" s="567">
        <v>290.04949999999997</v>
      </c>
      <c r="AE108" s="567">
        <v>58.009899999999995</v>
      </c>
      <c r="AF108" s="522">
        <v>232.03959999999998</v>
      </c>
      <c r="AG108" s="572">
        <f>(AF108-AB108)/AF108</f>
        <v>0.80962042685817415</v>
      </c>
    </row>
    <row r="109" spans="2:33" x14ac:dyDescent="0.25">
      <c r="B109" s="231">
        <v>5</v>
      </c>
      <c r="C109" s="503">
        <v>1</v>
      </c>
      <c r="D109" s="504" t="s">
        <v>298</v>
      </c>
      <c r="E109" s="505" t="s">
        <v>132</v>
      </c>
      <c r="F109" s="505" t="s">
        <v>136</v>
      </c>
      <c r="G109" s="506">
        <v>2</v>
      </c>
      <c r="H109" s="505" t="s">
        <v>663</v>
      </c>
      <c r="I109" s="505" t="s">
        <v>676</v>
      </c>
      <c r="J109" s="505" t="s">
        <v>709</v>
      </c>
      <c r="K109" s="507" t="s">
        <v>664</v>
      </c>
      <c r="L109" s="505" t="s">
        <v>122</v>
      </c>
      <c r="M109" s="507" t="s">
        <v>264</v>
      </c>
      <c r="N109" s="508">
        <v>72</v>
      </c>
      <c r="O109" s="508">
        <v>96</v>
      </c>
      <c r="P109" s="197" t="s">
        <v>266</v>
      </c>
      <c r="Q109" s="178" t="s">
        <v>342</v>
      </c>
      <c r="R109" s="176" t="s">
        <v>699</v>
      </c>
      <c r="S109" s="179" t="s">
        <v>271</v>
      </c>
      <c r="T109" s="411">
        <v>335.05</v>
      </c>
      <c r="U109" s="560">
        <f t="shared" si="5"/>
        <v>84.432599999999994</v>
      </c>
      <c r="V109" s="568">
        <v>4359.54</v>
      </c>
      <c r="W109" s="567">
        <v>217.977</v>
      </c>
      <c r="X109" s="567">
        <v>43.595400000000005</v>
      </c>
      <c r="Y109" s="522">
        <v>174.38159999999999</v>
      </c>
      <c r="Z109" s="572">
        <f>(Y109-U109)/Y109</f>
        <v>0.51581703574230309</v>
      </c>
      <c r="AA109" s="412">
        <v>175.3</v>
      </c>
      <c r="AB109" s="560">
        <f t="shared" si="4"/>
        <v>44.175599999999996</v>
      </c>
      <c r="AC109" s="568">
        <v>5800.99</v>
      </c>
      <c r="AD109" s="567">
        <v>290.04949999999997</v>
      </c>
      <c r="AE109" s="567">
        <v>58.009899999999995</v>
      </c>
      <c r="AF109" s="522">
        <v>232.03959999999998</v>
      </c>
      <c r="AG109" s="572">
        <f>(AF109-AB109)/AF109</f>
        <v>0.80962042685817415</v>
      </c>
    </row>
    <row r="110" spans="2:33" x14ac:dyDescent="0.25">
      <c r="B110" s="231">
        <v>6</v>
      </c>
      <c r="C110" s="503">
        <v>1</v>
      </c>
      <c r="D110" s="504" t="s">
        <v>298</v>
      </c>
      <c r="E110" s="505" t="s">
        <v>132</v>
      </c>
      <c r="F110" s="505" t="s">
        <v>136</v>
      </c>
      <c r="G110" s="506">
        <v>2</v>
      </c>
      <c r="H110" s="505" t="s">
        <v>663</v>
      </c>
      <c r="I110" s="505" t="s">
        <v>677</v>
      </c>
      <c r="J110" s="505" t="s">
        <v>709</v>
      </c>
      <c r="K110" s="507" t="s">
        <v>664</v>
      </c>
      <c r="L110" s="505" t="s">
        <v>122</v>
      </c>
      <c r="M110" s="507" t="s">
        <v>264</v>
      </c>
      <c r="N110" s="508">
        <v>72</v>
      </c>
      <c r="O110" s="508">
        <v>96</v>
      </c>
      <c r="P110" s="197" t="s">
        <v>266</v>
      </c>
      <c r="Q110" s="178" t="s">
        <v>342</v>
      </c>
      <c r="R110" s="176" t="s">
        <v>699</v>
      </c>
      <c r="S110" s="179" t="s">
        <v>271</v>
      </c>
      <c r="T110" s="411">
        <v>408.35</v>
      </c>
      <c r="U110" s="560">
        <f t="shared" si="5"/>
        <v>102.90419999999999</v>
      </c>
      <c r="V110" s="568">
        <v>4492.07</v>
      </c>
      <c r="W110" s="567">
        <v>224.6035</v>
      </c>
      <c r="X110" s="567">
        <v>44.920700000000004</v>
      </c>
      <c r="Y110" s="522">
        <v>179.68279999999999</v>
      </c>
      <c r="Z110" s="572">
        <f>(Y110-U110)/Y110</f>
        <v>0.42730077670205496</v>
      </c>
      <c r="AA110" s="412">
        <v>175.3</v>
      </c>
      <c r="AB110" s="560">
        <f t="shared" si="4"/>
        <v>44.175599999999996</v>
      </c>
      <c r="AC110" s="568">
        <v>5800.99</v>
      </c>
      <c r="AD110" s="567">
        <v>290.04949999999997</v>
      </c>
      <c r="AE110" s="567">
        <v>58.009899999999995</v>
      </c>
      <c r="AF110" s="522">
        <v>232.03959999999998</v>
      </c>
      <c r="AG110" s="572">
        <f>(AF110-AB110)/AF110</f>
        <v>0.80962042685817415</v>
      </c>
    </row>
    <row r="111" spans="2:33" x14ac:dyDescent="0.25">
      <c r="B111" s="231">
        <v>7</v>
      </c>
      <c r="C111" s="547">
        <v>1</v>
      </c>
      <c r="D111" s="548" t="s">
        <v>298</v>
      </c>
      <c r="E111" s="549" t="s">
        <v>132</v>
      </c>
      <c r="F111" s="549" t="s">
        <v>136</v>
      </c>
      <c r="G111" s="550">
        <v>2</v>
      </c>
      <c r="H111" s="549" t="s">
        <v>187</v>
      </c>
      <c r="I111" s="549" t="s">
        <v>321</v>
      </c>
      <c r="J111" s="549" t="s">
        <v>709</v>
      </c>
      <c r="K111" s="551" t="s">
        <v>664</v>
      </c>
      <c r="L111" s="549" t="s">
        <v>122</v>
      </c>
      <c r="M111" s="551" t="s">
        <v>264</v>
      </c>
      <c r="N111" s="552">
        <v>98</v>
      </c>
      <c r="O111" s="552">
        <v>96</v>
      </c>
      <c r="P111" s="197" t="s">
        <v>266</v>
      </c>
      <c r="Q111" s="178" t="s">
        <v>342</v>
      </c>
      <c r="R111" s="176" t="s">
        <v>699</v>
      </c>
      <c r="S111" s="179" t="s">
        <v>271</v>
      </c>
      <c r="T111" s="411">
        <v>253.85000000000002</v>
      </c>
      <c r="U111" s="560">
        <f t="shared" si="5"/>
        <v>63.970199999999991</v>
      </c>
      <c r="V111" s="568"/>
      <c r="W111" s="568"/>
      <c r="X111" s="567"/>
      <c r="Y111" s="522"/>
      <c r="Z111" s="522"/>
      <c r="AA111" s="412">
        <v>218.65</v>
      </c>
      <c r="AB111" s="560">
        <f t="shared" si="4"/>
        <v>55.099799999999995</v>
      </c>
      <c r="AC111" s="568"/>
      <c r="AD111" s="568"/>
      <c r="AE111" s="567"/>
      <c r="AF111" s="522"/>
      <c r="AG111" s="522"/>
    </row>
    <row r="112" spans="2:33" x14ac:dyDescent="0.25">
      <c r="B112" s="231">
        <v>8</v>
      </c>
      <c r="C112" s="541">
        <v>1</v>
      </c>
      <c r="D112" s="542" t="s">
        <v>298</v>
      </c>
      <c r="E112" s="543" t="s">
        <v>132</v>
      </c>
      <c r="F112" s="543" t="s">
        <v>136</v>
      </c>
      <c r="G112" s="544">
        <v>2</v>
      </c>
      <c r="H112" s="543" t="s">
        <v>691</v>
      </c>
      <c r="I112" s="543" t="s">
        <v>321</v>
      </c>
      <c r="J112" s="543" t="s">
        <v>709</v>
      </c>
      <c r="K112" s="545" t="s">
        <v>664</v>
      </c>
      <c r="L112" s="543" t="s">
        <v>122</v>
      </c>
      <c r="M112" s="545" t="s">
        <v>264</v>
      </c>
      <c r="N112" s="546">
        <v>98</v>
      </c>
      <c r="O112" s="546">
        <v>96</v>
      </c>
      <c r="P112" s="197" t="s">
        <v>266</v>
      </c>
      <c r="Q112" s="178" t="s">
        <v>342</v>
      </c>
      <c r="R112" s="176" t="s">
        <v>699</v>
      </c>
      <c r="S112" s="179" t="s">
        <v>271</v>
      </c>
      <c r="T112" s="411">
        <v>513</v>
      </c>
      <c r="U112" s="560">
        <f t="shared" si="5"/>
        <v>129.27599999999998</v>
      </c>
      <c r="V112" s="568"/>
      <c r="W112" s="568"/>
      <c r="X112" s="567"/>
      <c r="Y112" s="522"/>
      <c r="Z112" s="573">
        <f>AVERAGE(Z113:Z116)</f>
        <v>0.4637214602727881</v>
      </c>
      <c r="AA112" s="412">
        <v>218.65</v>
      </c>
      <c r="AB112" s="560">
        <f t="shared" si="4"/>
        <v>55.099799999999995</v>
      </c>
      <c r="AC112" s="568"/>
      <c r="AD112" s="568"/>
      <c r="AE112" s="567"/>
      <c r="AF112" s="522"/>
      <c r="AG112" s="573">
        <f>AVERAGE(AG113:AG116)</f>
        <v>0.79836687554616803</v>
      </c>
    </row>
    <row r="113" spans="2:33" x14ac:dyDescent="0.25">
      <c r="B113" s="231">
        <v>9</v>
      </c>
      <c r="C113" s="503">
        <v>1</v>
      </c>
      <c r="D113" s="504" t="s">
        <v>298</v>
      </c>
      <c r="E113" s="505" t="s">
        <v>132</v>
      </c>
      <c r="F113" s="505" t="s">
        <v>136</v>
      </c>
      <c r="G113" s="506">
        <v>2</v>
      </c>
      <c r="H113" s="505" t="s">
        <v>663</v>
      </c>
      <c r="I113" s="505" t="s">
        <v>674</v>
      </c>
      <c r="J113" s="505" t="s">
        <v>709</v>
      </c>
      <c r="K113" s="507" t="s">
        <v>664</v>
      </c>
      <c r="L113" s="505" t="s">
        <v>122</v>
      </c>
      <c r="M113" s="507" t="s">
        <v>264</v>
      </c>
      <c r="N113" s="508">
        <v>98</v>
      </c>
      <c r="O113" s="508">
        <v>96</v>
      </c>
      <c r="P113" s="197" t="s">
        <v>266</v>
      </c>
      <c r="Q113" s="178" t="s">
        <v>342</v>
      </c>
      <c r="R113" s="176" t="s">
        <v>699</v>
      </c>
      <c r="S113" s="179" t="s">
        <v>271</v>
      </c>
      <c r="T113" s="411">
        <v>301.95</v>
      </c>
      <c r="U113" s="560">
        <f t="shared" si="5"/>
        <v>76.091399999999993</v>
      </c>
      <c r="V113" s="568">
        <v>3725.63</v>
      </c>
      <c r="W113" s="567">
        <v>186.28149999999999</v>
      </c>
      <c r="X113" s="567">
        <v>37.256300000000003</v>
      </c>
      <c r="Y113" s="522">
        <v>149.02519999999998</v>
      </c>
      <c r="Z113" s="572">
        <f>(Y113-U113)/Y113</f>
        <v>0.48940581861322779</v>
      </c>
      <c r="AA113" s="412">
        <v>218.65</v>
      </c>
      <c r="AB113" s="560">
        <f t="shared" si="4"/>
        <v>55.099799999999995</v>
      </c>
      <c r="AC113" s="568">
        <v>6831.69</v>
      </c>
      <c r="AD113" s="567">
        <v>341.58449999999999</v>
      </c>
      <c r="AE113" s="567">
        <v>68.316900000000004</v>
      </c>
      <c r="AF113" s="522">
        <v>273.26760000000002</v>
      </c>
      <c r="AG113" s="572">
        <f>(AF113-AB113)/AF113</f>
        <v>0.79836687554616803</v>
      </c>
    </row>
    <row r="114" spans="2:33" x14ac:dyDescent="0.25">
      <c r="B114" s="231">
        <v>10</v>
      </c>
      <c r="C114" s="503">
        <v>1</v>
      </c>
      <c r="D114" s="504" t="s">
        <v>298</v>
      </c>
      <c r="E114" s="505" t="s">
        <v>132</v>
      </c>
      <c r="F114" s="505" t="s">
        <v>136</v>
      </c>
      <c r="G114" s="506">
        <v>2</v>
      </c>
      <c r="H114" s="505" t="s">
        <v>663</v>
      </c>
      <c r="I114" s="505" t="s">
        <v>675</v>
      </c>
      <c r="J114" s="505" t="s">
        <v>709</v>
      </c>
      <c r="K114" s="507" t="s">
        <v>664</v>
      </c>
      <c r="L114" s="505" t="s">
        <v>122</v>
      </c>
      <c r="M114" s="507" t="s">
        <v>264</v>
      </c>
      <c r="N114" s="508">
        <v>98</v>
      </c>
      <c r="O114" s="508">
        <v>96</v>
      </c>
      <c r="P114" s="197" t="s">
        <v>266</v>
      </c>
      <c r="Q114" s="178" t="s">
        <v>342</v>
      </c>
      <c r="R114" s="176" t="s">
        <v>699</v>
      </c>
      <c r="S114" s="179" t="s">
        <v>271</v>
      </c>
      <c r="T114" s="411">
        <v>419.5</v>
      </c>
      <c r="U114" s="560">
        <f t="shared" si="5"/>
        <v>105.71399999999998</v>
      </c>
      <c r="V114" s="568">
        <v>5262.84</v>
      </c>
      <c r="W114" s="567">
        <v>263.142</v>
      </c>
      <c r="X114" s="567">
        <v>52.628399999999999</v>
      </c>
      <c r="Y114" s="522">
        <v>210.5136</v>
      </c>
      <c r="Z114" s="572">
        <f>(Y114-U114)/Y114</f>
        <v>0.49782816882139685</v>
      </c>
      <c r="AA114" s="412">
        <v>218.65</v>
      </c>
      <c r="AB114" s="560">
        <f t="shared" si="4"/>
        <v>55.099799999999995</v>
      </c>
      <c r="AC114" s="568">
        <v>6831.69</v>
      </c>
      <c r="AD114" s="567">
        <v>341.58449999999999</v>
      </c>
      <c r="AE114" s="567">
        <v>68.316900000000004</v>
      </c>
      <c r="AF114" s="522">
        <v>273.26760000000002</v>
      </c>
      <c r="AG114" s="572">
        <f>(AF114-AB114)/AF114</f>
        <v>0.79836687554616803</v>
      </c>
    </row>
    <row r="115" spans="2:33" x14ac:dyDescent="0.25">
      <c r="B115" s="231">
        <v>11</v>
      </c>
      <c r="C115" s="503">
        <v>1</v>
      </c>
      <c r="D115" s="504" t="s">
        <v>298</v>
      </c>
      <c r="E115" s="505" t="s">
        <v>132</v>
      </c>
      <c r="F115" s="505" t="s">
        <v>136</v>
      </c>
      <c r="G115" s="506">
        <v>2</v>
      </c>
      <c r="H115" s="505" t="s">
        <v>663</v>
      </c>
      <c r="I115" s="505" t="s">
        <v>676</v>
      </c>
      <c r="J115" s="505" t="s">
        <v>709</v>
      </c>
      <c r="K115" s="507" t="s">
        <v>664</v>
      </c>
      <c r="L115" s="505" t="s">
        <v>122</v>
      </c>
      <c r="M115" s="507" t="s">
        <v>264</v>
      </c>
      <c r="N115" s="508">
        <v>98</v>
      </c>
      <c r="O115" s="508">
        <v>96</v>
      </c>
      <c r="P115" s="197" t="s">
        <v>266</v>
      </c>
      <c r="Q115" s="178" t="s">
        <v>342</v>
      </c>
      <c r="R115" s="176" t="s">
        <v>699</v>
      </c>
      <c r="S115" s="179" t="s">
        <v>271</v>
      </c>
      <c r="T115" s="411">
        <v>449.1</v>
      </c>
      <c r="U115" s="560">
        <f t="shared" si="5"/>
        <v>113.17319999999999</v>
      </c>
      <c r="V115" s="568">
        <v>5453.87</v>
      </c>
      <c r="W115" s="567">
        <v>272.69349999999997</v>
      </c>
      <c r="X115" s="567">
        <v>54.538699999999999</v>
      </c>
      <c r="Y115" s="522">
        <v>218.15479999999997</v>
      </c>
      <c r="Z115" s="572">
        <f>(Y115-U115)/Y115</f>
        <v>0.48122525839449781</v>
      </c>
      <c r="AA115" s="412">
        <v>218.65</v>
      </c>
      <c r="AB115" s="560">
        <f t="shared" si="4"/>
        <v>55.099799999999995</v>
      </c>
      <c r="AC115" s="568">
        <v>6831.69</v>
      </c>
      <c r="AD115" s="567">
        <v>341.58449999999999</v>
      </c>
      <c r="AE115" s="567">
        <v>68.316900000000004</v>
      </c>
      <c r="AF115" s="522">
        <v>273.26760000000002</v>
      </c>
      <c r="AG115" s="572">
        <f>(AF115-AB115)/AF115</f>
        <v>0.79836687554616803</v>
      </c>
    </row>
    <row r="116" spans="2:33" x14ac:dyDescent="0.25">
      <c r="B116" s="231">
        <v>12</v>
      </c>
      <c r="C116" s="503">
        <v>1</v>
      </c>
      <c r="D116" s="504" t="s">
        <v>298</v>
      </c>
      <c r="E116" s="505" t="s">
        <v>132</v>
      </c>
      <c r="F116" s="505" t="s">
        <v>136</v>
      </c>
      <c r="G116" s="506">
        <v>2</v>
      </c>
      <c r="H116" s="505" t="s">
        <v>663</v>
      </c>
      <c r="I116" s="505" t="s">
        <v>677</v>
      </c>
      <c r="J116" s="505" t="s">
        <v>709</v>
      </c>
      <c r="K116" s="507" t="s">
        <v>664</v>
      </c>
      <c r="L116" s="505" t="s">
        <v>122</v>
      </c>
      <c r="M116" s="507" t="s">
        <v>264</v>
      </c>
      <c r="N116" s="508">
        <v>98</v>
      </c>
      <c r="O116" s="508">
        <v>96</v>
      </c>
      <c r="P116" s="197" t="s">
        <v>266</v>
      </c>
      <c r="Q116" s="178" t="s">
        <v>342</v>
      </c>
      <c r="R116" s="176" t="s">
        <v>699</v>
      </c>
      <c r="S116" s="179" t="s">
        <v>271</v>
      </c>
      <c r="T116" s="411">
        <v>547.4</v>
      </c>
      <c r="U116" s="560">
        <f t="shared" si="5"/>
        <v>137.94479999999996</v>
      </c>
      <c r="V116" s="568">
        <v>5620.55</v>
      </c>
      <c r="W116" s="567">
        <v>281.02750000000003</v>
      </c>
      <c r="X116" s="567">
        <v>56.205500000000008</v>
      </c>
      <c r="Y116" s="522">
        <v>224.82200000000003</v>
      </c>
      <c r="Z116" s="572">
        <f>(Y116-U116)/Y116</f>
        <v>0.38642659526202977</v>
      </c>
      <c r="AA116" s="412">
        <v>218.65</v>
      </c>
      <c r="AB116" s="560">
        <f t="shared" si="4"/>
        <v>55.099799999999995</v>
      </c>
      <c r="AC116" s="568">
        <v>6831.69</v>
      </c>
      <c r="AD116" s="567">
        <v>341.58449999999999</v>
      </c>
      <c r="AE116" s="567">
        <v>68.316900000000004</v>
      </c>
      <c r="AF116" s="522">
        <v>273.26760000000002</v>
      </c>
      <c r="AG116" s="572">
        <f>(AF116-AB116)/AF116</f>
        <v>0.79836687554616803</v>
      </c>
    </row>
    <row r="117" spans="2:33" x14ac:dyDescent="0.25">
      <c r="B117" s="231">
        <v>13</v>
      </c>
      <c r="C117" s="547">
        <v>1</v>
      </c>
      <c r="D117" s="548" t="s">
        <v>298</v>
      </c>
      <c r="E117" s="549" t="s">
        <v>132</v>
      </c>
      <c r="F117" s="549" t="s">
        <v>136</v>
      </c>
      <c r="G117" s="550">
        <v>2</v>
      </c>
      <c r="H117" s="549" t="s">
        <v>187</v>
      </c>
      <c r="I117" s="549" t="s">
        <v>321</v>
      </c>
      <c r="J117" s="549" t="s">
        <v>709</v>
      </c>
      <c r="K117" s="551" t="s">
        <v>664</v>
      </c>
      <c r="L117" s="549" t="s">
        <v>122</v>
      </c>
      <c r="M117" s="551" t="s">
        <v>264</v>
      </c>
      <c r="N117" s="552">
        <v>124</v>
      </c>
      <c r="O117" s="552">
        <v>96</v>
      </c>
      <c r="P117" s="197" t="s">
        <v>266</v>
      </c>
      <c r="Q117" s="178" t="s">
        <v>342</v>
      </c>
      <c r="R117" s="176" t="s">
        <v>699</v>
      </c>
      <c r="S117" s="179" t="s">
        <v>271</v>
      </c>
      <c r="T117" s="411">
        <v>314.65000000000003</v>
      </c>
      <c r="U117" s="560">
        <f t="shared" si="5"/>
        <v>79.291800000000009</v>
      </c>
      <c r="V117" s="568"/>
      <c r="W117" s="568"/>
      <c r="X117" s="567"/>
      <c r="Y117" s="522"/>
      <c r="Z117" s="522"/>
      <c r="AA117" s="412">
        <v>262</v>
      </c>
      <c r="AB117" s="560">
        <f t="shared" si="4"/>
        <v>66.023999999999987</v>
      </c>
      <c r="AC117" s="568"/>
      <c r="AD117" s="568"/>
      <c r="AE117" s="567"/>
      <c r="AF117" s="522"/>
      <c r="AG117" s="522"/>
    </row>
    <row r="118" spans="2:33" x14ac:dyDescent="0.25">
      <c r="B118" s="231">
        <v>14</v>
      </c>
      <c r="C118" s="541">
        <v>1</v>
      </c>
      <c r="D118" s="542" t="s">
        <v>298</v>
      </c>
      <c r="E118" s="543" t="s">
        <v>132</v>
      </c>
      <c r="F118" s="543" t="s">
        <v>136</v>
      </c>
      <c r="G118" s="544">
        <v>2</v>
      </c>
      <c r="H118" s="543" t="s">
        <v>691</v>
      </c>
      <c r="I118" s="543" t="s">
        <v>321</v>
      </c>
      <c r="J118" s="543" t="s">
        <v>709</v>
      </c>
      <c r="K118" s="545" t="s">
        <v>664</v>
      </c>
      <c r="L118" s="543" t="s">
        <v>122</v>
      </c>
      <c r="M118" s="545" t="s">
        <v>264</v>
      </c>
      <c r="N118" s="546">
        <v>124</v>
      </c>
      <c r="O118" s="546">
        <v>96</v>
      </c>
      <c r="P118" s="197" t="s">
        <v>266</v>
      </c>
      <c r="Q118" s="178" t="s">
        <v>342</v>
      </c>
      <c r="R118" s="176" t="s">
        <v>699</v>
      </c>
      <c r="S118" s="179" t="s">
        <v>271</v>
      </c>
      <c r="T118" s="411">
        <v>635.1</v>
      </c>
      <c r="U118" s="560">
        <f t="shared" si="5"/>
        <v>160.04519999999997</v>
      </c>
      <c r="V118" s="568"/>
      <c r="W118" s="568"/>
      <c r="X118" s="567"/>
      <c r="Y118" s="522"/>
      <c r="Z118" s="573">
        <f>AVERAGE(Z119:Z122)</f>
        <v>0.44687900560297045</v>
      </c>
      <c r="AA118" s="412">
        <v>262</v>
      </c>
      <c r="AB118" s="560">
        <f t="shared" si="4"/>
        <v>66.023999999999987</v>
      </c>
      <c r="AC118" s="568"/>
      <c r="AD118" s="568"/>
      <c r="AE118" s="567"/>
      <c r="AF118" s="522"/>
      <c r="AG118" s="573">
        <f>AVERAGE(AG119:AG122)</f>
        <v>0.77588503415492527</v>
      </c>
    </row>
    <row r="119" spans="2:33" x14ac:dyDescent="0.25">
      <c r="B119" s="231">
        <v>15</v>
      </c>
      <c r="C119" s="503">
        <v>1</v>
      </c>
      <c r="D119" s="504" t="s">
        <v>298</v>
      </c>
      <c r="E119" s="505" t="s">
        <v>132</v>
      </c>
      <c r="F119" s="505" t="s">
        <v>136</v>
      </c>
      <c r="G119" s="506">
        <v>2</v>
      </c>
      <c r="H119" s="505" t="s">
        <v>663</v>
      </c>
      <c r="I119" s="505" t="s">
        <v>674</v>
      </c>
      <c r="J119" s="505" t="s">
        <v>709</v>
      </c>
      <c r="K119" s="507" t="s">
        <v>664</v>
      </c>
      <c r="L119" s="505" t="s">
        <v>122</v>
      </c>
      <c r="M119" s="507" t="s">
        <v>264</v>
      </c>
      <c r="N119" s="508">
        <v>124</v>
      </c>
      <c r="O119" s="508">
        <v>96</v>
      </c>
      <c r="P119" s="197" t="s">
        <v>266</v>
      </c>
      <c r="Q119" s="178" t="s">
        <v>342</v>
      </c>
      <c r="R119" s="176" t="s">
        <v>699</v>
      </c>
      <c r="S119" s="179" t="s">
        <v>271</v>
      </c>
      <c r="T119" s="411">
        <v>374.15000000000003</v>
      </c>
      <c r="U119" s="560">
        <f t="shared" si="5"/>
        <v>94.285799999999995</v>
      </c>
      <c r="V119" s="568">
        <v>4470.21</v>
      </c>
      <c r="W119" s="567">
        <v>223.51050000000001</v>
      </c>
      <c r="X119" s="567">
        <v>44.702100000000002</v>
      </c>
      <c r="Y119" s="522">
        <v>178.80840000000001</v>
      </c>
      <c r="Z119" s="572">
        <f>(Y119-U119)/Y119</f>
        <v>0.47269926916185151</v>
      </c>
      <c r="AA119" s="412">
        <v>262</v>
      </c>
      <c r="AB119" s="560">
        <f t="shared" si="4"/>
        <v>66.023999999999987</v>
      </c>
      <c r="AC119" s="568">
        <v>7364.9699999999993</v>
      </c>
      <c r="AD119" s="567">
        <v>368.24849999999998</v>
      </c>
      <c r="AE119" s="567">
        <v>73.649699999999996</v>
      </c>
      <c r="AF119" s="522">
        <v>294.59879999999998</v>
      </c>
      <c r="AG119" s="572">
        <f>(AF119-AB119)/AF119</f>
        <v>0.77588503415492527</v>
      </c>
    </row>
    <row r="120" spans="2:33" x14ac:dyDescent="0.25">
      <c r="B120" s="231">
        <v>16</v>
      </c>
      <c r="C120" s="503">
        <v>1</v>
      </c>
      <c r="D120" s="504" t="s">
        <v>298</v>
      </c>
      <c r="E120" s="505" t="s">
        <v>132</v>
      </c>
      <c r="F120" s="505" t="s">
        <v>136</v>
      </c>
      <c r="G120" s="506">
        <v>2</v>
      </c>
      <c r="H120" s="505" t="s">
        <v>663</v>
      </c>
      <c r="I120" s="505" t="s">
        <v>675</v>
      </c>
      <c r="J120" s="505" t="s">
        <v>709</v>
      </c>
      <c r="K120" s="507" t="s">
        <v>664</v>
      </c>
      <c r="L120" s="505" t="s">
        <v>122</v>
      </c>
      <c r="M120" s="507" t="s">
        <v>264</v>
      </c>
      <c r="N120" s="508">
        <v>124</v>
      </c>
      <c r="O120" s="508">
        <v>96</v>
      </c>
      <c r="P120" s="197" t="s">
        <v>266</v>
      </c>
      <c r="Q120" s="178" t="s">
        <v>342</v>
      </c>
      <c r="R120" s="176" t="s">
        <v>699</v>
      </c>
      <c r="S120" s="179" t="s">
        <v>271</v>
      </c>
      <c r="T120" s="411">
        <v>519.5</v>
      </c>
      <c r="U120" s="560">
        <f t="shared" si="5"/>
        <v>130.91399999999999</v>
      </c>
      <c r="V120" s="568">
        <v>6319.08</v>
      </c>
      <c r="W120" s="567">
        <v>315.95400000000001</v>
      </c>
      <c r="X120" s="567">
        <v>63.190800000000003</v>
      </c>
      <c r="Y120" s="522">
        <v>252.76320000000001</v>
      </c>
      <c r="Z120" s="572">
        <f>(Y120-U120)/Y120</f>
        <v>0.48206859226343085</v>
      </c>
      <c r="AA120" s="412">
        <v>262</v>
      </c>
      <c r="AB120" s="560">
        <f t="shared" si="4"/>
        <v>66.023999999999987</v>
      </c>
      <c r="AC120" s="568">
        <v>7364.9699999999993</v>
      </c>
      <c r="AD120" s="567">
        <v>368.24849999999998</v>
      </c>
      <c r="AE120" s="567">
        <v>73.649699999999996</v>
      </c>
      <c r="AF120" s="522">
        <v>294.59879999999998</v>
      </c>
      <c r="AG120" s="572">
        <f>(AF120-AB120)/AF120</f>
        <v>0.77588503415492527</v>
      </c>
    </row>
    <row r="121" spans="2:33" x14ac:dyDescent="0.25">
      <c r="B121" s="231">
        <v>17</v>
      </c>
      <c r="C121" s="503">
        <v>1</v>
      </c>
      <c r="D121" s="504" t="s">
        <v>298</v>
      </c>
      <c r="E121" s="505" t="s">
        <v>132</v>
      </c>
      <c r="F121" s="505" t="s">
        <v>136</v>
      </c>
      <c r="G121" s="506">
        <v>2</v>
      </c>
      <c r="H121" s="505" t="s">
        <v>663</v>
      </c>
      <c r="I121" s="505" t="s">
        <v>676</v>
      </c>
      <c r="J121" s="505" t="s">
        <v>709</v>
      </c>
      <c r="K121" s="507" t="s">
        <v>664</v>
      </c>
      <c r="L121" s="505" t="s">
        <v>122</v>
      </c>
      <c r="M121" s="507" t="s">
        <v>264</v>
      </c>
      <c r="N121" s="508">
        <v>124</v>
      </c>
      <c r="O121" s="508">
        <v>96</v>
      </c>
      <c r="P121" s="197" t="s">
        <v>266</v>
      </c>
      <c r="Q121" s="178" t="s">
        <v>342</v>
      </c>
      <c r="R121" s="176" t="s">
        <v>699</v>
      </c>
      <c r="S121" s="179" t="s">
        <v>271</v>
      </c>
      <c r="T121" s="411">
        <v>556.05000000000007</v>
      </c>
      <c r="U121" s="560">
        <f t="shared" si="5"/>
        <v>140.12459999999999</v>
      </c>
      <c r="V121" s="568">
        <v>6549.56</v>
      </c>
      <c r="W121" s="567">
        <v>327.47800000000001</v>
      </c>
      <c r="X121" s="567">
        <v>65.49560000000001</v>
      </c>
      <c r="Y121" s="522">
        <v>261.98239999999998</v>
      </c>
      <c r="Z121" s="572">
        <f>(Y121-U121)/Y121</f>
        <v>0.46513735273819923</v>
      </c>
      <c r="AA121" s="412">
        <v>262</v>
      </c>
      <c r="AB121" s="560">
        <f t="shared" si="4"/>
        <v>66.023999999999987</v>
      </c>
      <c r="AC121" s="568">
        <v>7364.9699999999993</v>
      </c>
      <c r="AD121" s="567">
        <v>368.24849999999998</v>
      </c>
      <c r="AE121" s="567">
        <v>73.649699999999996</v>
      </c>
      <c r="AF121" s="522">
        <v>294.59879999999998</v>
      </c>
      <c r="AG121" s="572">
        <f>(AF121-AB121)/AF121</f>
        <v>0.77588503415492527</v>
      </c>
    </row>
    <row r="122" spans="2:33" x14ac:dyDescent="0.25">
      <c r="B122" s="231">
        <v>18</v>
      </c>
      <c r="C122" s="503">
        <v>1</v>
      </c>
      <c r="D122" s="504" t="s">
        <v>298</v>
      </c>
      <c r="E122" s="505" t="s">
        <v>132</v>
      </c>
      <c r="F122" s="505" t="s">
        <v>136</v>
      </c>
      <c r="G122" s="506">
        <v>2</v>
      </c>
      <c r="H122" s="505" t="s">
        <v>663</v>
      </c>
      <c r="I122" s="505" t="s">
        <v>677</v>
      </c>
      <c r="J122" s="505" t="s">
        <v>709</v>
      </c>
      <c r="K122" s="507" t="s">
        <v>664</v>
      </c>
      <c r="L122" s="505" t="s">
        <v>122</v>
      </c>
      <c r="M122" s="507" t="s">
        <v>264</v>
      </c>
      <c r="N122" s="508">
        <v>124</v>
      </c>
      <c r="O122" s="508">
        <v>96</v>
      </c>
      <c r="P122" s="197" t="s">
        <v>266</v>
      </c>
      <c r="Q122" s="178" t="s">
        <v>342</v>
      </c>
      <c r="R122" s="176" t="s">
        <v>699</v>
      </c>
      <c r="S122" s="179" t="s">
        <v>271</v>
      </c>
      <c r="T122" s="411">
        <v>677.6</v>
      </c>
      <c r="U122" s="560">
        <f t="shared" si="5"/>
        <v>170.75519999999997</v>
      </c>
      <c r="V122" s="568">
        <v>6750.4</v>
      </c>
      <c r="W122" s="567">
        <v>337.52</v>
      </c>
      <c r="X122" s="567">
        <v>67.504000000000005</v>
      </c>
      <c r="Y122" s="522">
        <v>270.01599999999996</v>
      </c>
      <c r="Z122" s="572">
        <f>(Y122-U122)/Y122</f>
        <v>0.36761080824840009</v>
      </c>
      <c r="AA122" s="412">
        <v>262</v>
      </c>
      <c r="AB122" s="560">
        <f t="shared" si="4"/>
        <v>66.023999999999987</v>
      </c>
      <c r="AC122" s="568">
        <v>7364.9699999999993</v>
      </c>
      <c r="AD122" s="567">
        <v>368.24849999999998</v>
      </c>
      <c r="AE122" s="567">
        <v>73.649699999999996</v>
      </c>
      <c r="AF122" s="522">
        <v>294.59879999999998</v>
      </c>
      <c r="AG122" s="572">
        <f>(AF122-AB122)/AF122</f>
        <v>0.77588503415492527</v>
      </c>
    </row>
    <row r="123" spans="2:33" x14ac:dyDescent="0.25">
      <c r="B123" s="231">
        <v>19</v>
      </c>
      <c r="C123" s="547">
        <v>1</v>
      </c>
      <c r="D123" s="548" t="s">
        <v>298</v>
      </c>
      <c r="E123" s="549" t="s">
        <v>132</v>
      </c>
      <c r="F123" s="549" t="s">
        <v>136</v>
      </c>
      <c r="G123" s="550">
        <v>2</v>
      </c>
      <c r="H123" s="549" t="s">
        <v>187</v>
      </c>
      <c r="I123" s="549" t="s">
        <v>321</v>
      </c>
      <c r="J123" s="549" t="s">
        <v>709</v>
      </c>
      <c r="K123" s="551" t="s">
        <v>664</v>
      </c>
      <c r="L123" s="549" t="s">
        <v>122</v>
      </c>
      <c r="M123" s="551" t="s">
        <v>264</v>
      </c>
      <c r="N123" s="552">
        <v>150</v>
      </c>
      <c r="O123" s="552">
        <v>96</v>
      </c>
      <c r="P123" s="197" t="s">
        <v>266</v>
      </c>
      <c r="Q123" s="178" t="s">
        <v>342</v>
      </c>
      <c r="R123" s="176" t="s">
        <v>699</v>
      </c>
      <c r="S123" s="179" t="s">
        <v>271</v>
      </c>
      <c r="T123" s="411">
        <v>379</v>
      </c>
      <c r="U123" s="560">
        <f t="shared" si="5"/>
        <v>95.507999999999996</v>
      </c>
      <c r="V123" s="568"/>
      <c r="W123" s="568"/>
      <c r="X123" s="567"/>
      <c r="Y123" s="522"/>
      <c r="Z123" s="522"/>
      <c r="AA123" s="412">
        <v>305.3</v>
      </c>
      <c r="AB123" s="560">
        <f t="shared" si="4"/>
        <v>76.935599999999994</v>
      </c>
      <c r="AC123" s="568"/>
      <c r="AD123" s="568"/>
      <c r="AE123" s="567"/>
      <c r="AF123" s="522"/>
      <c r="AG123" s="522"/>
    </row>
    <row r="124" spans="2:33" x14ac:dyDescent="0.25">
      <c r="B124" s="231">
        <v>20</v>
      </c>
      <c r="C124" s="541">
        <v>1</v>
      </c>
      <c r="D124" s="542" t="s">
        <v>298</v>
      </c>
      <c r="E124" s="543" t="s">
        <v>132</v>
      </c>
      <c r="F124" s="543" t="s">
        <v>136</v>
      </c>
      <c r="G124" s="544">
        <v>2</v>
      </c>
      <c r="H124" s="543" t="s">
        <v>691</v>
      </c>
      <c r="I124" s="543" t="s">
        <v>321</v>
      </c>
      <c r="J124" s="543" t="s">
        <v>709</v>
      </c>
      <c r="K124" s="545" t="s">
        <v>664</v>
      </c>
      <c r="L124" s="543" t="s">
        <v>122</v>
      </c>
      <c r="M124" s="545" t="s">
        <v>264</v>
      </c>
      <c r="N124" s="546">
        <v>150</v>
      </c>
      <c r="O124" s="546">
        <v>96</v>
      </c>
      <c r="P124" s="197" t="s">
        <v>266</v>
      </c>
      <c r="Q124" s="178" t="s">
        <v>342</v>
      </c>
      <c r="R124" s="176" t="s">
        <v>699</v>
      </c>
      <c r="S124" s="179" t="s">
        <v>271</v>
      </c>
      <c r="T124" s="411">
        <v>765.40000000000009</v>
      </c>
      <c r="U124" s="560">
        <f t="shared" si="5"/>
        <v>192.88079999999999</v>
      </c>
      <c r="V124" s="568"/>
      <c r="W124" s="568"/>
      <c r="X124" s="567"/>
      <c r="Y124" s="522"/>
      <c r="Z124" s="573">
        <f>AVERAGE(Z125:Z128)</f>
        <v>0.43457860269870535</v>
      </c>
      <c r="AA124" s="412">
        <v>305.3</v>
      </c>
      <c r="AB124" s="560">
        <f t="shared" si="4"/>
        <v>76.935599999999994</v>
      </c>
      <c r="AC124" s="568"/>
      <c r="AD124" s="568"/>
      <c r="AE124" s="567"/>
      <c r="AF124" s="522"/>
      <c r="AG124" s="573">
        <f>AVERAGE(AG125:AG128)</f>
        <v>0.76116569231762621</v>
      </c>
    </row>
    <row r="125" spans="2:33" x14ac:dyDescent="0.25">
      <c r="B125" s="231">
        <v>21</v>
      </c>
      <c r="C125" s="503">
        <v>1</v>
      </c>
      <c r="D125" s="504" t="s">
        <v>298</v>
      </c>
      <c r="E125" s="505" t="s">
        <v>132</v>
      </c>
      <c r="F125" s="505" t="s">
        <v>136</v>
      </c>
      <c r="G125" s="506">
        <v>2</v>
      </c>
      <c r="H125" s="505" t="s">
        <v>663</v>
      </c>
      <c r="I125" s="505" t="s">
        <v>674</v>
      </c>
      <c r="J125" s="505" t="s">
        <v>709</v>
      </c>
      <c r="K125" s="507" t="s">
        <v>664</v>
      </c>
      <c r="L125" s="505" t="s">
        <v>122</v>
      </c>
      <c r="M125" s="507" t="s">
        <v>264</v>
      </c>
      <c r="N125" s="508">
        <v>150</v>
      </c>
      <c r="O125" s="508">
        <v>96</v>
      </c>
      <c r="P125" s="197" t="s">
        <v>266</v>
      </c>
      <c r="Q125" s="178" t="s">
        <v>342</v>
      </c>
      <c r="R125" s="176" t="s">
        <v>699</v>
      </c>
      <c r="S125" s="179" t="s">
        <v>271</v>
      </c>
      <c r="T125" s="411">
        <v>450.75</v>
      </c>
      <c r="U125" s="560">
        <f t="shared" si="5"/>
        <v>113.58899999999998</v>
      </c>
      <c r="V125" s="568">
        <v>5279</v>
      </c>
      <c r="W125" s="567">
        <v>263.95</v>
      </c>
      <c r="X125" s="567">
        <v>52.79</v>
      </c>
      <c r="Y125" s="522">
        <v>211.16</v>
      </c>
      <c r="Z125" s="572">
        <f>(Y125-U125)/Y125</f>
        <v>0.46207141504072746</v>
      </c>
      <c r="AA125" s="412">
        <v>305.3</v>
      </c>
      <c r="AB125" s="560">
        <f t="shared" si="4"/>
        <v>76.935599999999994</v>
      </c>
      <c r="AC125" s="568">
        <v>8053.24</v>
      </c>
      <c r="AD125" s="567">
        <v>402.66199999999998</v>
      </c>
      <c r="AE125" s="567">
        <v>80.532399999999996</v>
      </c>
      <c r="AF125" s="522">
        <v>322.12959999999998</v>
      </c>
      <c r="AG125" s="572">
        <f>(AF125-AB125)/AF125</f>
        <v>0.76116569231762621</v>
      </c>
    </row>
    <row r="126" spans="2:33" x14ac:dyDescent="0.25">
      <c r="B126" s="231">
        <v>22</v>
      </c>
      <c r="C126" s="503">
        <v>1</v>
      </c>
      <c r="D126" s="504" t="s">
        <v>298</v>
      </c>
      <c r="E126" s="505" t="s">
        <v>132</v>
      </c>
      <c r="F126" s="505" t="s">
        <v>136</v>
      </c>
      <c r="G126" s="506">
        <v>2</v>
      </c>
      <c r="H126" s="505" t="s">
        <v>663</v>
      </c>
      <c r="I126" s="505" t="s">
        <v>675</v>
      </c>
      <c r="J126" s="505" t="s">
        <v>709</v>
      </c>
      <c r="K126" s="507" t="s">
        <v>664</v>
      </c>
      <c r="L126" s="505" t="s">
        <v>122</v>
      </c>
      <c r="M126" s="507" t="s">
        <v>264</v>
      </c>
      <c r="N126" s="508">
        <v>150</v>
      </c>
      <c r="O126" s="508">
        <v>96</v>
      </c>
      <c r="P126" s="197" t="s">
        <v>266</v>
      </c>
      <c r="Q126" s="178" t="s">
        <v>342</v>
      </c>
      <c r="R126" s="176" t="s">
        <v>699</v>
      </c>
      <c r="S126" s="179" t="s">
        <v>271</v>
      </c>
      <c r="T126" s="411">
        <v>626</v>
      </c>
      <c r="U126" s="560">
        <f t="shared" si="5"/>
        <v>157.75199999999998</v>
      </c>
      <c r="V126" s="568">
        <v>7456.32</v>
      </c>
      <c r="W126" s="567">
        <v>372.81599999999997</v>
      </c>
      <c r="X126" s="567">
        <v>74.563199999999995</v>
      </c>
      <c r="Y126" s="522">
        <v>298.25279999999998</v>
      </c>
      <c r="Z126" s="572">
        <f>(Y126-U126)/Y126</f>
        <v>0.4710795674005408</v>
      </c>
      <c r="AA126" s="412">
        <v>305.3</v>
      </c>
      <c r="AB126" s="560">
        <f t="shared" si="4"/>
        <v>76.935599999999994</v>
      </c>
      <c r="AC126" s="568">
        <v>8053.24</v>
      </c>
      <c r="AD126" s="567">
        <v>402.66199999999998</v>
      </c>
      <c r="AE126" s="567">
        <v>80.532399999999996</v>
      </c>
      <c r="AF126" s="522">
        <v>322.12959999999998</v>
      </c>
      <c r="AG126" s="572">
        <f>(AF126-AB126)/AF126</f>
        <v>0.76116569231762621</v>
      </c>
    </row>
    <row r="127" spans="2:33" x14ac:dyDescent="0.25">
      <c r="B127" s="231">
        <v>23</v>
      </c>
      <c r="C127" s="503">
        <v>1</v>
      </c>
      <c r="D127" s="504" t="s">
        <v>298</v>
      </c>
      <c r="E127" s="505" t="s">
        <v>132</v>
      </c>
      <c r="F127" s="505" t="s">
        <v>136</v>
      </c>
      <c r="G127" s="506">
        <v>2</v>
      </c>
      <c r="H127" s="505" t="s">
        <v>663</v>
      </c>
      <c r="I127" s="505" t="s">
        <v>676</v>
      </c>
      <c r="J127" s="505" t="s">
        <v>709</v>
      </c>
      <c r="K127" s="507" t="s">
        <v>664</v>
      </c>
      <c r="L127" s="505" t="s">
        <v>122</v>
      </c>
      <c r="M127" s="507" t="s">
        <v>264</v>
      </c>
      <c r="N127" s="508">
        <v>150</v>
      </c>
      <c r="O127" s="508">
        <v>96</v>
      </c>
      <c r="P127" s="197" t="s">
        <v>266</v>
      </c>
      <c r="Q127" s="178" t="s">
        <v>342</v>
      </c>
      <c r="R127" s="176" t="s">
        <v>699</v>
      </c>
      <c r="S127" s="179" t="s">
        <v>271</v>
      </c>
      <c r="T127" s="411">
        <v>670.1</v>
      </c>
      <c r="U127" s="560">
        <f t="shared" si="5"/>
        <v>168.86519999999999</v>
      </c>
      <c r="V127" s="568">
        <v>7706.74</v>
      </c>
      <c r="W127" s="567">
        <v>385.33699999999999</v>
      </c>
      <c r="X127" s="567">
        <v>77.067400000000006</v>
      </c>
      <c r="Y127" s="522">
        <v>308.26959999999997</v>
      </c>
      <c r="Z127" s="572">
        <f>(Y127-U127)/Y127</f>
        <v>0.45221585261731939</v>
      </c>
      <c r="AA127" s="412">
        <v>305.3</v>
      </c>
      <c r="AB127" s="560">
        <f t="shared" si="4"/>
        <v>76.935599999999994</v>
      </c>
      <c r="AC127" s="568">
        <v>8053.24</v>
      </c>
      <c r="AD127" s="567">
        <v>402.66199999999998</v>
      </c>
      <c r="AE127" s="567">
        <v>80.532399999999996</v>
      </c>
      <c r="AF127" s="522">
        <v>322.12959999999998</v>
      </c>
      <c r="AG127" s="572">
        <f>(AF127-AB127)/AF127</f>
        <v>0.76116569231762621</v>
      </c>
    </row>
    <row r="128" spans="2:33" x14ac:dyDescent="0.25">
      <c r="B128" s="231">
        <v>24</v>
      </c>
      <c r="C128" s="503">
        <v>1</v>
      </c>
      <c r="D128" s="504" t="s">
        <v>298</v>
      </c>
      <c r="E128" s="505" t="s">
        <v>132</v>
      </c>
      <c r="F128" s="505" t="s">
        <v>136</v>
      </c>
      <c r="G128" s="506">
        <v>2</v>
      </c>
      <c r="H128" s="505" t="s">
        <v>663</v>
      </c>
      <c r="I128" s="505" t="s">
        <v>677</v>
      </c>
      <c r="J128" s="505" t="s">
        <v>709</v>
      </c>
      <c r="K128" s="507" t="s">
        <v>664</v>
      </c>
      <c r="L128" s="505" t="s">
        <v>122</v>
      </c>
      <c r="M128" s="507" t="s">
        <v>264</v>
      </c>
      <c r="N128" s="508">
        <v>150</v>
      </c>
      <c r="O128" s="508">
        <v>96</v>
      </c>
      <c r="P128" s="197" t="s">
        <v>266</v>
      </c>
      <c r="Q128" s="178" t="s">
        <v>342</v>
      </c>
      <c r="R128" s="176" t="s">
        <v>699</v>
      </c>
      <c r="S128" s="179" t="s">
        <v>271</v>
      </c>
      <c r="T128" s="411">
        <v>816.65000000000009</v>
      </c>
      <c r="U128" s="560">
        <f t="shared" si="5"/>
        <v>205.79579999999999</v>
      </c>
      <c r="V128" s="568">
        <v>7951.28</v>
      </c>
      <c r="W128" s="567">
        <v>397.56399999999996</v>
      </c>
      <c r="X128" s="567">
        <v>79.512799999999999</v>
      </c>
      <c r="Y128" s="522">
        <v>318.05119999999999</v>
      </c>
      <c r="Z128" s="572">
        <f>(Y128-U128)/Y128</f>
        <v>0.3529475757362337</v>
      </c>
      <c r="AA128" s="412">
        <v>305.3</v>
      </c>
      <c r="AB128" s="560">
        <f t="shared" si="4"/>
        <v>76.935599999999994</v>
      </c>
      <c r="AC128" s="568">
        <v>8053.24</v>
      </c>
      <c r="AD128" s="567">
        <v>402.66199999999998</v>
      </c>
      <c r="AE128" s="567">
        <v>80.532399999999996</v>
      </c>
      <c r="AF128" s="522">
        <v>322.12959999999998</v>
      </c>
      <c r="AG128" s="572">
        <f>(AF128-AB128)/AF128</f>
        <v>0.76116569231762621</v>
      </c>
    </row>
    <row r="129" spans="2:33" x14ac:dyDescent="0.25">
      <c r="B129" s="231">
        <v>25</v>
      </c>
      <c r="C129" s="553">
        <v>1</v>
      </c>
      <c r="D129" s="554" t="s">
        <v>298</v>
      </c>
      <c r="E129" s="555" t="s">
        <v>132</v>
      </c>
      <c r="F129" s="555" t="s">
        <v>116</v>
      </c>
      <c r="G129" s="556">
        <v>2</v>
      </c>
      <c r="H129" s="555" t="s">
        <v>187</v>
      </c>
      <c r="I129" s="555" t="s">
        <v>323</v>
      </c>
      <c r="J129" s="555" t="s">
        <v>709</v>
      </c>
      <c r="K129" s="557" t="s">
        <v>665</v>
      </c>
      <c r="L129" s="555" t="s">
        <v>122</v>
      </c>
      <c r="M129" s="557" t="s">
        <v>264</v>
      </c>
      <c r="N129" s="558">
        <v>72</v>
      </c>
      <c r="O129" s="558">
        <v>96</v>
      </c>
      <c r="P129" s="197" t="s">
        <v>266</v>
      </c>
      <c r="Q129" s="178" t="s">
        <v>342</v>
      </c>
      <c r="R129" s="176" t="s">
        <v>699</v>
      </c>
      <c r="S129" s="179" t="s">
        <v>271</v>
      </c>
      <c r="T129" s="411">
        <v>122.9</v>
      </c>
      <c r="U129" s="560">
        <f t="shared" si="5"/>
        <v>30.970800000000001</v>
      </c>
      <c r="V129" s="568"/>
      <c r="W129" s="568"/>
      <c r="X129" s="567"/>
      <c r="Y129" s="522"/>
      <c r="Z129" s="634">
        <f>AVERAGE(Z131:Z134,Z137:Z140,Z143:Z146,Z149:Z152)</f>
        <v>0.43465689702216354</v>
      </c>
      <c r="AA129" s="412">
        <v>175.3</v>
      </c>
      <c r="AB129" s="560">
        <f t="shared" si="4"/>
        <v>44.175599999999996</v>
      </c>
      <c r="AC129" s="568"/>
      <c r="AD129" s="568"/>
      <c r="AE129" s="567"/>
      <c r="AF129" s="522"/>
      <c r="AG129" s="634">
        <f>AVERAGE(AG131:AG134,AG137:AG140,AG143:AG146,AG149:AG152)</f>
        <v>0.78625950721922311</v>
      </c>
    </row>
    <row r="130" spans="2:33" x14ac:dyDescent="0.25">
      <c r="B130" s="231">
        <v>26</v>
      </c>
      <c r="C130" s="509">
        <v>1</v>
      </c>
      <c r="D130" s="510" t="s">
        <v>298</v>
      </c>
      <c r="E130" s="511" t="s">
        <v>132</v>
      </c>
      <c r="F130" s="511" t="s">
        <v>116</v>
      </c>
      <c r="G130" s="512">
        <v>2</v>
      </c>
      <c r="H130" s="511" t="s">
        <v>691</v>
      </c>
      <c r="I130" s="511" t="s">
        <v>323</v>
      </c>
      <c r="J130" s="511" t="s">
        <v>709</v>
      </c>
      <c r="K130" s="513" t="s">
        <v>665</v>
      </c>
      <c r="L130" s="511" t="s">
        <v>122</v>
      </c>
      <c r="M130" s="513" t="s">
        <v>264</v>
      </c>
      <c r="N130" s="514">
        <v>72</v>
      </c>
      <c r="O130" s="514">
        <v>96</v>
      </c>
      <c r="P130" s="197" t="s">
        <v>266</v>
      </c>
      <c r="Q130" s="178" t="s">
        <v>342</v>
      </c>
      <c r="R130" s="176" t="s">
        <v>699</v>
      </c>
      <c r="S130" s="179" t="s">
        <v>271</v>
      </c>
      <c r="T130" s="411">
        <v>221.15</v>
      </c>
      <c r="U130" s="560">
        <f t="shared" si="5"/>
        <v>55.729799999999997</v>
      </c>
      <c r="V130" s="568"/>
      <c r="W130" s="568"/>
      <c r="X130" s="567"/>
      <c r="Y130" s="522"/>
      <c r="Z130" s="573">
        <f>AVERAGE(Z131:Z134)</f>
        <v>0.4589927964883061</v>
      </c>
      <c r="AA130" s="412">
        <v>175.3</v>
      </c>
      <c r="AB130" s="560">
        <f t="shared" si="4"/>
        <v>44.175599999999996</v>
      </c>
      <c r="AC130" s="568"/>
      <c r="AD130" s="568"/>
      <c r="AE130" s="567"/>
      <c r="AF130" s="522"/>
      <c r="AG130" s="573">
        <f>AVERAGE(AG131:AG134)</f>
        <v>0.80962042685817415</v>
      </c>
    </row>
    <row r="131" spans="2:33" x14ac:dyDescent="0.25">
      <c r="B131" s="231">
        <v>27</v>
      </c>
      <c r="C131" s="515">
        <v>1</v>
      </c>
      <c r="D131" s="516" t="s">
        <v>298</v>
      </c>
      <c r="E131" s="517" t="s">
        <v>132</v>
      </c>
      <c r="F131" s="517" t="s">
        <v>116</v>
      </c>
      <c r="G131" s="518">
        <v>2</v>
      </c>
      <c r="H131" s="517" t="s">
        <v>663</v>
      </c>
      <c r="I131" s="517" t="s">
        <v>681</v>
      </c>
      <c r="J131" s="517" t="s">
        <v>709</v>
      </c>
      <c r="K131" s="519" t="s">
        <v>665</v>
      </c>
      <c r="L131" s="517" t="s">
        <v>122</v>
      </c>
      <c r="M131" s="519" t="s">
        <v>264</v>
      </c>
      <c r="N131" s="520">
        <v>72</v>
      </c>
      <c r="O131" s="520">
        <v>96</v>
      </c>
      <c r="P131" s="197" t="s">
        <v>266</v>
      </c>
      <c r="Q131" s="178" t="s">
        <v>342</v>
      </c>
      <c r="R131" s="176" t="s">
        <v>699</v>
      </c>
      <c r="S131" s="179" t="s">
        <v>271</v>
      </c>
      <c r="T131" s="411">
        <v>182.4</v>
      </c>
      <c r="U131" s="560">
        <f t="shared" si="5"/>
        <v>45.96479999999999</v>
      </c>
      <c r="V131" s="568">
        <v>2498.04</v>
      </c>
      <c r="W131" s="567">
        <v>124.902</v>
      </c>
      <c r="X131" s="567">
        <v>24.980400000000003</v>
      </c>
      <c r="Y131" s="522">
        <v>99.921599999999998</v>
      </c>
      <c r="Z131" s="572">
        <f>(Y131-U131)/Y131</f>
        <v>0.53999135322092529</v>
      </c>
      <c r="AA131" s="412">
        <v>175.3</v>
      </c>
      <c r="AB131" s="560">
        <f t="shared" si="4"/>
        <v>44.175599999999996</v>
      </c>
      <c r="AC131" s="568">
        <v>5800.99</v>
      </c>
      <c r="AD131" s="567">
        <v>290.04949999999997</v>
      </c>
      <c r="AE131" s="567">
        <v>58.009899999999995</v>
      </c>
      <c r="AF131" s="522">
        <v>232.03959999999998</v>
      </c>
      <c r="AG131" s="572">
        <f>(AF131-AB131)/AF131</f>
        <v>0.80962042685817415</v>
      </c>
    </row>
    <row r="132" spans="2:33" x14ac:dyDescent="0.25">
      <c r="B132" s="231">
        <v>28</v>
      </c>
      <c r="C132" s="515">
        <v>1</v>
      </c>
      <c r="D132" s="516" t="s">
        <v>298</v>
      </c>
      <c r="E132" s="517" t="s">
        <v>132</v>
      </c>
      <c r="F132" s="517" t="s">
        <v>116</v>
      </c>
      <c r="G132" s="518">
        <v>2</v>
      </c>
      <c r="H132" s="517" t="s">
        <v>663</v>
      </c>
      <c r="I132" s="517" t="s">
        <v>685</v>
      </c>
      <c r="J132" s="517" t="s">
        <v>709</v>
      </c>
      <c r="K132" s="519" t="s">
        <v>665</v>
      </c>
      <c r="L132" s="517" t="s">
        <v>122</v>
      </c>
      <c r="M132" s="519" t="s">
        <v>264</v>
      </c>
      <c r="N132" s="520">
        <v>72</v>
      </c>
      <c r="O132" s="520">
        <v>96</v>
      </c>
      <c r="P132" s="197" t="s">
        <v>266</v>
      </c>
      <c r="Q132" s="178" t="s">
        <v>342</v>
      </c>
      <c r="R132" s="176" t="s">
        <v>699</v>
      </c>
      <c r="S132" s="179" t="s">
        <v>271</v>
      </c>
      <c r="T132" s="411">
        <v>217.65</v>
      </c>
      <c r="U132" s="560">
        <f t="shared" si="5"/>
        <v>54.847799999999999</v>
      </c>
      <c r="V132" s="568">
        <v>2762.46</v>
      </c>
      <c r="W132" s="567">
        <v>138.12299999999999</v>
      </c>
      <c r="X132" s="567">
        <v>27.624600000000001</v>
      </c>
      <c r="Y132" s="522">
        <v>110.49839999999999</v>
      </c>
      <c r="Z132" s="572">
        <f>(Y132-U132)/Y132</f>
        <v>0.50363263178471362</v>
      </c>
      <c r="AA132" s="412">
        <v>175.3</v>
      </c>
      <c r="AB132" s="560">
        <f t="shared" si="4"/>
        <v>44.175599999999996</v>
      </c>
      <c r="AC132" s="568">
        <v>5800.99</v>
      </c>
      <c r="AD132" s="567">
        <v>290.04949999999997</v>
      </c>
      <c r="AE132" s="567">
        <v>58.009899999999995</v>
      </c>
      <c r="AF132" s="522">
        <v>232.03959999999998</v>
      </c>
      <c r="AG132" s="572">
        <f>(AF132-AB132)/AF132</f>
        <v>0.80962042685817415</v>
      </c>
    </row>
    <row r="133" spans="2:33" x14ac:dyDescent="0.25">
      <c r="B133" s="231">
        <v>29</v>
      </c>
      <c r="C133" s="515">
        <v>1</v>
      </c>
      <c r="D133" s="516" t="s">
        <v>298</v>
      </c>
      <c r="E133" s="517" t="s">
        <v>132</v>
      </c>
      <c r="F133" s="517" t="s">
        <v>116</v>
      </c>
      <c r="G133" s="518">
        <v>2</v>
      </c>
      <c r="H133" s="517" t="s">
        <v>663</v>
      </c>
      <c r="I133" s="517" t="s">
        <v>687</v>
      </c>
      <c r="J133" s="517" t="s">
        <v>709</v>
      </c>
      <c r="K133" s="519" t="s">
        <v>665</v>
      </c>
      <c r="L133" s="517" t="s">
        <v>122</v>
      </c>
      <c r="M133" s="519" t="s">
        <v>264</v>
      </c>
      <c r="N133" s="520">
        <v>72</v>
      </c>
      <c r="O133" s="520">
        <v>96</v>
      </c>
      <c r="P133" s="197" t="s">
        <v>266</v>
      </c>
      <c r="Q133" s="178" t="s">
        <v>342</v>
      </c>
      <c r="R133" s="176" t="s">
        <v>699</v>
      </c>
      <c r="S133" s="179" t="s">
        <v>271</v>
      </c>
      <c r="T133" s="411">
        <v>259.90000000000003</v>
      </c>
      <c r="U133" s="560">
        <f t="shared" si="5"/>
        <v>65.494799999999998</v>
      </c>
      <c r="V133" s="568">
        <v>2761.1</v>
      </c>
      <c r="W133" s="567">
        <v>138.05500000000001</v>
      </c>
      <c r="X133" s="567">
        <v>27.611000000000004</v>
      </c>
      <c r="Y133" s="522">
        <v>110.444</v>
      </c>
      <c r="Z133" s="572">
        <f>(Y133-U133)/Y133</f>
        <v>0.40698634602151318</v>
      </c>
      <c r="AA133" s="412">
        <v>175.3</v>
      </c>
      <c r="AB133" s="560">
        <f t="shared" si="4"/>
        <v>44.175599999999996</v>
      </c>
      <c r="AC133" s="568">
        <v>5800.99</v>
      </c>
      <c r="AD133" s="567">
        <v>290.04949999999997</v>
      </c>
      <c r="AE133" s="567">
        <v>58.009899999999995</v>
      </c>
      <c r="AF133" s="522">
        <v>232.03959999999998</v>
      </c>
      <c r="AG133" s="572">
        <f>(AF133-AB133)/AF133</f>
        <v>0.80962042685817415</v>
      </c>
    </row>
    <row r="134" spans="2:33" x14ac:dyDescent="0.25">
      <c r="B134" s="231">
        <v>30</v>
      </c>
      <c r="C134" s="515">
        <v>1</v>
      </c>
      <c r="D134" s="516" t="s">
        <v>298</v>
      </c>
      <c r="E134" s="517" t="s">
        <v>132</v>
      </c>
      <c r="F134" s="517" t="s">
        <v>116</v>
      </c>
      <c r="G134" s="518">
        <v>2</v>
      </c>
      <c r="H134" s="517" t="s">
        <v>663</v>
      </c>
      <c r="I134" s="517" t="s">
        <v>689</v>
      </c>
      <c r="J134" s="517" t="s">
        <v>709</v>
      </c>
      <c r="K134" s="519" t="s">
        <v>665</v>
      </c>
      <c r="L134" s="517" t="s">
        <v>122</v>
      </c>
      <c r="M134" s="519" t="s">
        <v>264</v>
      </c>
      <c r="N134" s="520">
        <v>72</v>
      </c>
      <c r="O134" s="520">
        <v>96</v>
      </c>
      <c r="P134" s="197" t="s">
        <v>266</v>
      </c>
      <c r="Q134" s="178" t="s">
        <v>342</v>
      </c>
      <c r="R134" s="176" t="s">
        <v>699</v>
      </c>
      <c r="S134" s="179" t="s">
        <v>271</v>
      </c>
      <c r="T134" s="411">
        <v>299.90000000000003</v>
      </c>
      <c r="U134" s="560">
        <f t="shared" si="5"/>
        <v>75.574799999999996</v>
      </c>
      <c r="V134" s="568">
        <v>3073.95</v>
      </c>
      <c r="W134" s="567">
        <v>153.69749999999999</v>
      </c>
      <c r="X134" s="567">
        <v>30.7395</v>
      </c>
      <c r="Y134" s="522">
        <v>122.958</v>
      </c>
      <c r="Z134" s="572">
        <f>(Y134-U134)/Y134</f>
        <v>0.38536085492607236</v>
      </c>
      <c r="AA134" s="412">
        <v>175.3</v>
      </c>
      <c r="AB134" s="560">
        <f t="shared" si="4"/>
        <v>44.175599999999996</v>
      </c>
      <c r="AC134" s="568">
        <v>5800.99</v>
      </c>
      <c r="AD134" s="567">
        <v>290.04949999999997</v>
      </c>
      <c r="AE134" s="567">
        <v>58.009899999999995</v>
      </c>
      <c r="AF134" s="522">
        <v>232.03959999999998</v>
      </c>
      <c r="AG134" s="572">
        <f>(AF134-AB134)/AF134</f>
        <v>0.80962042685817415</v>
      </c>
    </row>
    <row r="135" spans="2:33" x14ac:dyDescent="0.25">
      <c r="B135" s="231">
        <v>31</v>
      </c>
      <c r="C135" s="553">
        <v>1</v>
      </c>
      <c r="D135" s="554" t="s">
        <v>298</v>
      </c>
      <c r="E135" s="555" t="s">
        <v>132</v>
      </c>
      <c r="F135" s="555" t="s">
        <v>116</v>
      </c>
      <c r="G135" s="556">
        <v>2</v>
      </c>
      <c r="H135" s="555" t="s">
        <v>187</v>
      </c>
      <c r="I135" s="555" t="s">
        <v>323</v>
      </c>
      <c r="J135" s="555" t="s">
        <v>709</v>
      </c>
      <c r="K135" s="557" t="s">
        <v>665</v>
      </c>
      <c r="L135" s="555" t="s">
        <v>122</v>
      </c>
      <c r="M135" s="557" t="s">
        <v>264</v>
      </c>
      <c r="N135" s="558">
        <v>98</v>
      </c>
      <c r="O135" s="558">
        <v>96</v>
      </c>
      <c r="P135" s="197" t="s">
        <v>266</v>
      </c>
      <c r="Q135" s="178" t="s">
        <v>342</v>
      </c>
      <c r="R135" s="176" t="s">
        <v>699</v>
      </c>
      <c r="S135" s="179" t="s">
        <v>271</v>
      </c>
      <c r="T135" s="411">
        <v>161.20000000000002</v>
      </c>
      <c r="U135" s="560">
        <f t="shared" si="5"/>
        <v>40.622399999999992</v>
      </c>
      <c r="V135" s="568"/>
      <c r="W135" s="568"/>
      <c r="X135" s="567"/>
      <c r="Y135" s="522"/>
      <c r="Z135" s="522"/>
      <c r="AA135" s="412">
        <v>218.65</v>
      </c>
      <c r="AB135" s="560">
        <f t="shared" si="4"/>
        <v>55.099799999999995</v>
      </c>
      <c r="AC135" s="568"/>
      <c r="AD135" s="568"/>
      <c r="AE135" s="567"/>
      <c r="AF135" s="522"/>
      <c r="AG135" s="522"/>
    </row>
    <row r="136" spans="2:33" x14ac:dyDescent="0.25">
      <c r="B136" s="231">
        <v>32</v>
      </c>
      <c r="C136" s="509">
        <v>1</v>
      </c>
      <c r="D136" s="510" t="s">
        <v>298</v>
      </c>
      <c r="E136" s="511" t="s">
        <v>132</v>
      </c>
      <c r="F136" s="511" t="s">
        <v>116</v>
      </c>
      <c r="G136" s="512">
        <v>2</v>
      </c>
      <c r="H136" s="511" t="s">
        <v>691</v>
      </c>
      <c r="I136" s="511" t="s">
        <v>323</v>
      </c>
      <c r="J136" s="511" t="s">
        <v>709</v>
      </c>
      <c r="K136" s="513" t="s">
        <v>665</v>
      </c>
      <c r="L136" s="511" t="s">
        <v>122</v>
      </c>
      <c r="M136" s="513" t="s">
        <v>264</v>
      </c>
      <c r="N136" s="514">
        <v>98</v>
      </c>
      <c r="O136" s="514">
        <v>96</v>
      </c>
      <c r="P136" s="197" t="s">
        <v>266</v>
      </c>
      <c r="Q136" s="178" t="s">
        <v>342</v>
      </c>
      <c r="R136" s="176" t="s">
        <v>699</v>
      </c>
      <c r="S136" s="179" t="s">
        <v>271</v>
      </c>
      <c r="T136" s="411">
        <v>288.95</v>
      </c>
      <c r="U136" s="560">
        <f t="shared" si="5"/>
        <v>72.815399999999983</v>
      </c>
      <c r="V136" s="568"/>
      <c r="W136" s="568"/>
      <c r="X136" s="567"/>
      <c r="Y136" s="522"/>
      <c r="Z136" s="573">
        <f>AVERAGE(Z137:Z140)</f>
        <v>0.4356417698402314</v>
      </c>
      <c r="AA136" s="412">
        <v>218.65</v>
      </c>
      <c r="AB136" s="560">
        <f t="shared" si="4"/>
        <v>55.099799999999995</v>
      </c>
      <c r="AC136" s="568"/>
      <c r="AD136" s="568"/>
      <c r="AE136" s="567"/>
      <c r="AF136" s="522"/>
      <c r="AG136" s="573">
        <f>AVERAGE(AG137:AG140)</f>
        <v>0.79836687554616803</v>
      </c>
    </row>
    <row r="137" spans="2:33" x14ac:dyDescent="0.25">
      <c r="B137" s="231">
        <v>33</v>
      </c>
      <c r="C137" s="515">
        <v>1</v>
      </c>
      <c r="D137" s="516" t="s">
        <v>298</v>
      </c>
      <c r="E137" s="517" t="s">
        <v>132</v>
      </c>
      <c r="F137" s="517" t="s">
        <v>116</v>
      </c>
      <c r="G137" s="518">
        <v>2</v>
      </c>
      <c r="H137" s="517" t="s">
        <v>663</v>
      </c>
      <c r="I137" s="517" t="s">
        <v>681</v>
      </c>
      <c r="J137" s="517" t="s">
        <v>709</v>
      </c>
      <c r="K137" s="519" t="s">
        <v>665</v>
      </c>
      <c r="L137" s="517" t="s">
        <v>122</v>
      </c>
      <c r="M137" s="519" t="s">
        <v>264</v>
      </c>
      <c r="N137" s="520">
        <v>98</v>
      </c>
      <c r="O137" s="520">
        <v>96</v>
      </c>
      <c r="P137" s="197" t="s">
        <v>266</v>
      </c>
      <c r="Q137" s="178" t="s">
        <v>342</v>
      </c>
      <c r="R137" s="176" t="s">
        <v>699</v>
      </c>
      <c r="S137" s="179" t="s">
        <v>271</v>
      </c>
      <c r="T137" s="411">
        <v>238.55</v>
      </c>
      <c r="U137" s="560">
        <f t="shared" si="5"/>
        <v>60.114599999999989</v>
      </c>
      <c r="V137" s="568">
        <v>3127.68</v>
      </c>
      <c r="W137" s="567">
        <v>156.38399999999999</v>
      </c>
      <c r="X137" s="567">
        <v>31.276799999999998</v>
      </c>
      <c r="Y137" s="522">
        <v>125.10719999999999</v>
      </c>
      <c r="Z137" s="572">
        <f>(Y137-U137)/Y137</f>
        <v>0.51949528084714558</v>
      </c>
      <c r="AA137" s="412">
        <v>218.65</v>
      </c>
      <c r="AB137" s="560">
        <f t="shared" si="4"/>
        <v>55.099799999999995</v>
      </c>
      <c r="AC137" s="568">
        <v>6831.69</v>
      </c>
      <c r="AD137" s="567">
        <v>341.58449999999999</v>
      </c>
      <c r="AE137" s="567">
        <v>68.316900000000004</v>
      </c>
      <c r="AF137" s="522">
        <v>273.26760000000002</v>
      </c>
      <c r="AG137" s="572">
        <f>(AF137-AB137)/AF137</f>
        <v>0.79836687554616803</v>
      </c>
    </row>
    <row r="138" spans="2:33" x14ac:dyDescent="0.25">
      <c r="B138" s="231">
        <v>34</v>
      </c>
      <c r="C138" s="515">
        <v>1</v>
      </c>
      <c r="D138" s="516" t="s">
        <v>298</v>
      </c>
      <c r="E138" s="517" t="s">
        <v>132</v>
      </c>
      <c r="F138" s="517" t="s">
        <v>116</v>
      </c>
      <c r="G138" s="518">
        <v>2</v>
      </c>
      <c r="H138" s="517" t="s">
        <v>663</v>
      </c>
      <c r="I138" s="517" t="s">
        <v>685</v>
      </c>
      <c r="J138" s="517" t="s">
        <v>709</v>
      </c>
      <c r="K138" s="519" t="s">
        <v>665</v>
      </c>
      <c r="L138" s="517" t="s">
        <v>122</v>
      </c>
      <c r="M138" s="519" t="s">
        <v>264</v>
      </c>
      <c r="N138" s="520">
        <v>98</v>
      </c>
      <c r="O138" s="520">
        <v>96</v>
      </c>
      <c r="P138" s="197" t="s">
        <v>266</v>
      </c>
      <c r="Q138" s="178" t="s">
        <v>342</v>
      </c>
      <c r="R138" s="176" t="s">
        <v>699</v>
      </c>
      <c r="S138" s="179" t="s">
        <v>271</v>
      </c>
      <c r="T138" s="411">
        <v>284.40000000000003</v>
      </c>
      <c r="U138" s="560">
        <f t="shared" si="5"/>
        <v>71.668800000000005</v>
      </c>
      <c r="V138" s="568">
        <v>3459.22</v>
      </c>
      <c r="W138" s="567">
        <v>172.96099999999998</v>
      </c>
      <c r="X138" s="567">
        <v>34.592199999999998</v>
      </c>
      <c r="Y138" s="522">
        <v>138.36879999999999</v>
      </c>
      <c r="Z138" s="572">
        <f>(Y138-U138)/Y138</f>
        <v>0.48204508530824863</v>
      </c>
      <c r="AA138" s="412">
        <v>218.65</v>
      </c>
      <c r="AB138" s="560">
        <f t="shared" si="4"/>
        <v>55.099799999999995</v>
      </c>
      <c r="AC138" s="568">
        <v>6831.69</v>
      </c>
      <c r="AD138" s="567">
        <v>341.58449999999999</v>
      </c>
      <c r="AE138" s="567">
        <v>68.316900000000004</v>
      </c>
      <c r="AF138" s="522">
        <v>273.26760000000002</v>
      </c>
      <c r="AG138" s="572">
        <f>(AF138-AB138)/AF138</f>
        <v>0.79836687554616803</v>
      </c>
    </row>
    <row r="139" spans="2:33" x14ac:dyDescent="0.25">
      <c r="B139" s="231">
        <v>35</v>
      </c>
      <c r="C139" s="515">
        <v>1</v>
      </c>
      <c r="D139" s="516" t="s">
        <v>298</v>
      </c>
      <c r="E139" s="517" t="s">
        <v>132</v>
      </c>
      <c r="F139" s="517" t="s">
        <v>116</v>
      </c>
      <c r="G139" s="518">
        <v>2</v>
      </c>
      <c r="H139" s="517" t="s">
        <v>663</v>
      </c>
      <c r="I139" s="517" t="s">
        <v>687</v>
      </c>
      <c r="J139" s="517" t="s">
        <v>709</v>
      </c>
      <c r="K139" s="519" t="s">
        <v>665</v>
      </c>
      <c r="L139" s="517" t="s">
        <v>122</v>
      </c>
      <c r="M139" s="519" t="s">
        <v>264</v>
      </c>
      <c r="N139" s="520">
        <v>98</v>
      </c>
      <c r="O139" s="520">
        <v>96</v>
      </c>
      <c r="P139" s="197" t="s">
        <v>266</v>
      </c>
      <c r="Q139" s="178" t="s">
        <v>342</v>
      </c>
      <c r="R139" s="176" t="s">
        <v>699</v>
      </c>
      <c r="S139" s="179" t="s">
        <v>271</v>
      </c>
      <c r="T139" s="411">
        <v>339.3</v>
      </c>
      <c r="U139" s="560">
        <f t="shared" si="5"/>
        <v>85.503599999999992</v>
      </c>
      <c r="V139" s="568">
        <v>3456.49</v>
      </c>
      <c r="W139" s="567">
        <v>172.8245</v>
      </c>
      <c r="X139" s="567">
        <v>34.564900000000002</v>
      </c>
      <c r="Y139" s="522">
        <v>138.25960000000001</v>
      </c>
      <c r="Z139" s="572">
        <f>(Y139-U139)/Y139</f>
        <v>0.3815720572025379</v>
      </c>
      <c r="AA139" s="412">
        <v>218.65</v>
      </c>
      <c r="AB139" s="560">
        <f t="shared" si="4"/>
        <v>55.099799999999995</v>
      </c>
      <c r="AC139" s="568">
        <v>6831.69</v>
      </c>
      <c r="AD139" s="567">
        <v>341.58449999999999</v>
      </c>
      <c r="AE139" s="567">
        <v>68.316900000000004</v>
      </c>
      <c r="AF139" s="522">
        <v>273.26760000000002</v>
      </c>
      <c r="AG139" s="572">
        <f>(AF139-AB139)/AF139</f>
        <v>0.79836687554616803</v>
      </c>
    </row>
    <row r="140" spans="2:33" x14ac:dyDescent="0.25">
      <c r="B140" s="231">
        <v>36</v>
      </c>
      <c r="C140" s="515">
        <v>1</v>
      </c>
      <c r="D140" s="516" t="s">
        <v>298</v>
      </c>
      <c r="E140" s="517" t="s">
        <v>132</v>
      </c>
      <c r="F140" s="517" t="s">
        <v>116</v>
      </c>
      <c r="G140" s="518">
        <v>2</v>
      </c>
      <c r="H140" s="517" t="s">
        <v>663</v>
      </c>
      <c r="I140" s="517" t="s">
        <v>689</v>
      </c>
      <c r="J140" s="517" t="s">
        <v>709</v>
      </c>
      <c r="K140" s="519" t="s">
        <v>665</v>
      </c>
      <c r="L140" s="517" t="s">
        <v>122</v>
      </c>
      <c r="M140" s="519" t="s">
        <v>264</v>
      </c>
      <c r="N140" s="520">
        <v>98</v>
      </c>
      <c r="O140" s="520">
        <v>96</v>
      </c>
      <c r="P140" s="197" t="s">
        <v>266</v>
      </c>
      <c r="Q140" s="178" t="s">
        <v>342</v>
      </c>
      <c r="R140" s="176" t="s">
        <v>699</v>
      </c>
      <c r="S140" s="179" t="s">
        <v>271</v>
      </c>
      <c r="T140" s="411">
        <v>391.3</v>
      </c>
      <c r="U140" s="560">
        <f t="shared" si="5"/>
        <v>98.607599999999977</v>
      </c>
      <c r="V140" s="568">
        <v>3848.58</v>
      </c>
      <c r="W140" s="567">
        <v>192.429</v>
      </c>
      <c r="X140" s="567">
        <v>38.485800000000005</v>
      </c>
      <c r="Y140" s="522">
        <v>153.94319999999999</v>
      </c>
      <c r="Z140" s="572">
        <f>(Y140-U140)/Y140</f>
        <v>0.35945465600299342</v>
      </c>
      <c r="AA140" s="412">
        <v>218.65</v>
      </c>
      <c r="AB140" s="560">
        <f t="shared" si="4"/>
        <v>55.099799999999995</v>
      </c>
      <c r="AC140" s="568">
        <v>6831.69</v>
      </c>
      <c r="AD140" s="567">
        <v>341.58449999999999</v>
      </c>
      <c r="AE140" s="567">
        <v>68.316900000000004</v>
      </c>
      <c r="AF140" s="522">
        <v>273.26760000000002</v>
      </c>
      <c r="AG140" s="572">
        <f>(AF140-AB140)/AF140</f>
        <v>0.79836687554616803</v>
      </c>
    </row>
    <row r="141" spans="2:33" x14ac:dyDescent="0.25">
      <c r="B141" s="231">
        <v>37</v>
      </c>
      <c r="C141" s="553">
        <v>1</v>
      </c>
      <c r="D141" s="554" t="s">
        <v>298</v>
      </c>
      <c r="E141" s="555" t="s">
        <v>132</v>
      </c>
      <c r="F141" s="555" t="s">
        <v>116</v>
      </c>
      <c r="G141" s="556">
        <v>2</v>
      </c>
      <c r="H141" s="555" t="s">
        <v>187</v>
      </c>
      <c r="I141" s="555" t="s">
        <v>323</v>
      </c>
      <c r="J141" s="555" t="s">
        <v>709</v>
      </c>
      <c r="K141" s="557" t="s">
        <v>665</v>
      </c>
      <c r="L141" s="555" t="s">
        <v>122</v>
      </c>
      <c r="M141" s="557" t="s">
        <v>264</v>
      </c>
      <c r="N141" s="558">
        <v>124</v>
      </c>
      <c r="O141" s="558">
        <v>96</v>
      </c>
      <c r="P141" s="197" t="s">
        <v>266</v>
      </c>
      <c r="Q141" s="178" t="s">
        <v>342</v>
      </c>
      <c r="R141" s="176" t="s">
        <v>699</v>
      </c>
      <c r="S141" s="179" t="s">
        <v>271</v>
      </c>
      <c r="T141" s="411">
        <v>199.5</v>
      </c>
      <c r="U141" s="560">
        <f t="shared" si="5"/>
        <v>50.273999999999987</v>
      </c>
      <c r="V141" s="568"/>
      <c r="W141" s="568"/>
      <c r="X141" s="567"/>
      <c r="Y141" s="522"/>
      <c r="Z141" s="522"/>
      <c r="AA141" s="412">
        <v>262</v>
      </c>
      <c r="AB141" s="560">
        <f t="shared" si="4"/>
        <v>66.023999999999987</v>
      </c>
      <c r="AC141" s="568"/>
      <c r="AD141" s="568"/>
      <c r="AE141" s="567"/>
      <c r="AF141" s="522"/>
      <c r="AG141" s="522"/>
    </row>
    <row r="142" spans="2:33" x14ac:dyDescent="0.25">
      <c r="B142" s="231">
        <v>38</v>
      </c>
      <c r="C142" s="509">
        <v>1</v>
      </c>
      <c r="D142" s="510" t="s">
        <v>298</v>
      </c>
      <c r="E142" s="511" t="s">
        <v>132</v>
      </c>
      <c r="F142" s="511" t="s">
        <v>116</v>
      </c>
      <c r="G142" s="512">
        <v>2</v>
      </c>
      <c r="H142" s="511" t="s">
        <v>691</v>
      </c>
      <c r="I142" s="511" t="s">
        <v>323</v>
      </c>
      <c r="J142" s="511" t="s">
        <v>709</v>
      </c>
      <c r="K142" s="513" t="s">
        <v>665</v>
      </c>
      <c r="L142" s="511" t="s">
        <v>122</v>
      </c>
      <c r="M142" s="513" t="s">
        <v>264</v>
      </c>
      <c r="N142" s="514">
        <v>124</v>
      </c>
      <c r="O142" s="514">
        <v>96</v>
      </c>
      <c r="P142" s="197" t="s">
        <v>266</v>
      </c>
      <c r="Q142" s="178" t="s">
        <v>342</v>
      </c>
      <c r="R142" s="176" t="s">
        <v>699</v>
      </c>
      <c r="S142" s="179" t="s">
        <v>271</v>
      </c>
      <c r="T142" s="411">
        <v>356.70000000000005</v>
      </c>
      <c r="U142" s="560">
        <f t="shared" si="5"/>
        <v>89.888400000000004</v>
      </c>
      <c r="V142" s="568"/>
      <c r="W142" s="568"/>
      <c r="X142" s="567"/>
      <c r="Y142" s="522"/>
      <c r="Z142" s="573">
        <f>AVERAGE(Z143:Z146)</f>
        <v>0.4200433366337909</v>
      </c>
      <c r="AA142" s="412">
        <v>262</v>
      </c>
      <c r="AB142" s="560">
        <f t="shared" si="4"/>
        <v>66.023999999999987</v>
      </c>
      <c r="AC142" s="568"/>
      <c r="AD142" s="568"/>
      <c r="AE142" s="567"/>
      <c r="AF142" s="522"/>
      <c r="AG142" s="573">
        <f>AVERAGE(AG143:AG146)</f>
        <v>0.77588503415492527</v>
      </c>
    </row>
    <row r="143" spans="2:33" x14ac:dyDescent="0.25">
      <c r="B143" s="231">
        <v>39</v>
      </c>
      <c r="C143" s="515">
        <v>1</v>
      </c>
      <c r="D143" s="516" t="s">
        <v>298</v>
      </c>
      <c r="E143" s="517" t="s">
        <v>132</v>
      </c>
      <c r="F143" s="517" t="s">
        <v>116</v>
      </c>
      <c r="G143" s="518">
        <v>2</v>
      </c>
      <c r="H143" s="517" t="s">
        <v>663</v>
      </c>
      <c r="I143" s="517" t="s">
        <v>681</v>
      </c>
      <c r="J143" s="517" t="s">
        <v>709</v>
      </c>
      <c r="K143" s="519" t="s">
        <v>665</v>
      </c>
      <c r="L143" s="517" t="s">
        <v>122</v>
      </c>
      <c r="M143" s="519" t="s">
        <v>264</v>
      </c>
      <c r="N143" s="520">
        <v>124</v>
      </c>
      <c r="O143" s="520">
        <v>96</v>
      </c>
      <c r="P143" s="197" t="s">
        <v>266</v>
      </c>
      <c r="Q143" s="178" t="s">
        <v>342</v>
      </c>
      <c r="R143" s="176" t="s">
        <v>699</v>
      </c>
      <c r="S143" s="179" t="s">
        <v>271</v>
      </c>
      <c r="T143" s="411">
        <v>294.7</v>
      </c>
      <c r="U143" s="560">
        <f t="shared" si="5"/>
        <v>74.264399999999995</v>
      </c>
      <c r="V143" s="568">
        <v>3757.32</v>
      </c>
      <c r="W143" s="567">
        <v>187.86600000000001</v>
      </c>
      <c r="X143" s="567">
        <v>37.573200000000007</v>
      </c>
      <c r="Y143" s="522">
        <v>150.2928</v>
      </c>
      <c r="Z143" s="572">
        <f>(Y143-U143)/Y143</f>
        <v>0.505868544600939</v>
      </c>
      <c r="AA143" s="412">
        <v>262</v>
      </c>
      <c r="AB143" s="560">
        <f t="shared" si="4"/>
        <v>66.023999999999987</v>
      </c>
      <c r="AC143" s="568">
        <v>7364.9699999999993</v>
      </c>
      <c r="AD143" s="567">
        <v>368.24849999999998</v>
      </c>
      <c r="AE143" s="567">
        <v>73.649699999999996</v>
      </c>
      <c r="AF143" s="522">
        <v>294.59879999999998</v>
      </c>
      <c r="AG143" s="572">
        <f>(AF143-AB143)/AF143</f>
        <v>0.77588503415492527</v>
      </c>
    </row>
    <row r="144" spans="2:33" x14ac:dyDescent="0.25">
      <c r="B144" s="231">
        <v>40</v>
      </c>
      <c r="C144" s="515">
        <v>1</v>
      </c>
      <c r="D144" s="516" t="s">
        <v>298</v>
      </c>
      <c r="E144" s="517" t="s">
        <v>132</v>
      </c>
      <c r="F144" s="517" t="s">
        <v>116</v>
      </c>
      <c r="G144" s="518">
        <v>2</v>
      </c>
      <c r="H144" s="517" t="s">
        <v>663</v>
      </c>
      <c r="I144" s="517" t="s">
        <v>685</v>
      </c>
      <c r="J144" s="517" t="s">
        <v>709</v>
      </c>
      <c r="K144" s="519" t="s">
        <v>665</v>
      </c>
      <c r="L144" s="517" t="s">
        <v>122</v>
      </c>
      <c r="M144" s="519" t="s">
        <v>264</v>
      </c>
      <c r="N144" s="520">
        <v>124</v>
      </c>
      <c r="O144" s="520">
        <v>96</v>
      </c>
      <c r="P144" s="197" t="s">
        <v>266</v>
      </c>
      <c r="Q144" s="178" t="s">
        <v>342</v>
      </c>
      <c r="R144" s="176" t="s">
        <v>699</v>
      </c>
      <c r="S144" s="179" t="s">
        <v>271</v>
      </c>
      <c r="T144" s="411">
        <v>351.1</v>
      </c>
      <c r="U144" s="560">
        <f t="shared" si="5"/>
        <v>88.477199999999996</v>
      </c>
      <c r="V144" s="568">
        <v>4154.6099999999997</v>
      </c>
      <c r="W144" s="567">
        <v>207.73049999999998</v>
      </c>
      <c r="X144" s="567">
        <v>41.546099999999996</v>
      </c>
      <c r="Y144" s="522">
        <v>166.18439999999998</v>
      </c>
      <c r="Z144" s="572">
        <f>(Y144-U144)/Y144</f>
        <v>0.4675962364698491</v>
      </c>
      <c r="AA144" s="412">
        <v>262</v>
      </c>
      <c r="AB144" s="560">
        <f t="shared" si="4"/>
        <v>66.023999999999987</v>
      </c>
      <c r="AC144" s="568">
        <v>7364.9699999999993</v>
      </c>
      <c r="AD144" s="567">
        <v>368.24849999999998</v>
      </c>
      <c r="AE144" s="567">
        <v>73.649699999999996</v>
      </c>
      <c r="AF144" s="522">
        <v>294.59879999999998</v>
      </c>
      <c r="AG144" s="572">
        <f>(AF144-AB144)/AF144</f>
        <v>0.77588503415492527</v>
      </c>
    </row>
    <row r="145" spans="2:33" x14ac:dyDescent="0.25">
      <c r="B145" s="231">
        <v>41</v>
      </c>
      <c r="C145" s="515">
        <v>1</v>
      </c>
      <c r="D145" s="516" t="s">
        <v>298</v>
      </c>
      <c r="E145" s="517" t="s">
        <v>132</v>
      </c>
      <c r="F145" s="517" t="s">
        <v>116</v>
      </c>
      <c r="G145" s="518">
        <v>2</v>
      </c>
      <c r="H145" s="517" t="s">
        <v>663</v>
      </c>
      <c r="I145" s="517" t="s">
        <v>687</v>
      </c>
      <c r="J145" s="517" t="s">
        <v>709</v>
      </c>
      <c r="K145" s="519" t="s">
        <v>665</v>
      </c>
      <c r="L145" s="517" t="s">
        <v>122</v>
      </c>
      <c r="M145" s="519" t="s">
        <v>264</v>
      </c>
      <c r="N145" s="520">
        <v>124</v>
      </c>
      <c r="O145" s="520">
        <v>96</v>
      </c>
      <c r="P145" s="197" t="s">
        <v>266</v>
      </c>
      <c r="Q145" s="178" t="s">
        <v>342</v>
      </c>
      <c r="R145" s="176" t="s">
        <v>699</v>
      </c>
      <c r="S145" s="179" t="s">
        <v>271</v>
      </c>
      <c r="T145" s="411">
        <v>418.70000000000005</v>
      </c>
      <c r="U145" s="560">
        <f t="shared" si="5"/>
        <v>105.5124</v>
      </c>
      <c r="V145" s="568">
        <v>4151.88</v>
      </c>
      <c r="W145" s="567">
        <v>207.59399999999999</v>
      </c>
      <c r="X145" s="567">
        <v>41.518799999999999</v>
      </c>
      <c r="Y145" s="522">
        <v>166.0752</v>
      </c>
      <c r="Z145" s="572">
        <f>(Y145-U145)/Y145</f>
        <v>0.36467094424694352</v>
      </c>
      <c r="AA145" s="412">
        <v>262</v>
      </c>
      <c r="AB145" s="560">
        <f t="shared" si="4"/>
        <v>66.023999999999987</v>
      </c>
      <c r="AC145" s="568">
        <v>7364.9699999999993</v>
      </c>
      <c r="AD145" s="567">
        <v>368.24849999999998</v>
      </c>
      <c r="AE145" s="567">
        <v>73.649699999999996</v>
      </c>
      <c r="AF145" s="522">
        <v>294.59879999999998</v>
      </c>
      <c r="AG145" s="572">
        <f>(AF145-AB145)/AF145</f>
        <v>0.77588503415492527</v>
      </c>
    </row>
    <row r="146" spans="2:33" x14ac:dyDescent="0.25">
      <c r="B146" s="231">
        <v>42</v>
      </c>
      <c r="C146" s="515">
        <v>1</v>
      </c>
      <c r="D146" s="516" t="s">
        <v>298</v>
      </c>
      <c r="E146" s="517" t="s">
        <v>132</v>
      </c>
      <c r="F146" s="517" t="s">
        <v>116</v>
      </c>
      <c r="G146" s="518">
        <v>2</v>
      </c>
      <c r="H146" s="517" t="s">
        <v>663</v>
      </c>
      <c r="I146" s="517" t="s">
        <v>689</v>
      </c>
      <c r="J146" s="517" t="s">
        <v>709</v>
      </c>
      <c r="K146" s="519" t="s">
        <v>665</v>
      </c>
      <c r="L146" s="517" t="s">
        <v>122</v>
      </c>
      <c r="M146" s="519" t="s">
        <v>264</v>
      </c>
      <c r="N146" s="520">
        <v>124</v>
      </c>
      <c r="O146" s="520">
        <v>96</v>
      </c>
      <c r="P146" s="197" t="s">
        <v>266</v>
      </c>
      <c r="Q146" s="178" t="s">
        <v>342</v>
      </c>
      <c r="R146" s="176" t="s">
        <v>699</v>
      </c>
      <c r="S146" s="179" t="s">
        <v>271</v>
      </c>
      <c r="T146" s="411">
        <v>482.70000000000005</v>
      </c>
      <c r="U146" s="560">
        <f t="shared" si="5"/>
        <v>121.64039999999999</v>
      </c>
      <c r="V146" s="568">
        <v>4621.8599999999997</v>
      </c>
      <c r="W146" s="567">
        <v>231.09299999999999</v>
      </c>
      <c r="X146" s="567">
        <v>46.218600000000002</v>
      </c>
      <c r="Y146" s="522">
        <v>184.87439999999998</v>
      </c>
      <c r="Z146" s="572">
        <f>(Y146-U146)/Y146</f>
        <v>0.34203762121743198</v>
      </c>
      <c r="AA146" s="412">
        <v>262</v>
      </c>
      <c r="AB146" s="560">
        <f t="shared" si="4"/>
        <v>66.023999999999987</v>
      </c>
      <c r="AC146" s="568">
        <v>7364.9699999999993</v>
      </c>
      <c r="AD146" s="567">
        <v>368.24849999999998</v>
      </c>
      <c r="AE146" s="567">
        <v>73.649699999999996</v>
      </c>
      <c r="AF146" s="522">
        <v>294.59879999999998</v>
      </c>
      <c r="AG146" s="572">
        <f>(AF146-AB146)/AF146</f>
        <v>0.77588503415492527</v>
      </c>
    </row>
    <row r="147" spans="2:33" x14ac:dyDescent="0.25">
      <c r="B147" s="231">
        <v>43</v>
      </c>
      <c r="C147" s="553">
        <v>1</v>
      </c>
      <c r="D147" s="554" t="s">
        <v>298</v>
      </c>
      <c r="E147" s="555" t="s">
        <v>132</v>
      </c>
      <c r="F147" s="555" t="s">
        <v>116</v>
      </c>
      <c r="G147" s="556">
        <v>2</v>
      </c>
      <c r="H147" s="555" t="s">
        <v>187</v>
      </c>
      <c r="I147" s="555" t="s">
        <v>323</v>
      </c>
      <c r="J147" s="555" t="s">
        <v>709</v>
      </c>
      <c r="K147" s="557" t="s">
        <v>665</v>
      </c>
      <c r="L147" s="555" t="s">
        <v>122</v>
      </c>
      <c r="M147" s="557" t="s">
        <v>264</v>
      </c>
      <c r="N147" s="558">
        <v>150</v>
      </c>
      <c r="O147" s="558">
        <v>96</v>
      </c>
      <c r="P147" s="197" t="s">
        <v>266</v>
      </c>
      <c r="Q147" s="178" t="s">
        <v>342</v>
      </c>
      <c r="R147" s="176" t="s">
        <v>699</v>
      </c>
      <c r="S147" s="179" t="s">
        <v>271</v>
      </c>
      <c r="T147" s="411">
        <v>241.8</v>
      </c>
      <c r="U147" s="560">
        <f t="shared" si="5"/>
        <v>60.933599999999998</v>
      </c>
      <c r="V147" s="568"/>
      <c r="W147" s="568"/>
      <c r="X147" s="567"/>
      <c r="Y147" s="522"/>
      <c r="Z147" s="522"/>
      <c r="AA147" s="412">
        <v>305.3</v>
      </c>
      <c r="AB147" s="560">
        <f t="shared" si="4"/>
        <v>76.935599999999994</v>
      </c>
      <c r="AC147" s="568"/>
      <c r="AD147" s="568"/>
      <c r="AE147" s="567"/>
      <c r="AF147" s="522"/>
      <c r="AG147" s="522"/>
    </row>
    <row r="148" spans="2:33" x14ac:dyDescent="0.25">
      <c r="B148" s="231">
        <v>44</v>
      </c>
      <c r="C148" s="509">
        <v>1</v>
      </c>
      <c r="D148" s="510" t="s">
        <v>298</v>
      </c>
      <c r="E148" s="511" t="s">
        <v>132</v>
      </c>
      <c r="F148" s="511" t="s">
        <v>116</v>
      </c>
      <c r="G148" s="512">
        <v>2</v>
      </c>
      <c r="H148" s="511" t="s">
        <v>691</v>
      </c>
      <c r="I148" s="511" t="s">
        <v>323</v>
      </c>
      <c r="J148" s="511" t="s">
        <v>709</v>
      </c>
      <c r="K148" s="513" t="s">
        <v>665</v>
      </c>
      <c r="L148" s="511" t="s">
        <v>122</v>
      </c>
      <c r="M148" s="513" t="s">
        <v>264</v>
      </c>
      <c r="N148" s="514">
        <v>150</v>
      </c>
      <c r="O148" s="514">
        <v>96</v>
      </c>
      <c r="P148" s="197" t="s">
        <v>266</v>
      </c>
      <c r="Q148" s="178" t="s">
        <v>342</v>
      </c>
      <c r="R148" s="176" t="s">
        <v>699</v>
      </c>
      <c r="S148" s="179" t="s">
        <v>271</v>
      </c>
      <c r="T148" s="411">
        <v>433.40000000000003</v>
      </c>
      <c r="U148" s="560">
        <f t="shared" si="5"/>
        <v>109.21679999999999</v>
      </c>
      <c r="V148" s="568"/>
      <c r="W148" s="568"/>
      <c r="X148" s="567"/>
      <c r="Y148" s="522"/>
      <c r="Z148" s="573">
        <f>AVERAGE(Z149:Z152)</f>
        <v>0.42394968512632569</v>
      </c>
      <c r="AA148" s="412">
        <v>305.3</v>
      </c>
      <c r="AB148" s="560">
        <f t="shared" si="4"/>
        <v>76.935599999999994</v>
      </c>
      <c r="AC148" s="568"/>
      <c r="AD148" s="568"/>
      <c r="AE148" s="567"/>
      <c r="AF148" s="522"/>
      <c r="AG148" s="573">
        <f>AVERAGE(AG149:AG152)</f>
        <v>0.76116569231762621</v>
      </c>
    </row>
    <row r="149" spans="2:33" x14ac:dyDescent="0.25">
      <c r="B149" s="231">
        <v>45</v>
      </c>
      <c r="C149" s="515">
        <v>1</v>
      </c>
      <c r="D149" s="516" t="s">
        <v>298</v>
      </c>
      <c r="E149" s="517" t="s">
        <v>132</v>
      </c>
      <c r="F149" s="517" t="s">
        <v>116</v>
      </c>
      <c r="G149" s="518">
        <v>2</v>
      </c>
      <c r="H149" s="517" t="s">
        <v>663</v>
      </c>
      <c r="I149" s="517" t="s">
        <v>681</v>
      </c>
      <c r="J149" s="517" t="s">
        <v>709</v>
      </c>
      <c r="K149" s="519" t="s">
        <v>665</v>
      </c>
      <c r="L149" s="517" t="s">
        <v>122</v>
      </c>
      <c r="M149" s="519" t="s">
        <v>264</v>
      </c>
      <c r="N149" s="520">
        <v>150</v>
      </c>
      <c r="O149" s="520">
        <v>96</v>
      </c>
      <c r="P149" s="197" t="s">
        <v>266</v>
      </c>
      <c r="Q149" s="178" t="s">
        <v>342</v>
      </c>
      <c r="R149" s="176" t="s">
        <v>699</v>
      </c>
      <c r="S149" s="179" t="s">
        <v>271</v>
      </c>
      <c r="T149" s="411">
        <v>357.85</v>
      </c>
      <c r="U149" s="560">
        <f t="shared" si="5"/>
        <v>90.17819999999999</v>
      </c>
      <c r="V149" s="568">
        <v>4597.5600000000004</v>
      </c>
      <c r="W149" s="567">
        <v>229.87800000000001</v>
      </c>
      <c r="X149" s="567">
        <v>45.975600000000007</v>
      </c>
      <c r="Y149" s="522">
        <v>183.9024</v>
      </c>
      <c r="Z149" s="572">
        <f>(Y149-U149)/Y149</f>
        <v>0.50964098347819287</v>
      </c>
      <c r="AA149" s="412">
        <v>305.3</v>
      </c>
      <c r="AB149" s="560">
        <f t="shared" si="4"/>
        <v>76.935599999999994</v>
      </c>
      <c r="AC149" s="568">
        <v>8053.24</v>
      </c>
      <c r="AD149" s="567">
        <v>402.66199999999998</v>
      </c>
      <c r="AE149" s="567">
        <v>80.532399999999996</v>
      </c>
      <c r="AF149" s="522">
        <v>322.12959999999998</v>
      </c>
      <c r="AG149" s="572">
        <f>(AF149-AB149)/AF149</f>
        <v>0.76116569231762621</v>
      </c>
    </row>
    <row r="150" spans="2:33" x14ac:dyDescent="0.25">
      <c r="B150" s="231">
        <v>46</v>
      </c>
      <c r="C150" s="515">
        <v>1</v>
      </c>
      <c r="D150" s="516" t="s">
        <v>298</v>
      </c>
      <c r="E150" s="517" t="s">
        <v>132</v>
      </c>
      <c r="F150" s="517" t="s">
        <v>116</v>
      </c>
      <c r="G150" s="518">
        <v>2</v>
      </c>
      <c r="H150" s="517" t="s">
        <v>663</v>
      </c>
      <c r="I150" s="517" t="s">
        <v>685</v>
      </c>
      <c r="J150" s="517" t="s">
        <v>709</v>
      </c>
      <c r="K150" s="519" t="s">
        <v>665</v>
      </c>
      <c r="L150" s="517" t="s">
        <v>122</v>
      </c>
      <c r="M150" s="519" t="s">
        <v>264</v>
      </c>
      <c r="N150" s="520">
        <v>150</v>
      </c>
      <c r="O150" s="520">
        <v>96</v>
      </c>
      <c r="P150" s="197" t="s">
        <v>266</v>
      </c>
      <c r="Q150" s="178" t="s">
        <v>342</v>
      </c>
      <c r="R150" s="176" t="s">
        <v>699</v>
      </c>
      <c r="S150" s="179" t="s">
        <v>271</v>
      </c>
      <c r="T150" s="411">
        <v>426.6</v>
      </c>
      <c r="U150" s="560">
        <f t="shared" si="5"/>
        <v>107.50319999999999</v>
      </c>
      <c r="V150" s="568">
        <v>5083.62</v>
      </c>
      <c r="W150" s="567">
        <v>254.18099999999998</v>
      </c>
      <c r="X150" s="567">
        <v>50.836199999999998</v>
      </c>
      <c r="Y150" s="522">
        <v>203.34479999999999</v>
      </c>
      <c r="Z150" s="572">
        <f>(Y150-U150)/Y150</f>
        <v>0.47132555147709704</v>
      </c>
      <c r="AA150" s="412">
        <v>305.3</v>
      </c>
      <c r="AB150" s="560">
        <f t="shared" si="4"/>
        <v>76.935599999999994</v>
      </c>
      <c r="AC150" s="568">
        <v>8053.24</v>
      </c>
      <c r="AD150" s="567">
        <v>402.66199999999998</v>
      </c>
      <c r="AE150" s="567">
        <v>80.532399999999996</v>
      </c>
      <c r="AF150" s="522">
        <v>322.12959999999998</v>
      </c>
      <c r="AG150" s="572">
        <f>(AF150-AB150)/AF150</f>
        <v>0.76116569231762621</v>
      </c>
    </row>
    <row r="151" spans="2:33" x14ac:dyDescent="0.25">
      <c r="B151" s="231">
        <v>47</v>
      </c>
      <c r="C151" s="515">
        <v>1</v>
      </c>
      <c r="D151" s="516" t="s">
        <v>298</v>
      </c>
      <c r="E151" s="517" t="s">
        <v>132</v>
      </c>
      <c r="F151" s="517" t="s">
        <v>116</v>
      </c>
      <c r="G151" s="518">
        <v>2</v>
      </c>
      <c r="H151" s="517" t="s">
        <v>663</v>
      </c>
      <c r="I151" s="517" t="s">
        <v>687</v>
      </c>
      <c r="J151" s="517" t="s">
        <v>709</v>
      </c>
      <c r="K151" s="519" t="s">
        <v>665</v>
      </c>
      <c r="L151" s="517" t="s">
        <v>122</v>
      </c>
      <c r="M151" s="519" t="s">
        <v>264</v>
      </c>
      <c r="N151" s="520">
        <v>150</v>
      </c>
      <c r="O151" s="520">
        <v>96</v>
      </c>
      <c r="P151" s="197" t="s">
        <v>266</v>
      </c>
      <c r="Q151" s="178" t="s">
        <v>342</v>
      </c>
      <c r="R151" s="176" t="s">
        <v>699</v>
      </c>
      <c r="S151" s="179" t="s">
        <v>271</v>
      </c>
      <c r="T151" s="411">
        <v>508.95000000000005</v>
      </c>
      <c r="U151" s="560">
        <f t="shared" si="5"/>
        <v>128.25539999999998</v>
      </c>
      <c r="V151" s="568">
        <v>5079.53</v>
      </c>
      <c r="W151" s="567">
        <v>253.97649999999999</v>
      </c>
      <c r="X151" s="567">
        <v>50.795299999999997</v>
      </c>
      <c r="Y151" s="522">
        <v>203.18119999999999</v>
      </c>
      <c r="Z151" s="572">
        <f>(Y151-U151)/Y151</f>
        <v>0.36876344858677879</v>
      </c>
      <c r="AA151" s="412">
        <v>305.3</v>
      </c>
      <c r="AB151" s="560">
        <f t="shared" si="4"/>
        <v>76.935599999999994</v>
      </c>
      <c r="AC151" s="568">
        <v>8053.24</v>
      </c>
      <c r="AD151" s="567">
        <v>402.66199999999998</v>
      </c>
      <c r="AE151" s="567">
        <v>80.532399999999996</v>
      </c>
      <c r="AF151" s="522">
        <v>322.12959999999998</v>
      </c>
      <c r="AG151" s="572">
        <f>(AF151-AB151)/AF151</f>
        <v>0.76116569231762621</v>
      </c>
    </row>
    <row r="152" spans="2:33" x14ac:dyDescent="0.25">
      <c r="B152" s="231">
        <v>48</v>
      </c>
      <c r="C152" s="515">
        <v>1</v>
      </c>
      <c r="D152" s="516" t="s">
        <v>298</v>
      </c>
      <c r="E152" s="517" t="s">
        <v>132</v>
      </c>
      <c r="F152" s="517" t="s">
        <v>116</v>
      </c>
      <c r="G152" s="518">
        <v>2</v>
      </c>
      <c r="H152" s="517" t="s">
        <v>663</v>
      </c>
      <c r="I152" s="517" t="s">
        <v>689</v>
      </c>
      <c r="J152" s="517" t="s">
        <v>709</v>
      </c>
      <c r="K152" s="519" t="s">
        <v>665</v>
      </c>
      <c r="L152" s="517" t="s">
        <v>122</v>
      </c>
      <c r="M152" s="519" t="s">
        <v>264</v>
      </c>
      <c r="N152" s="520">
        <v>150</v>
      </c>
      <c r="O152" s="520">
        <v>96</v>
      </c>
      <c r="P152" s="197" t="s">
        <v>266</v>
      </c>
      <c r="Q152" s="178" t="s">
        <v>342</v>
      </c>
      <c r="R152" s="176" t="s">
        <v>699</v>
      </c>
      <c r="S152" s="179" t="s">
        <v>271</v>
      </c>
      <c r="T152" s="411">
        <v>586.95000000000005</v>
      </c>
      <c r="U152" s="560">
        <f t="shared" si="5"/>
        <v>147.91139999999999</v>
      </c>
      <c r="V152" s="568">
        <v>5654.7</v>
      </c>
      <c r="W152" s="567">
        <v>282.73500000000001</v>
      </c>
      <c r="X152" s="567">
        <v>56.547000000000004</v>
      </c>
      <c r="Y152" s="522">
        <v>226.18800000000002</v>
      </c>
      <c r="Z152" s="572">
        <f>(Y152-U152)/Y152</f>
        <v>0.34606875696323425</v>
      </c>
      <c r="AA152" s="412">
        <v>305.3</v>
      </c>
      <c r="AB152" s="560">
        <f t="shared" si="4"/>
        <v>76.935599999999994</v>
      </c>
      <c r="AC152" s="568">
        <v>8053.24</v>
      </c>
      <c r="AD152" s="567">
        <v>402.66199999999998</v>
      </c>
      <c r="AE152" s="567">
        <v>80.532399999999996</v>
      </c>
      <c r="AF152" s="522">
        <v>322.12959999999998</v>
      </c>
      <c r="AG152" s="572">
        <f>(AF152-AB152)/AF152</f>
        <v>0.76116569231762621</v>
      </c>
    </row>
    <row r="154" spans="2:33" x14ac:dyDescent="0.25">
      <c r="B154" s="230">
        <v>1</v>
      </c>
      <c r="C154" s="547">
        <v>1</v>
      </c>
      <c r="D154" s="548" t="s">
        <v>298</v>
      </c>
      <c r="E154" s="549" t="s">
        <v>131</v>
      </c>
      <c r="F154" s="549" t="s">
        <v>136</v>
      </c>
      <c r="G154" s="550">
        <v>2</v>
      </c>
      <c r="H154" s="549" t="s">
        <v>187</v>
      </c>
      <c r="I154" s="549" t="s">
        <v>321</v>
      </c>
      <c r="J154" s="549" t="s">
        <v>709</v>
      </c>
      <c r="K154" s="551" t="s">
        <v>664</v>
      </c>
      <c r="L154" s="549" t="s">
        <v>122</v>
      </c>
      <c r="M154" s="551" t="s">
        <v>264</v>
      </c>
      <c r="N154" s="552">
        <v>72</v>
      </c>
      <c r="O154" s="552">
        <v>96</v>
      </c>
      <c r="P154" s="197" t="s">
        <v>287</v>
      </c>
      <c r="Q154" s="178" t="s">
        <v>342</v>
      </c>
      <c r="R154" s="176" t="s">
        <v>190</v>
      </c>
      <c r="S154" s="179" t="s">
        <v>289</v>
      </c>
      <c r="T154" s="411">
        <v>189.5</v>
      </c>
      <c r="U154" s="560">
        <f>T154*0.7*0.6*0.6</f>
        <v>47.753999999999998</v>
      </c>
      <c r="V154" s="567"/>
      <c r="W154" s="567"/>
      <c r="X154" s="567"/>
      <c r="Y154" s="522"/>
      <c r="Z154" s="634">
        <f>AVERAGE(Z156:Z159,Z162:Z165,Z168:Z171,Z174:Z177)</f>
        <v>0.46117011109019035</v>
      </c>
      <c r="AA154" s="412">
        <v>175.3</v>
      </c>
      <c r="AB154" s="560">
        <f t="shared" ref="AB154:AB217" si="6">AA154*0.7*0.6*0.6</f>
        <v>44.175599999999996</v>
      </c>
      <c r="AC154" s="567"/>
      <c r="AD154" s="567"/>
      <c r="AE154" s="567"/>
      <c r="AF154" s="522"/>
      <c r="AG154" s="634">
        <f>AVERAGE(AG156:AG159,AG162:AG165,AG168:AG171,AG174:AG177)</f>
        <v>0.78625950721922311</v>
      </c>
    </row>
    <row r="155" spans="2:33" x14ac:dyDescent="0.25">
      <c r="B155" s="231">
        <v>2</v>
      </c>
      <c r="C155" s="541">
        <v>1</v>
      </c>
      <c r="D155" s="542" t="s">
        <v>298</v>
      </c>
      <c r="E155" s="543" t="s">
        <v>131</v>
      </c>
      <c r="F155" s="543" t="s">
        <v>136</v>
      </c>
      <c r="G155" s="544">
        <v>2</v>
      </c>
      <c r="H155" s="543" t="s">
        <v>691</v>
      </c>
      <c r="I155" s="543" t="s">
        <v>321</v>
      </c>
      <c r="J155" s="543" t="s">
        <v>709</v>
      </c>
      <c r="K155" s="545" t="s">
        <v>664</v>
      </c>
      <c r="L155" s="543" t="s">
        <v>122</v>
      </c>
      <c r="M155" s="545" t="s">
        <v>264</v>
      </c>
      <c r="N155" s="546">
        <v>72</v>
      </c>
      <c r="O155" s="546">
        <v>96</v>
      </c>
      <c r="P155" s="197" t="s">
        <v>287</v>
      </c>
      <c r="Q155" s="178" t="s">
        <v>342</v>
      </c>
      <c r="R155" s="176" t="s">
        <v>190</v>
      </c>
      <c r="S155" s="179" t="s">
        <v>289</v>
      </c>
      <c r="T155" s="411">
        <v>382.70000000000005</v>
      </c>
      <c r="U155" s="560">
        <f>T155*0.7*0.6*0.6</f>
        <v>96.440399999999997</v>
      </c>
      <c r="V155" s="567"/>
      <c r="W155" s="567"/>
      <c r="X155" s="567"/>
      <c r="Y155" s="522"/>
      <c r="Z155" s="573">
        <f>AVERAGE(Z156:Z159)</f>
        <v>0.49950137578629744</v>
      </c>
      <c r="AA155" s="412">
        <v>175.3</v>
      </c>
      <c r="AB155" s="560">
        <f t="shared" si="6"/>
        <v>44.175599999999996</v>
      </c>
      <c r="AC155" s="567"/>
      <c r="AD155" s="567"/>
      <c r="AE155" s="567"/>
      <c r="AF155" s="522"/>
      <c r="AG155" s="573">
        <f>AVERAGE(AG156:AG159)</f>
        <v>0.80962042685817415</v>
      </c>
    </row>
    <row r="156" spans="2:33" x14ac:dyDescent="0.25">
      <c r="B156" s="231">
        <v>3</v>
      </c>
      <c r="C156" s="503">
        <v>1</v>
      </c>
      <c r="D156" s="504" t="s">
        <v>298</v>
      </c>
      <c r="E156" s="505" t="s">
        <v>131</v>
      </c>
      <c r="F156" s="505" t="s">
        <v>136</v>
      </c>
      <c r="G156" s="506">
        <v>2</v>
      </c>
      <c r="H156" s="505" t="s">
        <v>663</v>
      </c>
      <c r="I156" s="505" t="s">
        <v>674</v>
      </c>
      <c r="J156" s="505" t="s">
        <v>709</v>
      </c>
      <c r="K156" s="507" t="s">
        <v>664</v>
      </c>
      <c r="L156" s="505" t="s">
        <v>122</v>
      </c>
      <c r="M156" s="507" t="s">
        <v>264</v>
      </c>
      <c r="N156" s="508">
        <v>72</v>
      </c>
      <c r="O156" s="508">
        <v>96</v>
      </c>
      <c r="P156" s="197" t="s">
        <v>287</v>
      </c>
      <c r="Q156" s="178" t="s">
        <v>342</v>
      </c>
      <c r="R156" s="176" t="s">
        <v>190</v>
      </c>
      <c r="S156" s="179" t="s">
        <v>289</v>
      </c>
      <c r="T156" s="411">
        <v>225.4</v>
      </c>
      <c r="U156" s="560">
        <f t="shared" ref="U156:U219" si="7">T156*0.7*0.6*0.6</f>
        <v>56.800799999999995</v>
      </c>
      <c r="V156" s="568">
        <v>2981.05</v>
      </c>
      <c r="W156" s="567">
        <v>149.05250000000001</v>
      </c>
      <c r="X156" s="567">
        <v>29.810500000000005</v>
      </c>
      <c r="Y156" s="522">
        <v>119.242</v>
      </c>
      <c r="Z156" s="572">
        <f>(Y156-U156)/Y156</f>
        <v>0.52365106254507643</v>
      </c>
      <c r="AA156" s="412">
        <v>175.3</v>
      </c>
      <c r="AB156" s="560">
        <f t="shared" si="6"/>
        <v>44.175599999999996</v>
      </c>
      <c r="AC156" s="568">
        <v>5800.99</v>
      </c>
      <c r="AD156" s="567">
        <v>290.04949999999997</v>
      </c>
      <c r="AE156" s="567">
        <v>58.009899999999995</v>
      </c>
      <c r="AF156" s="522">
        <v>232.03959999999998</v>
      </c>
      <c r="AG156" s="572">
        <f>(AF156-AB156)/AF156</f>
        <v>0.80962042685817415</v>
      </c>
    </row>
    <row r="157" spans="2:33" x14ac:dyDescent="0.25">
      <c r="B157" s="231">
        <v>4</v>
      </c>
      <c r="C157" s="503">
        <v>1</v>
      </c>
      <c r="D157" s="504" t="s">
        <v>298</v>
      </c>
      <c r="E157" s="505" t="s">
        <v>131</v>
      </c>
      <c r="F157" s="505" t="s">
        <v>136</v>
      </c>
      <c r="G157" s="506">
        <v>2</v>
      </c>
      <c r="H157" s="505" t="s">
        <v>663</v>
      </c>
      <c r="I157" s="505" t="s">
        <v>675</v>
      </c>
      <c r="J157" s="505" t="s">
        <v>709</v>
      </c>
      <c r="K157" s="507" t="s">
        <v>664</v>
      </c>
      <c r="L157" s="505" t="s">
        <v>122</v>
      </c>
      <c r="M157" s="507" t="s">
        <v>264</v>
      </c>
      <c r="N157" s="508">
        <v>72</v>
      </c>
      <c r="O157" s="508">
        <v>96</v>
      </c>
      <c r="P157" s="197" t="s">
        <v>287</v>
      </c>
      <c r="Q157" s="178" t="s">
        <v>342</v>
      </c>
      <c r="R157" s="176" t="s">
        <v>190</v>
      </c>
      <c r="S157" s="179" t="s">
        <v>289</v>
      </c>
      <c r="T157" s="411">
        <v>313</v>
      </c>
      <c r="U157" s="560">
        <f t="shared" si="7"/>
        <v>78.875999999999991</v>
      </c>
      <c r="V157" s="568">
        <v>4206.6000000000004</v>
      </c>
      <c r="W157" s="567">
        <v>210.33</v>
      </c>
      <c r="X157" s="567">
        <v>42.066000000000003</v>
      </c>
      <c r="Y157" s="522">
        <v>168.26400000000001</v>
      </c>
      <c r="Z157" s="572">
        <f>(Y157-U157)/Y157</f>
        <v>0.53123662815575534</v>
      </c>
      <c r="AA157" s="412">
        <v>175.3</v>
      </c>
      <c r="AB157" s="560">
        <f t="shared" si="6"/>
        <v>44.175599999999996</v>
      </c>
      <c r="AC157" s="568">
        <v>5800.99</v>
      </c>
      <c r="AD157" s="567">
        <v>290.04949999999997</v>
      </c>
      <c r="AE157" s="567">
        <v>58.009899999999995</v>
      </c>
      <c r="AF157" s="522">
        <v>232.03959999999998</v>
      </c>
      <c r="AG157" s="572">
        <f>(AF157-AB157)/AF157</f>
        <v>0.80962042685817415</v>
      </c>
    </row>
    <row r="158" spans="2:33" x14ac:dyDescent="0.25">
      <c r="B158" s="231">
        <v>5</v>
      </c>
      <c r="C158" s="503">
        <v>1</v>
      </c>
      <c r="D158" s="504" t="s">
        <v>298</v>
      </c>
      <c r="E158" s="505" t="s">
        <v>131</v>
      </c>
      <c r="F158" s="505" t="s">
        <v>136</v>
      </c>
      <c r="G158" s="506">
        <v>2</v>
      </c>
      <c r="H158" s="505" t="s">
        <v>663</v>
      </c>
      <c r="I158" s="505" t="s">
        <v>676</v>
      </c>
      <c r="J158" s="505" t="s">
        <v>709</v>
      </c>
      <c r="K158" s="507" t="s">
        <v>664</v>
      </c>
      <c r="L158" s="505" t="s">
        <v>122</v>
      </c>
      <c r="M158" s="507" t="s">
        <v>264</v>
      </c>
      <c r="N158" s="508">
        <v>72</v>
      </c>
      <c r="O158" s="508">
        <v>96</v>
      </c>
      <c r="P158" s="197" t="s">
        <v>287</v>
      </c>
      <c r="Q158" s="178" t="s">
        <v>342</v>
      </c>
      <c r="R158" s="176" t="s">
        <v>190</v>
      </c>
      <c r="S158" s="179" t="s">
        <v>289</v>
      </c>
      <c r="T158" s="411">
        <v>335.05</v>
      </c>
      <c r="U158" s="560">
        <f t="shared" si="7"/>
        <v>84.432599999999994</v>
      </c>
      <c r="V158" s="568">
        <v>4359.54</v>
      </c>
      <c r="W158" s="567">
        <v>217.977</v>
      </c>
      <c r="X158" s="567">
        <v>43.595400000000005</v>
      </c>
      <c r="Y158" s="522">
        <v>174.38159999999999</v>
      </c>
      <c r="Z158" s="572">
        <f>(Y158-U158)/Y158</f>
        <v>0.51581703574230309</v>
      </c>
      <c r="AA158" s="412">
        <v>175.3</v>
      </c>
      <c r="AB158" s="560">
        <f t="shared" si="6"/>
        <v>44.175599999999996</v>
      </c>
      <c r="AC158" s="568">
        <v>5800.99</v>
      </c>
      <c r="AD158" s="567">
        <v>290.04949999999997</v>
      </c>
      <c r="AE158" s="567">
        <v>58.009899999999995</v>
      </c>
      <c r="AF158" s="522">
        <v>232.03959999999998</v>
      </c>
      <c r="AG158" s="572">
        <f>(AF158-AB158)/AF158</f>
        <v>0.80962042685817415</v>
      </c>
    </row>
    <row r="159" spans="2:33" x14ac:dyDescent="0.25">
      <c r="B159" s="231">
        <v>6</v>
      </c>
      <c r="C159" s="503">
        <v>1</v>
      </c>
      <c r="D159" s="504" t="s">
        <v>298</v>
      </c>
      <c r="E159" s="505" t="s">
        <v>131</v>
      </c>
      <c r="F159" s="505" t="s">
        <v>136</v>
      </c>
      <c r="G159" s="506">
        <v>2</v>
      </c>
      <c r="H159" s="505" t="s">
        <v>663</v>
      </c>
      <c r="I159" s="505" t="s">
        <v>677</v>
      </c>
      <c r="J159" s="505" t="s">
        <v>709</v>
      </c>
      <c r="K159" s="507" t="s">
        <v>664</v>
      </c>
      <c r="L159" s="505" t="s">
        <v>122</v>
      </c>
      <c r="M159" s="507" t="s">
        <v>264</v>
      </c>
      <c r="N159" s="508">
        <v>72</v>
      </c>
      <c r="O159" s="508">
        <v>96</v>
      </c>
      <c r="P159" s="197" t="s">
        <v>287</v>
      </c>
      <c r="Q159" s="178" t="s">
        <v>342</v>
      </c>
      <c r="R159" s="176" t="s">
        <v>190</v>
      </c>
      <c r="S159" s="179" t="s">
        <v>289</v>
      </c>
      <c r="T159" s="411">
        <v>408.35</v>
      </c>
      <c r="U159" s="560">
        <f t="shared" si="7"/>
        <v>102.90419999999999</v>
      </c>
      <c r="V159" s="568">
        <v>4492.07</v>
      </c>
      <c r="W159" s="567">
        <v>224.6035</v>
      </c>
      <c r="X159" s="567">
        <v>44.920700000000004</v>
      </c>
      <c r="Y159" s="522">
        <v>179.68279999999999</v>
      </c>
      <c r="Z159" s="572">
        <f>(Y159-U159)/Y159</f>
        <v>0.42730077670205496</v>
      </c>
      <c r="AA159" s="412">
        <v>175.3</v>
      </c>
      <c r="AB159" s="560">
        <f t="shared" si="6"/>
        <v>44.175599999999996</v>
      </c>
      <c r="AC159" s="568">
        <v>5800.99</v>
      </c>
      <c r="AD159" s="567">
        <v>290.04949999999997</v>
      </c>
      <c r="AE159" s="567">
        <v>58.009899999999995</v>
      </c>
      <c r="AF159" s="522">
        <v>232.03959999999998</v>
      </c>
      <c r="AG159" s="572">
        <f>(AF159-AB159)/AF159</f>
        <v>0.80962042685817415</v>
      </c>
    </row>
    <row r="160" spans="2:33" x14ac:dyDescent="0.25">
      <c r="B160" s="231">
        <v>7</v>
      </c>
      <c r="C160" s="547">
        <v>1</v>
      </c>
      <c r="D160" s="548" t="s">
        <v>298</v>
      </c>
      <c r="E160" s="549" t="s">
        <v>131</v>
      </c>
      <c r="F160" s="549" t="s">
        <v>136</v>
      </c>
      <c r="G160" s="550">
        <v>2</v>
      </c>
      <c r="H160" s="549" t="s">
        <v>187</v>
      </c>
      <c r="I160" s="549" t="s">
        <v>321</v>
      </c>
      <c r="J160" s="549" t="s">
        <v>709</v>
      </c>
      <c r="K160" s="551" t="s">
        <v>664</v>
      </c>
      <c r="L160" s="549" t="s">
        <v>122</v>
      </c>
      <c r="M160" s="551" t="s">
        <v>264</v>
      </c>
      <c r="N160" s="552">
        <v>98</v>
      </c>
      <c r="O160" s="552">
        <v>96</v>
      </c>
      <c r="P160" s="197" t="s">
        <v>287</v>
      </c>
      <c r="Q160" s="178" t="s">
        <v>342</v>
      </c>
      <c r="R160" s="176" t="s">
        <v>190</v>
      </c>
      <c r="S160" s="179" t="s">
        <v>289</v>
      </c>
      <c r="T160" s="411">
        <v>253.85000000000002</v>
      </c>
      <c r="U160" s="560">
        <f t="shared" si="7"/>
        <v>63.970199999999991</v>
      </c>
      <c r="V160" s="568"/>
      <c r="W160" s="568"/>
      <c r="X160" s="567"/>
      <c r="Y160" s="522"/>
      <c r="Z160" s="522"/>
      <c r="AA160" s="412">
        <v>218.65</v>
      </c>
      <c r="AB160" s="560">
        <f t="shared" si="6"/>
        <v>55.099799999999995</v>
      </c>
      <c r="AC160" s="568"/>
      <c r="AD160" s="568"/>
      <c r="AE160" s="567"/>
      <c r="AF160" s="522"/>
      <c r="AG160" s="522"/>
    </row>
    <row r="161" spans="2:33" x14ac:dyDescent="0.25">
      <c r="B161" s="231">
        <v>8</v>
      </c>
      <c r="C161" s="541">
        <v>1</v>
      </c>
      <c r="D161" s="542" t="s">
        <v>298</v>
      </c>
      <c r="E161" s="543" t="s">
        <v>131</v>
      </c>
      <c r="F161" s="543" t="s">
        <v>136</v>
      </c>
      <c r="G161" s="544">
        <v>2</v>
      </c>
      <c r="H161" s="543" t="s">
        <v>691</v>
      </c>
      <c r="I161" s="543" t="s">
        <v>321</v>
      </c>
      <c r="J161" s="543" t="s">
        <v>709</v>
      </c>
      <c r="K161" s="545" t="s">
        <v>664</v>
      </c>
      <c r="L161" s="543" t="s">
        <v>122</v>
      </c>
      <c r="M161" s="545" t="s">
        <v>264</v>
      </c>
      <c r="N161" s="546">
        <v>98</v>
      </c>
      <c r="O161" s="546">
        <v>96</v>
      </c>
      <c r="P161" s="197" t="s">
        <v>287</v>
      </c>
      <c r="Q161" s="178" t="s">
        <v>342</v>
      </c>
      <c r="R161" s="176" t="s">
        <v>190</v>
      </c>
      <c r="S161" s="179" t="s">
        <v>289</v>
      </c>
      <c r="T161" s="411">
        <v>513</v>
      </c>
      <c r="U161" s="560">
        <f t="shared" si="7"/>
        <v>129.27599999999998</v>
      </c>
      <c r="V161" s="568"/>
      <c r="W161" s="568"/>
      <c r="X161" s="567"/>
      <c r="Y161" s="522"/>
      <c r="Z161" s="573">
        <f>AVERAGE(Z162:Z165)</f>
        <v>0.4637214602727881</v>
      </c>
      <c r="AA161" s="412">
        <v>218.65</v>
      </c>
      <c r="AB161" s="560">
        <f t="shared" si="6"/>
        <v>55.099799999999995</v>
      </c>
      <c r="AC161" s="568"/>
      <c r="AD161" s="568"/>
      <c r="AE161" s="567"/>
      <c r="AF161" s="522"/>
      <c r="AG161" s="573">
        <f>AVERAGE(AG162:AG165)</f>
        <v>0.79836687554616803</v>
      </c>
    </row>
    <row r="162" spans="2:33" x14ac:dyDescent="0.25">
      <c r="B162" s="231">
        <v>9</v>
      </c>
      <c r="C162" s="503">
        <v>1</v>
      </c>
      <c r="D162" s="504" t="s">
        <v>298</v>
      </c>
      <c r="E162" s="505" t="s">
        <v>131</v>
      </c>
      <c r="F162" s="505" t="s">
        <v>136</v>
      </c>
      <c r="G162" s="506">
        <v>2</v>
      </c>
      <c r="H162" s="505" t="s">
        <v>663</v>
      </c>
      <c r="I162" s="505" t="s">
        <v>674</v>
      </c>
      <c r="J162" s="505" t="s">
        <v>709</v>
      </c>
      <c r="K162" s="507" t="s">
        <v>664</v>
      </c>
      <c r="L162" s="505" t="s">
        <v>122</v>
      </c>
      <c r="M162" s="507" t="s">
        <v>264</v>
      </c>
      <c r="N162" s="508">
        <v>98</v>
      </c>
      <c r="O162" s="508">
        <v>96</v>
      </c>
      <c r="P162" s="197" t="s">
        <v>287</v>
      </c>
      <c r="Q162" s="178" t="s">
        <v>342</v>
      </c>
      <c r="R162" s="176" t="s">
        <v>190</v>
      </c>
      <c r="S162" s="179" t="s">
        <v>289</v>
      </c>
      <c r="T162" s="411">
        <v>301.95</v>
      </c>
      <c r="U162" s="560">
        <f t="shared" si="7"/>
        <v>76.091399999999993</v>
      </c>
      <c r="V162" s="568">
        <v>3725.63</v>
      </c>
      <c r="W162" s="567">
        <v>186.28149999999999</v>
      </c>
      <c r="X162" s="567">
        <v>37.256300000000003</v>
      </c>
      <c r="Y162" s="522">
        <v>149.02519999999998</v>
      </c>
      <c r="Z162" s="572">
        <f>(Y162-U162)/Y162</f>
        <v>0.48940581861322779</v>
      </c>
      <c r="AA162" s="412">
        <v>218.65</v>
      </c>
      <c r="AB162" s="560">
        <f t="shared" si="6"/>
        <v>55.099799999999995</v>
      </c>
      <c r="AC162" s="568">
        <v>6831.69</v>
      </c>
      <c r="AD162" s="567">
        <v>341.58449999999999</v>
      </c>
      <c r="AE162" s="567">
        <v>68.316900000000004</v>
      </c>
      <c r="AF162" s="522">
        <v>273.26760000000002</v>
      </c>
      <c r="AG162" s="572">
        <f>(AF162-AB162)/AF162</f>
        <v>0.79836687554616803</v>
      </c>
    </row>
    <row r="163" spans="2:33" x14ac:dyDescent="0.25">
      <c r="B163" s="231">
        <v>10</v>
      </c>
      <c r="C163" s="503">
        <v>1</v>
      </c>
      <c r="D163" s="504" t="s">
        <v>298</v>
      </c>
      <c r="E163" s="505" t="s">
        <v>131</v>
      </c>
      <c r="F163" s="505" t="s">
        <v>136</v>
      </c>
      <c r="G163" s="506">
        <v>2</v>
      </c>
      <c r="H163" s="505" t="s">
        <v>663</v>
      </c>
      <c r="I163" s="505" t="s">
        <v>675</v>
      </c>
      <c r="J163" s="505" t="s">
        <v>709</v>
      </c>
      <c r="K163" s="507" t="s">
        <v>664</v>
      </c>
      <c r="L163" s="505" t="s">
        <v>122</v>
      </c>
      <c r="M163" s="507" t="s">
        <v>264</v>
      </c>
      <c r="N163" s="508">
        <v>98</v>
      </c>
      <c r="O163" s="508">
        <v>96</v>
      </c>
      <c r="P163" s="197" t="s">
        <v>287</v>
      </c>
      <c r="Q163" s="178" t="s">
        <v>342</v>
      </c>
      <c r="R163" s="176" t="s">
        <v>190</v>
      </c>
      <c r="S163" s="179" t="s">
        <v>289</v>
      </c>
      <c r="T163" s="411">
        <v>419.5</v>
      </c>
      <c r="U163" s="560">
        <f t="shared" si="7"/>
        <v>105.71399999999998</v>
      </c>
      <c r="V163" s="568">
        <v>5262.84</v>
      </c>
      <c r="W163" s="567">
        <v>263.142</v>
      </c>
      <c r="X163" s="567">
        <v>52.628399999999999</v>
      </c>
      <c r="Y163" s="522">
        <v>210.5136</v>
      </c>
      <c r="Z163" s="572">
        <f>(Y163-U163)/Y163</f>
        <v>0.49782816882139685</v>
      </c>
      <c r="AA163" s="412">
        <v>218.65</v>
      </c>
      <c r="AB163" s="560">
        <f t="shared" si="6"/>
        <v>55.099799999999995</v>
      </c>
      <c r="AC163" s="568">
        <v>6831.69</v>
      </c>
      <c r="AD163" s="567">
        <v>341.58449999999999</v>
      </c>
      <c r="AE163" s="567">
        <v>68.316900000000004</v>
      </c>
      <c r="AF163" s="522">
        <v>273.26760000000002</v>
      </c>
      <c r="AG163" s="572">
        <f>(AF163-AB163)/AF163</f>
        <v>0.79836687554616803</v>
      </c>
    </row>
    <row r="164" spans="2:33" x14ac:dyDescent="0.25">
      <c r="B164" s="231">
        <v>11</v>
      </c>
      <c r="C164" s="503">
        <v>1</v>
      </c>
      <c r="D164" s="504" t="s">
        <v>298</v>
      </c>
      <c r="E164" s="505" t="s">
        <v>131</v>
      </c>
      <c r="F164" s="505" t="s">
        <v>136</v>
      </c>
      <c r="G164" s="506">
        <v>2</v>
      </c>
      <c r="H164" s="505" t="s">
        <v>663</v>
      </c>
      <c r="I164" s="505" t="s">
        <v>676</v>
      </c>
      <c r="J164" s="505" t="s">
        <v>709</v>
      </c>
      <c r="K164" s="507" t="s">
        <v>664</v>
      </c>
      <c r="L164" s="505" t="s">
        <v>122</v>
      </c>
      <c r="M164" s="507" t="s">
        <v>264</v>
      </c>
      <c r="N164" s="508">
        <v>98</v>
      </c>
      <c r="O164" s="508">
        <v>96</v>
      </c>
      <c r="P164" s="197" t="s">
        <v>287</v>
      </c>
      <c r="Q164" s="178" t="s">
        <v>342</v>
      </c>
      <c r="R164" s="176" t="s">
        <v>190</v>
      </c>
      <c r="S164" s="179" t="s">
        <v>289</v>
      </c>
      <c r="T164" s="411">
        <v>449.1</v>
      </c>
      <c r="U164" s="560">
        <f t="shared" si="7"/>
        <v>113.17319999999999</v>
      </c>
      <c r="V164" s="568">
        <v>5453.87</v>
      </c>
      <c r="W164" s="567">
        <v>272.69349999999997</v>
      </c>
      <c r="X164" s="567">
        <v>54.538699999999999</v>
      </c>
      <c r="Y164" s="522">
        <v>218.15479999999997</v>
      </c>
      <c r="Z164" s="572">
        <f>(Y164-U164)/Y164</f>
        <v>0.48122525839449781</v>
      </c>
      <c r="AA164" s="412">
        <v>218.65</v>
      </c>
      <c r="AB164" s="560">
        <f t="shared" si="6"/>
        <v>55.099799999999995</v>
      </c>
      <c r="AC164" s="568">
        <v>6831.69</v>
      </c>
      <c r="AD164" s="567">
        <v>341.58449999999999</v>
      </c>
      <c r="AE164" s="567">
        <v>68.316900000000004</v>
      </c>
      <c r="AF164" s="522">
        <v>273.26760000000002</v>
      </c>
      <c r="AG164" s="572">
        <f>(AF164-AB164)/AF164</f>
        <v>0.79836687554616803</v>
      </c>
    </row>
    <row r="165" spans="2:33" x14ac:dyDescent="0.25">
      <c r="B165" s="231">
        <v>12</v>
      </c>
      <c r="C165" s="503">
        <v>1</v>
      </c>
      <c r="D165" s="504" t="s">
        <v>298</v>
      </c>
      <c r="E165" s="505" t="s">
        <v>131</v>
      </c>
      <c r="F165" s="505" t="s">
        <v>136</v>
      </c>
      <c r="G165" s="506">
        <v>2</v>
      </c>
      <c r="H165" s="505" t="s">
        <v>663</v>
      </c>
      <c r="I165" s="505" t="s">
        <v>677</v>
      </c>
      <c r="J165" s="505" t="s">
        <v>709</v>
      </c>
      <c r="K165" s="507" t="s">
        <v>664</v>
      </c>
      <c r="L165" s="505" t="s">
        <v>122</v>
      </c>
      <c r="M165" s="507" t="s">
        <v>264</v>
      </c>
      <c r="N165" s="508">
        <v>98</v>
      </c>
      <c r="O165" s="508">
        <v>96</v>
      </c>
      <c r="P165" s="197" t="s">
        <v>287</v>
      </c>
      <c r="Q165" s="178" t="s">
        <v>342</v>
      </c>
      <c r="R165" s="176" t="s">
        <v>190</v>
      </c>
      <c r="S165" s="179" t="s">
        <v>289</v>
      </c>
      <c r="T165" s="411">
        <v>547.4</v>
      </c>
      <c r="U165" s="560">
        <f t="shared" si="7"/>
        <v>137.94479999999996</v>
      </c>
      <c r="V165" s="568">
        <v>5620.55</v>
      </c>
      <c r="W165" s="567">
        <v>281.02750000000003</v>
      </c>
      <c r="X165" s="567">
        <v>56.205500000000008</v>
      </c>
      <c r="Y165" s="522">
        <v>224.82200000000003</v>
      </c>
      <c r="Z165" s="572">
        <f>(Y165-U165)/Y165</f>
        <v>0.38642659526202977</v>
      </c>
      <c r="AA165" s="412">
        <v>218.65</v>
      </c>
      <c r="AB165" s="560">
        <f t="shared" si="6"/>
        <v>55.099799999999995</v>
      </c>
      <c r="AC165" s="568">
        <v>6831.69</v>
      </c>
      <c r="AD165" s="567">
        <v>341.58449999999999</v>
      </c>
      <c r="AE165" s="567">
        <v>68.316900000000004</v>
      </c>
      <c r="AF165" s="522">
        <v>273.26760000000002</v>
      </c>
      <c r="AG165" s="572">
        <f>(AF165-AB165)/AF165</f>
        <v>0.79836687554616803</v>
      </c>
    </row>
    <row r="166" spans="2:33" x14ac:dyDescent="0.25">
      <c r="B166" s="231">
        <v>13</v>
      </c>
      <c r="C166" s="547">
        <v>1</v>
      </c>
      <c r="D166" s="548" t="s">
        <v>298</v>
      </c>
      <c r="E166" s="549" t="s">
        <v>131</v>
      </c>
      <c r="F166" s="549" t="s">
        <v>136</v>
      </c>
      <c r="G166" s="550">
        <v>2</v>
      </c>
      <c r="H166" s="549" t="s">
        <v>187</v>
      </c>
      <c r="I166" s="549" t="s">
        <v>321</v>
      </c>
      <c r="J166" s="549" t="s">
        <v>709</v>
      </c>
      <c r="K166" s="551" t="s">
        <v>664</v>
      </c>
      <c r="L166" s="549" t="s">
        <v>122</v>
      </c>
      <c r="M166" s="551" t="s">
        <v>264</v>
      </c>
      <c r="N166" s="552">
        <v>124</v>
      </c>
      <c r="O166" s="552">
        <v>96</v>
      </c>
      <c r="P166" s="197" t="s">
        <v>287</v>
      </c>
      <c r="Q166" s="178" t="s">
        <v>342</v>
      </c>
      <c r="R166" s="176" t="s">
        <v>190</v>
      </c>
      <c r="S166" s="179" t="s">
        <v>289</v>
      </c>
      <c r="T166" s="411">
        <v>314.65000000000003</v>
      </c>
      <c r="U166" s="560">
        <f t="shared" si="7"/>
        <v>79.291800000000009</v>
      </c>
      <c r="V166" s="568"/>
      <c r="W166" s="568"/>
      <c r="X166" s="567"/>
      <c r="Y166" s="522"/>
      <c r="Z166" s="522"/>
      <c r="AA166" s="412">
        <v>262</v>
      </c>
      <c r="AB166" s="560">
        <f t="shared" si="6"/>
        <v>66.023999999999987</v>
      </c>
      <c r="AC166" s="568"/>
      <c r="AD166" s="568"/>
      <c r="AE166" s="567"/>
      <c r="AF166" s="522"/>
      <c r="AG166" s="522"/>
    </row>
    <row r="167" spans="2:33" x14ac:dyDescent="0.25">
      <c r="B167" s="231">
        <v>14</v>
      </c>
      <c r="C167" s="541">
        <v>1</v>
      </c>
      <c r="D167" s="542" t="s">
        <v>298</v>
      </c>
      <c r="E167" s="543" t="s">
        <v>131</v>
      </c>
      <c r="F167" s="543" t="s">
        <v>136</v>
      </c>
      <c r="G167" s="544">
        <v>2</v>
      </c>
      <c r="H167" s="543" t="s">
        <v>691</v>
      </c>
      <c r="I167" s="543" t="s">
        <v>321</v>
      </c>
      <c r="J167" s="543" t="s">
        <v>709</v>
      </c>
      <c r="K167" s="545" t="s">
        <v>664</v>
      </c>
      <c r="L167" s="543" t="s">
        <v>122</v>
      </c>
      <c r="M167" s="545" t="s">
        <v>264</v>
      </c>
      <c r="N167" s="546">
        <v>124</v>
      </c>
      <c r="O167" s="546">
        <v>96</v>
      </c>
      <c r="P167" s="197" t="s">
        <v>287</v>
      </c>
      <c r="Q167" s="178" t="s">
        <v>342</v>
      </c>
      <c r="R167" s="176" t="s">
        <v>190</v>
      </c>
      <c r="S167" s="179" t="s">
        <v>289</v>
      </c>
      <c r="T167" s="411">
        <v>635.1</v>
      </c>
      <c r="U167" s="560">
        <f t="shared" si="7"/>
        <v>160.04519999999997</v>
      </c>
      <c r="V167" s="568"/>
      <c r="W167" s="568"/>
      <c r="X167" s="567"/>
      <c r="Y167" s="522"/>
      <c r="Z167" s="573">
        <f>AVERAGE(Z168:Z171)</f>
        <v>0.44687900560297045</v>
      </c>
      <c r="AA167" s="412">
        <v>262</v>
      </c>
      <c r="AB167" s="560">
        <f t="shared" si="6"/>
        <v>66.023999999999987</v>
      </c>
      <c r="AC167" s="568"/>
      <c r="AD167" s="568"/>
      <c r="AE167" s="567"/>
      <c r="AF167" s="522"/>
      <c r="AG167" s="573">
        <f>AVERAGE(AG168:AG171)</f>
        <v>0.77588503415492527</v>
      </c>
    </row>
    <row r="168" spans="2:33" x14ac:dyDescent="0.25">
      <c r="B168" s="231">
        <v>15</v>
      </c>
      <c r="C168" s="503">
        <v>1</v>
      </c>
      <c r="D168" s="504" t="s">
        <v>298</v>
      </c>
      <c r="E168" s="505" t="s">
        <v>131</v>
      </c>
      <c r="F168" s="505" t="s">
        <v>136</v>
      </c>
      <c r="G168" s="506">
        <v>2</v>
      </c>
      <c r="H168" s="505" t="s">
        <v>663</v>
      </c>
      <c r="I168" s="505" t="s">
        <v>674</v>
      </c>
      <c r="J168" s="505" t="s">
        <v>709</v>
      </c>
      <c r="K168" s="507" t="s">
        <v>664</v>
      </c>
      <c r="L168" s="505" t="s">
        <v>122</v>
      </c>
      <c r="M168" s="507" t="s">
        <v>264</v>
      </c>
      <c r="N168" s="508">
        <v>124</v>
      </c>
      <c r="O168" s="508">
        <v>96</v>
      </c>
      <c r="P168" s="197" t="s">
        <v>287</v>
      </c>
      <c r="Q168" s="178" t="s">
        <v>342</v>
      </c>
      <c r="R168" s="176" t="s">
        <v>190</v>
      </c>
      <c r="S168" s="179" t="s">
        <v>289</v>
      </c>
      <c r="T168" s="411">
        <v>374.15000000000003</v>
      </c>
      <c r="U168" s="560">
        <f t="shared" si="7"/>
        <v>94.285799999999995</v>
      </c>
      <c r="V168" s="568">
        <v>4470.21</v>
      </c>
      <c r="W168" s="567">
        <v>223.51050000000001</v>
      </c>
      <c r="X168" s="567">
        <v>44.702100000000002</v>
      </c>
      <c r="Y168" s="522">
        <v>178.80840000000001</v>
      </c>
      <c r="Z168" s="572">
        <f>(Y168-U168)/Y168</f>
        <v>0.47269926916185151</v>
      </c>
      <c r="AA168" s="412">
        <v>262</v>
      </c>
      <c r="AB168" s="560">
        <f t="shared" si="6"/>
        <v>66.023999999999987</v>
      </c>
      <c r="AC168" s="568">
        <v>7364.9699999999993</v>
      </c>
      <c r="AD168" s="567">
        <v>368.24849999999998</v>
      </c>
      <c r="AE168" s="567">
        <v>73.649699999999996</v>
      </c>
      <c r="AF168" s="522">
        <v>294.59879999999998</v>
      </c>
      <c r="AG168" s="572">
        <f>(AF168-AB168)/AF168</f>
        <v>0.77588503415492527</v>
      </c>
    </row>
    <row r="169" spans="2:33" x14ac:dyDescent="0.25">
      <c r="B169" s="231">
        <v>16</v>
      </c>
      <c r="C169" s="503">
        <v>1</v>
      </c>
      <c r="D169" s="504" t="s">
        <v>298</v>
      </c>
      <c r="E169" s="505" t="s">
        <v>131</v>
      </c>
      <c r="F169" s="505" t="s">
        <v>136</v>
      </c>
      <c r="G169" s="506">
        <v>2</v>
      </c>
      <c r="H169" s="505" t="s">
        <v>663</v>
      </c>
      <c r="I169" s="505" t="s">
        <v>675</v>
      </c>
      <c r="J169" s="505" t="s">
        <v>709</v>
      </c>
      <c r="K169" s="507" t="s">
        <v>664</v>
      </c>
      <c r="L169" s="505" t="s">
        <v>122</v>
      </c>
      <c r="M169" s="507" t="s">
        <v>264</v>
      </c>
      <c r="N169" s="508">
        <v>124</v>
      </c>
      <c r="O169" s="508">
        <v>96</v>
      </c>
      <c r="P169" s="197" t="s">
        <v>287</v>
      </c>
      <c r="Q169" s="178" t="s">
        <v>342</v>
      </c>
      <c r="R169" s="176" t="s">
        <v>190</v>
      </c>
      <c r="S169" s="179" t="s">
        <v>289</v>
      </c>
      <c r="T169" s="411">
        <v>519.5</v>
      </c>
      <c r="U169" s="560">
        <f t="shared" si="7"/>
        <v>130.91399999999999</v>
      </c>
      <c r="V169" s="568">
        <v>6319.08</v>
      </c>
      <c r="W169" s="567">
        <v>315.95400000000001</v>
      </c>
      <c r="X169" s="567">
        <v>63.190800000000003</v>
      </c>
      <c r="Y169" s="522">
        <v>252.76320000000001</v>
      </c>
      <c r="Z169" s="572">
        <f>(Y169-U169)/Y169</f>
        <v>0.48206859226343085</v>
      </c>
      <c r="AA169" s="412">
        <v>262</v>
      </c>
      <c r="AB169" s="560">
        <f t="shared" si="6"/>
        <v>66.023999999999987</v>
      </c>
      <c r="AC169" s="568">
        <v>7364.9699999999993</v>
      </c>
      <c r="AD169" s="567">
        <v>368.24849999999998</v>
      </c>
      <c r="AE169" s="567">
        <v>73.649699999999996</v>
      </c>
      <c r="AF169" s="522">
        <v>294.59879999999998</v>
      </c>
      <c r="AG169" s="572">
        <f>(AF169-AB169)/AF169</f>
        <v>0.77588503415492527</v>
      </c>
    </row>
    <row r="170" spans="2:33" x14ac:dyDescent="0.25">
      <c r="B170" s="231">
        <v>17</v>
      </c>
      <c r="C170" s="503">
        <v>1</v>
      </c>
      <c r="D170" s="504" t="s">
        <v>298</v>
      </c>
      <c r="E170" s="505" t="s">
        <v>131</v>
      </c>
      <c r="F170" s="505" t="s">
        <v>136</v>
      </c>
      <c r="G170" s="506">
        <v>2</v>
      </c>
      <c r="H170" s="505" t="s">
        <v>663</v>
      </c>
      <c r="I170" s="505" t="s">
        <v>676</v>
      </c>
      <c r="J170" s="505" t="s">
        <v>709</v>
      </c>
      <c r="K170" s="507" t="s">
        <v>664</v>
      </c>
      <c r="L170" s="505" t="s">
        <v>122</v>
      </c>
      <c r="M170" s="507" t="s">
        <v>264</v>
      </c>
      <c r="N170" s="508">
        <v>124</v>
      </c>
      <c r="O170" s="508">
        <v>96</v>
      </c>
      <c r="P170" s="197" t="s">
        <v>287</v>
      </c>
      <c r="Q170" s="178" t="s">
        <v>342</v>
      </c>
      <c r="R170" s="176" t="s">
        <v>190</v>
      </c>
      <c r="S170" s="179" t="s">
        <v>289</v>
      </c>
      <c r="T170" s="411">
        <v>556.05000000000007</v>
      </c>
      <c r="U170" s="560">
        <f t="shared" si="7"/>
        <v>140.12459999999999</v>
      </c>
      <c r="V170" s="568">
        <v>6549.56</v>
      </c>
      <c r="W170" s="567">
        <v>327.47800000000001</v>
      </c>
      <c r="X170" s="567">
        <v>65.49560000000001</v>
      </c>
      <c r="Y170" s="522">
        <v>261.98239999999998</v>
      </c>
      <c r="Z170" s="572">
        <f>(Y170-U170)/Y170</f>
        <v>0.46513735273819923</v>
      </c>
      <c r="AA170" s="412">
        <v>262</v>
      </c>
      <c r="AB170" s="560">
        <f t="shared" si="6"/>
        <v>66.023999999999987</v>
      </c>
      <c r="AC170" s="568">
        <v>7364.9699999999993</v>
      </c>
      <c r="AD170" s="567">
        <v>368.24849999999998</v>
      </c>
      <c r="AE170" s="567">
        <v>73.649699999999996</v>
      </c>
      <c r="AF170" s="522">
        <v>294.59879999999998</v>
      </c>
      <c r="AG170" s="572">
        <f>(AF170-AB170)/AF170</f>
        <v>0.77588503415492527</v>
      </c>
    </row>
    <row r="171" spans="2:33" x14ac:dyDescent="0.25">
      <c r="B171" s="231">
        <v>18</v>
      </c>
      <c r="C171" s="503">
        <v>1</v>
      </c>
      <c r="D171" s="504" t="s">
        <v>298</v>
      </c>
      <c r="E171" s="505" t="s">
        <v>131</v>
      </c>
      <c r="F171" s="505" t="s">
        <v>136</v>
      </c>
      <c r="G171" s="506">
        <v>2</v>
      </c>
      <c r="H171" s="505" t="s">
        <v>663</v>
      </c>
      <c r="I171" s="505" t="s">
        <v>677</v>
      </c>
      <c r="J171" s="505" t="s">
        <v>709</v>
      </c>
      <c r="K171" s="507" t="s">
        <v>664</v>
      </c>
      <c r="L171" s="505" t="s">
        <v>122</v>
      </c>
      <c r="M171" s="507" t="s">
        <v>264</v>
      </c>
      <c r="N171" s="508">
        <v>124</v>
      </c>
      <c r="O171" s="508">
        <v>96</v>
      </c>
      <c r="P171" s="197" t="s">
        <v>287</v>
      </c>
      <c r="Q171" s="178" t="s">
        <v>342</v>
      </c>
      <c r="R171" s="176" t="s">
        <v>190</v>
      </c>
      <c r="S171" s="179" t="s">
        <v>289</v>
      </c>
      <c r="T171" s="411">
        <v>677.6</v>
      </c>
      <c r="U171" s="560">
        <f t="shared" si="7"/>
        <v>170.75519999999997</v>
      </c>
      <c r="V171" s="568">
        <v>6750.4</v>
      </c>
      <c r="W171" s="567">
        <v>337.52</v>
      </c>
      <c r="X171" s="567">
        <v>67.504000000000005</v>
      </c>
      <c r="Y171" s="522">
        <v>270.01599999999996</v>
      </c>
      <c r="Z171" s="572">
        <f>(Y171-U171)/Y171</f>
        <v>0.36761080824840009</v>
      </c>
      <c r="AA171" s="412">
        <v>262</v>
      </c>
      <c r="AB171" s="560">
        <f t="shared" si="6"/>
        <v>66.023999999999987</v>
      </c>
      <c r="AC171" s="568">
        <v>7364.9699999999993</v>
      </c>
      <c r="AD171" s="567">
        <v>368.24849999999998</v>
      </c>
      <c r="AE171" s="567">
        <v>73.649699999999996</v>
      </c>
      <c r="AF171" s="522">
        <v>294.59879999999998</v>
      </c>
      <c r="AG171" s="572">
        <f>(AF171-AB171)/AF171</f>
        <v>0.77588503415492527</v>
      </c>
    </row>
    <row r="172" spans="2:33" x14ac:dyDescent="0.25">
      <c r="B172" s="231">
        <v>19</v>
      </c>
      <c r="C172" s="547">
        <v>1</v>
      </c>
      <c r="D172" s="548" t="s">
        <v>298</v>
      </c>
      <c r="E172" s="549" t="s">
        <v>131</v>
      </c>
      <c r="F172" s="549" t="s">
        <v>136</v>
      </c>
      <c r="G172" s="550">
        <v>2</v>
      </c>
      <c r="H172" s="549" t="s">
        <v>187</v>
      </c>
      <c r="I172" s="549" t="s">
        <v>321</v>
      </c>
      <c r="J172" s="549" t="s">
        <v>709</v>
      </c>
      <c r="K172" s="551" t="s">
        <v>664</v>
      </c>
      <c r="L172" s="549" t="s">
        <v>122</v>
      </c>
      <c r="M172" s="551" t="s">
        <v>264</v>
      </c>
      <c r="N172" s="552">
        <v>150</v>
      </c>
      <c r="O172" s="552">
        <v>96</v>
      </c>
      <c r="P172" s="197" t="s">
        <v>287</v>
      </c>
      <c r="Q172" s="178" t="s">
        <v>342</v>
      </c>
      <c r="R172" s="176" t="s">
        <v>190</v>
      </c>
      <c r="S172" s="179" t="s">
        <v>289</v>
      </c>
      <c r="T172" s="411">
        <v>379</v>
      </c>
      <c r="U172" s="560">
        <f t="shared" si="7"/>
        <v>95.507999999999996</v>
      </c>
      <c r="V172" s="568"/>
      <c r="W172" s="568"/>
      <c r="X172" s="567"/>
      <c r="Y172" s="522"/>
      <c r="Z172" s="522"/>
      <c r="AA172" s="412">
        <v>305.3</v>
      </c>
      <c r="AB172" s="560">
        <f t="shared" si="6"/>
        <v>76.935599999999994</v>
      </c>
      <c r="AC172" s="568"/>
      <c r="AD172" s="568"/>
      <c r="AE172" s="567"/>
      <c r="AF172" s="522"/>
      <c r="AG172" s="522"/>
    </row>
    <row r="173" spans="2:33" x14ac:dyDescent="0.25">
      <c r="B173" s="231">
        <v>20</v>
      </c>
      <c r="C173" s="541">
        <v>1</v>
      </c>
      <c r="D173" s="542" t="s">
        <v>298</v>
      </c>
      <c r="E173" s="543" t="s">
        <v>131</v>
      </c>
      <c r="F173" s="543" t="s">
        <v>136</v>
      </c>
      <c r="G173" s="544">
        <v>2</v>
      </c>
      <c r="H173" s="543" t="s">
        <v>691</v>
      </c>
      <c r="I173" s="543" t="s">
        <v>321</v>
      </c>
      <c r="J173" s="543" t="s">
        <v>709</v>
      </c>
      <c r="K173" s="545" t="s">
        <v>664</v>
      </c>
      <c r="L173" s="543" t="s">
        <v>122</v>
      </c>
      <c r="M173" s="545" t="s">
        <v>264</v>
      </c>
      <c r="N173" s="546">
        <v>150</v>
      </c>
      <c r="O173" s="546">
        <v>96</v>
      </c>
      <c r="P173" s="197" t="s">
        <v>287</v>
      </c>
      <c r="Q173" s="178" t="s">
        <v>342</v>
      </c>
      <c r="R173" s="176" t="s">
        <v>190</v>
      </c>
      <c r="S173" s="179" t="s">
        <v>289</v>
      </c>
      <c r="T173" s="411">
        <v>765.40000000000009</v>
      </c>
      <c r="U173" s="560">
        <f t="shared" si="7"/>
        <v>192.88079999999999</v>
      </c>
      <c r="V173" s="568"/>
      <c r="W173" s="568"/>
      <c r="X173" s="567"/>
      <c r="Y173" s="522"/>
      <c r="Z173" s="573">
        <f>AVERAGE(Z174:Z177)</f>
        <v>0.43457860269870535</v>
      </c>
      <c r="AA173" s="412">
        <v>305.3</v>
      </c>
      <c r="AB173" s="560">
        <f t="shared" si="6"/>
        <v>76.935599999999994</v>
      </c>
      <c r="AC173" s="568"/>
      <c r="AD173" s="568"/>
      <c r="AE173" s="567"/>
      <c r="AF173" s="522"/>
      <c r="AG173" s="573">
        <f>AVERAGE(AG174:AG177)</f>
        <v>0.76116569231762621</v>
      </c>
    </row>
    <row r="174" spans="2:33" x14ac:dyDescent="0.25">
      <c r="B174" s="231">
        <v>21</v>
      </c>
      <c r="C174" s="503">
        <v>1</v>
      </c>
      <c r="D174" s="504" t="s">
        <v>298</v>
      </c>
      <c r="E174" s="505" t="s">
        <v>131</v>
      </c>
      <c r="F174" s="505" t="s">
        <v>136</v>
      </c>
      <c r="G174" s="506">
        <v>2</v>
      </c>
      <c r="H174" s="505" t="s">
        <v>663</v>
      </c>
      <c r="I174" s="505" t="s">
        <v>674</v>
      </c>
      <c r="J174" s="505" t="s">
        <v>709</v>
      </c>
      <c r="K174" s="507" t="s">
        <v>664</v>
      </c>
      <c r="L174" s="505" t="s">
        <v>122</v>
      </c>
      <c r="M174" s="507" t="s">
        <v>264</v>
      </c>
      <c r="N174" s="508">
        <v>150</v>
      </c>
      <c r="O174" s="508">
        <v>96</v>
      </c>
      <c r="P174" s="197" t="s">
        <v>287</v>
      </c>
      <c r="Q174" s="178" t="s">
        <v>342</v>
      </c>
      <c r="R174" s="176" t="s">
        <v>190</v>
      </c>
      <c r="S174" s="179" t="s">
        <v>289</v>
      </c>
      <c r="T174" s="411">
        <v>450.75</v>
      </c>
      <c r="U174" s="560">
        <f t="shared" si="7"/>
        <v>113.58899999999998</v>
      </c>
      <c r="V174" s="568">
        <v>5279</v>
      </c>
      <c r="W174" s="567">
        <v>263.95</v>
      </c>
      <c r="X174" s="567">
        <v>52.79</v>
      </c>
      <c r="Y174" s="522">
        <v>211.16</v>
      </c>
      <c r="Z174" s="572">
        <f>(Y174-U174)/Y174</f>
        <v>0.46207141504072746</v>
      </c>
      <c r="AA174" s="412">
        <v>305.3</v>
      </c>
      <c r="AB174" s="560">
        <f t="shared" si="6"/>
        <v>76.935599999999994</v>
      </c>
      <c r="AC174" s="568">
        <v>8053.24</v>
      </c>
      <c r="AD174" s="567">
        <v>402.66199999999998</v>
      </c>
      <c r="AE174" s="567">
        <v>80.532399999999996</v>
      </c>
      <c r="AF174" s="522">
        <v>322.12959999999998</v>
      </c>
      <c r="AG174" s="572">
        <f>(AF174-AB174)/AF174</f>
        <v>0.76116569231762621</v>
      </c>
    </row>
    <row r="175" spans="2:33" x14ac:dyDescent="0.25">
      <c r="B175" s="231">
        <v>22</v>
      </c>
      <c r="C175" s="503">
        <v>1</v>
      </c>
      <c r="D175" s="504" t="s">
        <v>298</v>
      </c>
      <c r="E175" s="505" t="s">
        <v>131</v>
      </c>
      <c r="F175" s="505" t="s">
        <v>136</v>
      </c>
      <c r="G175" s="506">
        <v>2</v>
      </c>
      <c r="H175" s="505" t="s">
        <v>663</v>
      </c>
      <c r="I175" s="505" t="s">
        <v>675</v>
      </c>
      <c r="J175" s="505" t="s">
        <v>709</v>
      </c>
      <c r="K175" s="507" t="s">
        <v>664</v>
      </c>
      <c r="L175" s="505" t="s">
        <v>122</v>
      </c>
      <c r="M175" s="507" t="s">
        <v>264</v>
      </c>
      <c r="N175" s="508">
        <v>150</v>
      </c>
      <c r="O175" s="508">
        <v>96</v>
      </c>
      <c r="P175" s="197" t="s">
        <v>287</v>
      </c>
      <c r="Q175" s="178" t="s">
        <v>342</v>
      </c>
      <c r="R175" s="176" t="s">
        <v>190</v>
      </c>
      <c r="S175" s="179" t="s">
        <v>289</v>
      </c>
      <c r="T175" s="411">
        <v>626</v>
      </c>
      <c r="U175" s="560">
        <f t="shared" si="7"/>
        <v>157.75199999999998</v>
      </c>
      <c r="V175" s="568">
        <v>7456.32</v>
      </c>
      <c r="W175" s="567">
        <v>372.81599999999997</v>
      </c>
      <c r="X175" s="567">
        <v>74.563199999999995</v>
      </c>
      <c r="Y175" s="522">
        <v>298.25279999999998</v>
      </c>
      <c r="Z175" s="572">
        <f>(Y175-U175)/Y175</f>
        <v>0.4710795674005408</v>
      </c>
      <c r="AA175" s="412">
        <v>305.3</v>
      </c>
      <c r="AB175" s="560">
        <f t="shared" si="6"/>
        <v>76.935599999999994</v>
      </c>
      <c r="AC175" s="568">
        <v>8053.24</v>
      </c>
      <c r="AD175" s="567">
        <v>402.66199999999998</v>
      </c>
      <c r="AE175" s="567">
        <v>80.532399999999996</v>
      </c>
      <c r="AF175" s="522">
        <v>322.12959999999998</v>
      </c>
      <c r="AG175" s="572">
        <f>(AF175-AB175)/AF175</f>
        <v>0.76116569231762621</v>
      </c>
    </row>
    <row r="176" spans="2:33" x14ac:dyDescent="0.25">
      <c r="B176" s="231">
        <v>23</v>
      </c>
      <c r="C176" s="503">
        <v>1</v>
      </c>
      <c r="D176" s="504" t="s">
        <v>298</v>
      </c>
      <c r="E176" s="505" t="s">
        <v>131</v>
      </c>
      <c r="F176" s="505" t="s">
        <v>136</v>
      </c>
      <c r="G176" s="506">
        <v>2</v>
      </c>
      <c r="H176" s="505" t="s">
        <v>663</v>
      </c>
      <c r="I176" s="505" t="s">
        <v>676</v>
      </c>
      <c r="J176" s="505" t="s">
        <v>709</v>
      </c>
      <c r="K176" s="507" t="s">
        <v>664</v>
      </c>
      <c r="L176" s="505" t="s">
        <v>122</v>
      </c>
      <c r="M176" s="507" t="s">
        <v>264</v>
      </c>
      <c r="N176" s="508">
        <v>150</v>
      </c>
      <c r="O176" s="508">
        <v>96</v>
      </c>
      <c r="P176" s="197" t="s">
        <v>287</v>
      </c>
      <c r="Q176" s="178" t="s">
        <v>342</v>
      </c>
      <c r="R176" s="176" t="s">
        <v>190</v>
      </c>
      <c r="S176" s="179" t="s">
        <v>289</v>
      </c>
      <c r="T176" s="411">
        <v>670.1</v>
      </c>
      <c r="U176" s="560">
        <f t="shared" si="7"/>
        <v>168.86519999999999</v>
      </c>
      <c r="V176" s="568">
        <v>7706.74</v>
      </c>
      <c r="W176" s="567">
        <v>385.33699999999999</v>
      </c>
      <c r="X176" s="567">
        <v>77.067400000000006</v>
      </c>
      <c r="Y176" s="522">
        <v>308.26959999999997</v>
      </c>
      <c r="Z176" s="572">
        <f>(Y176-U176)/Y176</f>
        <v>0.45221585261731939</v>
      </c>
      <c r="AA176" s="412">
        <v>305.3</v>
      </c>
      <c r="AB176" s="560">
        <f t="shared" si="6"/>
        <v>76.935599999999994</v>
      </c>
      <c r="AC176" s="568">
        <v>8053.24</v>
      </c>
      <c r="AD176" s="567">
        <v>402.66199999999998</v>
      </c>
      <c r="AE176" s="567">
        <v>80.532399999999996</v>
      </c>
      <c r="AF176" s="522">
        <v>322.12959999999998</v>
      </c>
      <c r="AG176" s="572">
        <f>(AF176-AB176)/AF176</f>
        <v>0.76116569231762621</v>
      </c>
    </row>
    <row r="177" spans="2:33" x14ac:dyDescent="0.25">
      <c r="B177" s="231">
        <v>24</v>
      </c>
      <c r="C177" s="503">
        <v>1</v>
      </c>
      <c r="D177" s="504" t="s">
        <v>298</v>
      </c>
      <c r="E177" s="505" t="s">
        <v>131</v>
      </c>
      <c r="F177" s="505" t="s">
        <v>136</v>
      </c>
      <c r="G177" s="506">
        <v>2</v>
      </c>
      <c r="H177" s="505" t="s">
        <v>663</v>
      </c>
      <c r="I177" s="505" t="s">
        <v>677</v>
      </c>
      <c r="J177" s="505" t="s">
        <v>709</v>
      </c>
      <c r="K177" s="507" t="s">
        <v>664</v>
      </c>
      <c r="L177" s="505" t="s">
        <v>122</v>
      </c>
      <c r="M177" s="507" t="s">
        <v>264</v>
      </c>
      <c r="N177" s="508">
        <v>150</v>
      </c>
      <c r="O177" s="508">
        <v>96</v>
      </c>
      <c r="P177" s="197" t="s">
        <v>287</v>
      </c>
      <c r="Q177" s="178" t="s">
        <v>342</v>
      </c>
      <c r="R177" s="176" t="s">
        <v>190</v>
      </c>
      <c r="S177" s="179" t="s">
        <v>289</v>
      </c>
      <c r="T177" s="411">
        <v>816.65000000000009</v>
      </c>
      <c r="U177" s="560">
        <f t="shared" si="7"/>
        <v>205.79579999999999</v>
      </c>
      <c r="V177" s="568">
        <v>7951.28</v>
      </c>
      <c r="W177" s="567">
        <v>397.56399999999996</v>
      </c>
      <c r="X177" s="567">
        <v>79.512799999999999</v>
      </c>
      <c r="Y177" s="522">
        <v>318.05119999999999</v>
      </c>
      <c r="Z177" s="572">
        <f>(Y177-U177)/Y177</f>
        <v>0.3529475757362337</v>
      </c>
      <c r="AA177" s="412">
        <v>305.3</v>
      </c>
      <c r="AB177" s="560">
        <f t="shared" si="6"/>
        <v>76.935599999999994</v>
      </c>
      <c r="AC177" s="568">
        <v>8053.24</v>
      </c>
      <c r="AD177" s="567">
        <v>402.66199999999998</v>
      </c>
      <c r="AE177" s="567">
        <v>80.532399999999996</v>
      </c>
      <c r="AF177" s="522">
        <v>322.12959999999998</v>
      </c>
      <c r="AG177" s="572">
        <f>(AF177-AB177)/AF177</f>
        <v>0.76116569231762621</v>
      </c>
    </row>
    <row r="178" spans="2:33" x14ac:dyDescent="0.25">
      <c r="B178" s="231">
        <v>25</v>
      </c>
      <c r="C178" s="553">
        <v>1</v>
      </c>
      <c r="D178" s="554" t="s">
        <v>298</v>
      </c>
      <c r="E178" s="555" t="s">
        <v>131</v>
      </c>
      <c r="F178" s="555" t="s">
        <v>116</v>
      </c>
      <c r="G178" s="556">
        <v>2</v>
      </c>
      <c r="H178" s="555" t="s">
        <v>187</v>
      </c>
      <c r="I178" s="555" t="s">
        <v>323</v>
      </c>
      <c r="J178" s="555" t="s">
        <v>709</v>
      </c>
      <c r="K178" s="557" t="s">
        <v>665</v>
      </c>
      <c r="L178" s="555" t="s">
        <v>122</v>
      </c>
      <c r="M178" s="557" t="s">
        <v>264</v>
      </c>
      <c r="N178" s="558">
        <v>72</v>
      </c>
      <c r="O178" s="558">
        <v>96</v>
      </c>
      <c r="P178" s="197" t="s">
        <v>287</v>
      </c>
      <c r="Q178" s="178" t="s">
        <v>342</v>
      </c>
      <c r="R178" s="176" t="s">
        <v>190</v>
      </c>
      <c r="S178" s="179" t="s">
        <v>289</v>
      </c>
      <c r="T178" s="411">
        <v>122.9</v>
      </c>
      <c r="U178" s="560">
        <f t="shared" si="7"/>
        <v>30.970800000000001</v>
      </c>
      <c r="V178" s="568"/>
      <c r="W178" s="568"/>
      <c r="X178" s="567"/>
      <c r="Y178" s="522"/>
      <c r="Z178" s="634">
        <f>AVERAGE(Z180:Z183,Z186:Z189,Z192:Z195,Z198:Z201)</f>
        <v>0.43465689702216354</v>
      </c>
      <c r="AA178" s="412">
        <v>175.3</v>
      </c>
      <c r="AB178" s="560">
        <f t="shared" si="6"/>
        <v>44.175599999999996</v>
      </c>
      <c r="AC178" s="568"/>
      <c r="AD178" s="568"/>
      <c r="AE178" s="567"/>
      <c r="AF178" s="522"/>
      <c r="AG178" s="634">
        <f>AVERAGE(AG180:AG183,AG186:AG189,AG192:AG195,AG198:AG201)</f>
        <v>0.78625950721922311</v>
      </c>
    </row>
    <row r="179" spans="2:33" x14ac:dyDescent="0.25">
      <c r="B179" s="231">
        <v>26</v>
      </c>
      <c r="C179" s="509">
        <v>1</v>
      </c>
      <c r="D179" s="510" t="s">
        <v>298</v>
      </c>
      <c r="E179" s="511" t="s">
        <v>131</v>
      </c>
      <c r="F179" s="511" t="s">
        <v>116</v>
      </c>
      <c r="G179" s="512">
        <v>2</v>
      </c>
      <c r="H179" s="511" t="s">
        <v>691</v>
      </c>
      <c r="I179" s="511" t="s">
        <v>323</v>
      </c>
      <c r="J179" s="511" t="s">
        <v>709</v>
      </c>
      <c r="K179" s="513" t="s">
        <v>665</v>
      </c>
      <c r="L179" s="511" t="s">
        <v>122</v>
      </c>
      <c r="M179" s="513" t="s">
        <v>264</v>
      </c>
      <c r="N179" s="514">
        <v>72</v>
      </c>
      <c r="O179" s="514">
        <v>96</v>
      </c>
      <c r="P179" s="197" t="s">
        <v>287</v>
      </c>
      <c r="Q179" s="178" t="s">
        <v>342</v>
      </c>
      <c r="R179" s="176" t="s">
        <v>190</v>
      </c>
      <c r="S179" s="179" t="s">
        <v>289</v>
      </c>
      <c r="T179" s="411">
        <v>221.15</v>
      </c>
      <c r="U179" s="560">
        <f t="shared" si="7"/>
        <v>55.729799999999997</v>
      </c>
      <c r="V179" s="568"/>
      <c r="W179" s="568"/>
      <c r="X179" s="567"/>
      <c r="Y179" s="522"/>
      <c r="Z179" s="573">
        <f>AVERAGE(Z180:Z183)</f>
        <v>0.4589927964883061</v>
      </c>
      <c r="AA179" s="412">
        <v>175.3</v>
      </c>
      <c r="AB179" s="560">
        <f t="shared" si="6"/>
        <v>44.175599999999996</v>
      </c>
      <c r="AC179" s="568"/>
      <c r="AD179" s="568"/>
      <c r="AE179" s="567"/>
      <c r="AF179" s="522"/>
      <c r="AG179" s="573">
        <f>AVERAGE(AG180:AG183)</f>
        <v>0.80962042685817415</v>
      </c>
    </row>
    <row r="180" spans="2:33" x14ac:dyDescent="0.25">
      <c r="B180" s="231">
        <v>27</v>
      </c>
      <c r="C180" s="515">
        <v>1</v>
      </c>
      <c r="D180" s="516" t="s">
        <v>298</v>
      </c>
      <c r="E180" s="517" t="s">
        <v>131</v>
      </c>
      <c r="F180" s="517" t="s">
        <v>116</v>
      </c>
      <c r="G180" s="518">
        <v>2</v>
      </c>
      <c r="H180" s="517" t="s">
        <v>663</v>
      </c>
      <c r="I180" s="517" t="s">
        <v>681</v>
      </c>
      <c r="J180" s="517" t="s">
        <v>709</v>
      </c>
      <c r="K180" s="519" t="s">
        <v>665</v>
      </c>
      <c r="L180" s="517" t="s">
        <v>122</v>
      </c>
      <c r="M180" s="519" t="s">
        <v>264</v>
      </c>
      <c r="N180" s="520">
        <v>72</v>
      </c>
      <c r="O180" s="520">
        <v>96</v>
      </c>
      <c r="P180" s="197" t="s">
        <v>287</v>
      </c>
      <c r="Q180" s="178" t="s">
        <v>342</v>
      </c>
      <c r="R180" s="176" t="s">
        <v>190</v>
      </c>
      <c r="S180" s="179" t="s">
        <v>289</v>
      </c>
      <c r="T180" s="411">
        <v>182.4</v>
      </c>
      <c r="U180" s="560">
        <f t="shared" si="7"/>
        <v>45.96479999999999</v>
      </c>
      <c r="V180" s="568">
        <v>2498.04</v>
      </c>
      <c r="W180" s="567">
        <v>124.902</v>
      </c>
      <c r="X180" s="567">
        <v>24.980400000000003</v>
      </c>
      <c r="Y180" s="522">
        <v>99.921599999999998</v>
      </c>
      <c r="Z180" s="572">
        <f>(Y180-U180)/Y180</f>
        <v>0.53999135322092529</v>
      </c>
      <c r="AA180" s="412">
        <v>175.3</v>
      </c>
      <c r="AB180" s="560">
        <f t="shared" si="6"/>
        <v>44.175599999999996</v>
      </c>
      <c r="AC180" s="568">
        <v>5800.99</v>
      </c>
      <c r="AD180" s="567">
        <v>290.04949999999997</v>
      </c>
      <c r="AE180" s="567">
        <v>58.009899999999995</v>
      </c>
      <c r="AF180" s="522">
        <v>232.03959999999998</v>
      </c>
      <c r="AG180" s="572">
        <f>(AF180-AB180)/AF180</f>
        <v>0.80962042685817415</v>
      </c>
    </row>
    <row r="181" spans="2:33" x14ac:dyDescent="0.25">
      <c r="B181" s="231">
        <v>28</v>
      </c>
      <c r="C181" s="515">
        <v>1</v>
      </c>
      <c r="D181" s="516" t="s">
        <v>298</v>
      </c>
      <c r="E181" s="517" t="s">
        <v>131</v>
      </c>
      <c r="F181" s="517" t="s">
        <v>116</v>
      </c>
      <c r="G181" s="518">
        <v>2</v>
      </c>
      <c r="H181" s="517" t="s">
        <v>663</v>
      </c>
      <c r="I181" s="517" t="s">
        <v>685</v>
      </c>
      <c r="J181" s="517" t="s">
        <v>709</v>
      </c>
      <c r="K181" s="519" t="s">
        <v>665</v>
      </c>
      <c r="L181" s="517" t="s">
        <v>122</v>
      </c>
      <c r="M181" s="519" t="s">
        <v>264</v>
      </c>
      <c r="N181" s="520">
        <v>72</v>
      </c>
      <c r="O181" s="520">
        <v>96</v>
      </c>
      <c r="P181" s="197" t="s">
        <v>287</v>
      </c>
      <c r="Q181" s="178" t="s">
        <v>342</v>
      </c>
      <c r="R181" s="176" t="s">
        <v>190</v>
      </c>
      <c r="S181" s="179" t="s">
        <v>289</v>
      </c>
      <c r="T181" s="411">
        <v>217.65</v>
      </c>
      <c r="U181" s="560">
        <f t="shared" si="7"/>
        <v>54.847799999999999</v>
      </c>
      <c r="V181" s="568">
        <v>2762.46</v>
      </c>
      <c r="W181" s="567">
        <v>138.12299999999999</v>
      </c>
      <c r="X181" s="567">
        <v>27.624600000000001</v>
      </c>
      <c r="Y181" s="522">
        <v>110.49839999999999</v>
      </c>
      <c r="Z181" s="572">
        <f>(Y181-U181)/Y181</f>
        <v>0.50363263178471362</v>
      </c>
      <c r="AA181" s="412">
        <v>175.3</v>
      </c>
      <c r="AB181" s="560">
        <f t="shared" si="6"/>
        <v>44.175599999999996</v>
      </c>
      <c r="AC181" s="568">
        <v>5800.99</v>
      </c>
      <c r="AD181" s="567">
        <v>290.04949999999997</v>
      </c>
      <c r="AE181" s="567">
        <v>58.009899999999995</v>
      </c>
      <c r="AF181" s="522">
        <v>232.03959999999998</v>
      </c>
      <c r="AG181" s="572">
        <f>(AF181-AB181)/AF181</f>
        <v>0.80962042685817415</v>
      </c>
    </row>
    <row r="182" spans="2:33" x14ac:dyDescent="0.25">
      <c r="B182" s="231">
        <v>29</v>
      </c>
      <c r="C182" s="515">
        <v>1</v>
      </c>
      <c r="D182" s="516" t="s">
        <v>298</v>
      </c>
      <c r="E182" s="517" t="s">
        <v>131</v>
      </c>
      <c r="F182" s="517" t="s">
        <v>116</v>
      </c>
      <c r="G182" s="518">
        <v>2</v>
      </c>
      <c r="H182" s="517" t="s">
        <v>663</v>
      </c>
      <c r="I182" s="517" t="s">
        <v>687</v>
      </c>
      <c r="J182" s="517" t="s">
        <v>709</v>
      </c>
      <c r="K182" s="519" t="s">
        <v>665</v>
      </c>
      <c r="L182" s="517" t="s">
        <v>122</v>
      </c>
      <c r="M182" s="519" t="s">
        <v>264</v>
      </c>
      <c r="N182" s="520">
        <v>72</v>
      </c>
      <c r="O182" s="520">
        <v>96</v>
      </c>
      <c r="P182" s="197" t="s">
        <v>287</v>
      </c>
      <c r="Q182" s="178" t="s">
        <v>342</v>
      </c>
      <c r="R182" s="176" t="s">
        <v>190</v>
      </c>
      <c r="S182" s="179" t="s">
        <v>289</v>
      </c>
      <c r="T182" s="411">
        <v>259.90000000000003</v>
      </c>
      <c r="U182" s="560">
        <f t="shared" si="7"/>
        <v>65.494799999999998</v>
      </c>
      <c r="V182" s="568">
        <v>2761.1</v>
      </c>
      <c r="W182" s="567">
        <v>138.05500000000001</v>
      </c>
      <c r="X182" s="567">
        <v>27.611000000000004</v>
      </c>
      <c r="Y182" s="522">
        <v>110.444</v>
      </c>
      <c r="Z182" s="572">
        <f>(Y182-U182)/Y182</f>
        <v>0.40698634602151318</v>
      </c>
      <c r="AA182" s="412">
        <v>175.3</v>
      </c>
      <c r="AB182" s="560">
        <f t="shared" si="6"/>
        <v>44.175599999999996</v>
      </c>
      <c r="AC182" s="568">
        <v>5800.99</v>
      </c>
      <c r="AD182" s="567">
        <v>290.04949999999997</v>
      </c>
      <c r="AE182" s="567">
        <v>58.009899999999995</v>
      </c>
      <c r="AF182" s="522">
        <v>232.03959999999998</v>
      </c>
      <c r="AG182" s="572">
        <f>(AF182-AB182)/AF182</f>
        <v>0.80962042685817415</v>
      </c>
    </row>
    <row r="183" spans="2:33" x14ac:dyDescent="0.25">
      <c r="B183" s="231">
        <v>30</v>
      </c>
      <c r="C183" s="515">
        <v>1</v>
      </c>
      <c r="D183" s="516" t="s">
        <v>298</v>
      </c>
      <c r="E183" s="517" t="s">
        <v>131</v>
      </c>
      <c r="F183" s="517" t="s">
        <v>116</v>
      </c>
      <c r="G183" s="518">
        <v>2</v>
      </c>
      <c r="H183" s="517" t="s">
        <v>663</v>
      </c>
      <c r="I183" s="517" t="s">
        <v>689</v>
      </c>
      <c r="J183" s="517" t="s">
        <v>709</v>
      </c>
      <c r="K183" s="519" t="s">
        <v>665</v>
      </c>
      <c r="L183" s="517" t="s">
        <v>122</v>
      </c>
      <c r="M183" s="519" t="s">
        <v>264</v>
      </c>
      <c r="N183" s="520">
        <v>72</v>
      </c>
      <c r="O183" s="520">
        <v>96</v>
      </c>
      <c r="P183" s="197" t="s">
        <v>287</v>
      </c>
      <c r="Q183" s="178" t="s">
        <v>342</v>
      </c>
      <c r="R183" s="176" t="s">
        <v>190</v>
      </c>
      <c r="S183" s="179" t="s">
        <v>289</v>
      </c>
      <c r="T183" s="411">
        <v>299.90000000000003</v>
      </c>
      <c r="U183" s="560">
        <f t="shared" si="7"/>
        <v>75.574799999999996</v>
      </c>
      <c r="V183" s="568">
        <v>3073.95</v>
      </c>
      <c r="W183" s="567">
        <v>153.69749999999999</v>
      </c>
      <c r="X183" s="567">
        <v>30.7395</v>
      </c>
      <c r="Y183" s="522">
        <v>122.958</v>
      </c>
      <c r="Z183" s="572">
        <f>(Y183-U183)/Y183</f>
        <v>0.38536085492607236</v>
      </c>
      <c r="AA183" s="412">
        <v>175.3</v>
      </c>
      <c r="AB183" s="560">
        <f t="shared" si="6"/>
        <v>44.175599999999996</v>
      </c>
      <c r="AC183" s="568">
        <v>5800.99</v>
      </c>
      <c r="AD183" s="567">
        <v>290.04949999999997</v>
      </c>
      <c r="AE183" s="567">
        <v>58.009899999999995</v>
      </c>
      <c r="AF183" s="522">
        <v>232.03959999999998</v>
      </c>
      <c r="AG183" s="572">
        <f>(AF183-AB183)/AF183</f>
        <v>0.80962042685817415</v>
      </c>
    </row>
    <row r="184" spans="2:33" x14ac:dyDescent="0.25">
      <c r="B184" s="231">
        <v>31</v>
      </c>
      <c r="C184" s="553">
        <v>1</v>
      </c>
      <c r="D184" s="554" t="s">
        <v>298</v>
      </c>
      <c r="E184" s="555" t="s">
        <v>131</v>
      </c>
      <c r="F184" s="555" t="s">
        <v>116</v>
      </c>
      <c r="G184" s="556">
        <v>2</v>
      </c>
      <c r="H184" s="555" t="s">
        <v>187</v>
      </c>
      <c r="I184" s="555" t="s">
        <v>323</v>
      </c>
      <c r="J184" s="555" t="s">
        <v>709</v>
      </c>
      <c r="K184" s="557" t="s">
        <v>665</v>
      </c>
      <c r="L184" s="555" t="s">
        <v>122</v>
      </c>
      <c r="M184" s="557" t="s">
        <v>264</v>
      </c>
      <c r="N184" s="558">
        <v>98</v>
      </c>
      <c r="O184" s="558">
        <v>96</v>
      </c>
      <c r="P184" s="197" t="s">
        <v>287</v>
      </c>
      <c r="Q184" s="178" t="s">
        <v>342</v>
      </c>
      <c r="R184" s="176" t="s">
        <v>190</v>
      </c>
      <c r="S184" s="179" t="s">
        <v>289</v>
      </c>
      <c r="T184" s="411">
        <v>161.20000000000002</v>
      </c>
      <c r="U184" s="560">
        <f t="shared" si="7"/>
        <v>40.622399999999992</v>
      </c>
      <c r="V184" s="568"/>
      <c r="W184" s="568"/>
      <c r="X184" s="567"/>
      <c r="Y184" s="522"/>
      <c r="Z184" s="522"/>
      <c r="AA184" s="412">
        <v>218.65</v>
      </c>
      <c r="AB184" s="560">
        <f t="shared" si="6"/>
        <v>55.099799999999995</v>
      </c>
      <c r="AC184" s="568"/>
      <c r="AD184" s="568"/>
      <c r="AE184" s="567"/>
      <c r="AF184" s="522"/>
      <c r="AG184" s="522"/>
    </row>
    <row r="185" spans="2:33" x14ac:dyDescent="0.25">
      <c r="B185" s="231">
        <v>32</v>
      </c>
      <c r="C185" s="509">
        <v>1</v>
      </c>
      <c r="D185" s="510" t="s">
        <v>298</v>
      </c>
      <c r="E185" s="511" t="s">
        <v>131</v>
      </c>
      <c r="F185" s="511" t="s">
        <v>116</v>
      </c>
      <c r="G185" s="512">
        <v>2</v>
      </c>
      <c r="H185" s="511" t="s">
        <v>691</v>
      </c>
      <c r="I185" s="511" t="s">
        <v>323</v>
      </c>
      <c r="J185" s="511" t="s">
        <v>709</v>
      </c>
      <c r="K185" s="513" t="s">
        <v>665</v>
      </c>
      <c r="L185" s="511" t="s">
        <v>122</v>
      </c>
      <c r="M185" s="513" t="s">
        <v>264</v>
      </c>
      <c r="N185" s="514">
        <v>98</v>
      </c>
      <c r="O185" s="514">
        <v>96</v>
      </c>
      <c r="P185" s="197" t="s">
        <v>287</v>
      </c>
      <c r="Q185" s="178" t="s">
        <v>342</v>
      </c>
      <c r="R185" s="176" t="s">
        <v>190</v>
      </c>
      <c r="S185" s="179" t="s">
        <v>289</v>
      </c>
      <c r="T185" s="411">
        <v>288.95</v>
      </c>
      <c r="U185" s="560">
        <f t="shared" si="7"/>
        <v>72.815399999999983</v>
      </c>
      <c r="V185" s="568"/>
      <c r="W185" s="568"/>
      <c r="X185" s="567"/>
      <c r="Y185" s="522"/>
      <c r="Z185" s="573">
        <f>AVERAGE(Z186:Z189)</f>
        <v>0.4356417698402314</v>
      </c>
      <c r="AA185" s="412">
        <v>218.65</v>
      </c>
      <c r="AB185" s="560">
        <f t="shared" si="6"/>
        <v>55.099799999999995</v>
      </c>
      <c r="AC185" s="568"/>
      <c r="AD185" s="568"/>
      <c r="AE185" s="567"/>
      <c r="AF185" s="522"/>
      <c r="AG185" s="573">
        <f>AVERAGE(AG186:AG189)</f>
        <v>0.79836687554616803</v>
      </c>
    </row>
    <row r="186" spans="2:33" x14ac:dyDescent="0.25">
      <c r="B186" s="231">
        <v>33</v>
      </c>
      <c r="C186" s="515">
        <v>1</v>
      </c>
      <c r="D186" s="516" t="s">
        <v>298</v>
      </c>
      <c r="E186" s="517" t="s">
        <v>131</v>
      </c>
      <c r="F186" s="517" t="s">
        <v>116</v>
      </c>
      <c r="G186" s="518">
        <v>2</v>
      </c>
      <c r="H186" s="517" t="s">
        <v>663</v>
      </c>
      <c r="I186" s="517" t="s">
        <v>681</v>
      </c>
      <c r="J186" s="517" t="s">
        <v>709</v>
      </c>
      <c r="K186" s="519" t="s">
        <v>665</v>
      </c>
      <c r="L186" s="517" t="s">
        <v>122</v>
      </c>
      <c r="M186" s="519" t="s">
        <v>264</v>
      </c>
      <c r="N186" s="520">
        <v>98</v>
      </c>
      <c r="O186" s="520">
        <v>96</v>
      </c>
      <c r="P186" s="197" t="s">
        <v>287</v>
      </c>
      <c r="Q186" s="178" t="s">
        <v>342</v>
      </c>
      <c r="R186" s="176" t="s">
        <v>190</v>
      </c>
      <c r="S186" s="179" t="s">
        <v>289</v>
      </c>
      <c r="T186" s="411">
        <v>238.55</v>
      </c>
      <c r="U186" s="560">
        <f t="shared" si="7"/>
        <v>60.114599999999989</v>
      </c>
      <c r="V186" s="568">
        <v>3127.68</v>
      </c>
      <c r="W186" s="567">
        <v>156.38399999999999</v>
      </c>
      <c r="X186" s="567">
        <v>31.276799999999998</v>
      </c>
      <c r="Y186" s="522">
        <v>125.10719999999999</v>
      </c>
      <c r="Z186" s="572">
        <f>(Y186-U186)/Y186</f>
        <v>0.51949528084714558</v>
      </c>
      <c r="AA186" s="412">
        <v>218.65</v>
      </c>
      <c r="AB186" s="560">
        <f t="shared" si="6"/>
        <v>55.099799999999995</v>
      </c>
      <c r="AC186" s="568">
        <v>6831.69</v>
      </c>
      <c r="AD186" s="567">
        <v>341.58449999999999</v>
      </c>
      <c r="AE186" s="567">
        <v>68.316900000000004</v>
      </c>
      <c r="AF186" s="522">
        <v>273.26760000000002</v>
      </c>
      <c r="AG186" s="572">
        <f>(AF186-AB186)/AF186</f>
        <v>0.79836687554616803</v>
      </c>
    </row>
    <row r="187" spans="2:33" x14ac:dyDescent="0.25">
      <c r="B187" s="231">
        <v>34</v>
      </c>
      <c r="C187" s="515">
        <v>1</v>
      </c>
      <c r="D187" s="516" t="s">
        <v>298</v>
      </c>
      <c r="E187" s="517" t="s">
        <v>131</v>
      </c>
      <c r="F187" s="517" t="s">
        <v>116</v>
      </c>
      <c r="G187" s="518">
        <v>2</v>
      </c>
      <c r="H187" s="517" t="s">
        <v>663</v>
      </c>
      <c r="I187" s="517" t="s">
        <v>685</v>
      </c>
      <c r="J187" s="517" t="s">
        <v>709</v>
      </c>
      <c r="K187" s="519" t="s">
        <v>665</v>
      </c>
      <c r="L187" s="517" t="s">
        <v>122</v>
      </c>
      <c r="M187" s="519" t="s">
        <v>264</v>
      </c>
      <c r="N187" s="520">
        <v>98</v>
      </c>
      <c r="O187" s="520">
        <v>96</v>
      </c>
      <c r="P187" s="197" t="s">
        <v>287</v>
      </c>
      <c r="Q187" s="178" t="s">
        <v>342</v>
      </c>
      <c r="R187" s="176" t="s">
        <v>190</v>
      </c>
      <c r="S187" s="179" t="s">
        <v>289</v>
      </c>
      <c r="T187" s="411">
        <v>284.40000000000003</v>
      </c>
      <c r="U187" s="560">
        <f t="shared" si="7"/>
        <v>71.668800000000005</v>
      </c>
      <c r="V187" s="568">
        <v>3459.22</v>
      </c>
      <c r="W187" s="567">
        <v>172.96099999999998</v>
      </c>
      <c r="X187" s="567">
        <v>34.592199999999998</v>
      </c>
      <c r="Y187" s="522">
        <v>138.36879999999999</v>
      </c>
      <c r="Z187" s="572">
        <f>(Y187-U187)/Y187</f>
        <v>0.48204508530824863</v>
      </c>
      <c r="AA187" s="412">
        <v>218.65</v>
      </c>
      <c r="AB187" s="560">
        <f t="shared" si="6"/>
        <v>55.099799999999995</v>
      </c>
      <c r="AC187" s="568">
        <v>6831.69</v>
      </c>
      <c r="AD187" s="567">
        <v>341.58449999999999</v>
      </c>
      <c r="AE187" s="567">
        <v>68.316900000000004</v>
      </c>
      <c r="AF187" s="522">
        <v>273.26760000000002</v>
      </c>
      <c r="AG187" s="572">
        <f>(AF187-AB187)/AF187</f>
        <v>0.79836687554616803</v>
      </c>
    </row>
    <row r="188" spans="2:33" x14ac:dyDescent="0.25">
      <c r="B188" s="231">
        <v>35</v>
      </c>
      <c r="C188" s="515">
        <v>1</v>
      </c>
      <c r="D188" s="516" t="s">
        <v>298</v>
      </c>
      <c r="E188" s="517" t="s">
        <v>131</v>
      </c>
      <c r="F188" s="517" t="s">
        <v>116</v>
      </c>
      <c r="G188" s="518">
        <v>2</v>
      </c>
      <c r="H188" s="517" t="s">
        <v>663</v>
      </c>
      <c r="I188" s="517" t="s">
        <v>687</v>
      </c>
      <c r="J188" s="517" t="s">
        <v>709</v>
      </c>
      <c r="K188" s="519" t="s">
        <v>665</v>
      </c>
      <c r="L188" s="517" t="s">
        <v>122</v>
      </c>
      <c r="M188" s="519" t="s">
        <v>264</v>
      </c>
      <c r="N188" s="520">
        <v>98</v>
      </c>
      <c r="O188" s="520">
        <v>96</v>
      </c>
      <c r="P188" s="197" t="s">
        <v>287</v>
      </c>
      <c r="Q188" s="178" t="s">
        <v>342</v>
      </c>
      <c r="R188" s="176" t="s">
        <v>190</v>
      </c>
      <c r="S188" s="179" t="s">
        <v>289</v>
      </c>
      <c r="T188" s="411">
        <v>339.3</v>
      </c>
      <c r="U188" s="560">
        <f t="shared" si="7"/>
        <v>85.503599999999992</v>
      </c>
      <c r="V188" s="568">
        <v>3456.49</v>
      </c>
      <c r="W188" s="567">
        <v>172.8245</v>
      </c>
      <c r="X188" s="567">
        <v>34.564900000000002</v>
      </c>
      <c r="Y188" s="522">
        <v>138.25960000000001</v>
      </c>
      <c r="Z188" s="572">
        <f>(Y188-U188)/Y188</f>
        <v>0.3815720572025379</v>
      </c>
      <c r="AA188" s="412">
        <v>218.65</v>
      </c>
      <c r="AB188" s="560">
        <f t="shared" si="6"/>
        <v>55.099799999999995</v>
      </c>
      <c r="AC188" s="568">
        <v>6831.69</v>
      </c>
      <c r="AD188" s="567">
        <v>341.58449999999999</v>
      </c>
      <c r="AE188" s="567">
        <v>68.316900000000004</v>
      </c>
      <c r="AF188" s="522">
        <v>273.26760000000002</v>
      </c>
      <c r="AG188" s="572">
        <f>(AF188-AB188)/AF188</f>
        <v>0.79836687554616803</v>
      </c>
    </row>
    <row r="189" spans="2:33" x14ac:dyDescent="0.25">
      <c r="B189" s="231">
        <v>36</v>
      </c>
      <c r="C189" s="515">
        <v>1</v>
      </c>
      <c r="D189" s="516" t="s">
        <v>298</v>
      </c>
      <c r="E189" s="517" t="s">
        <v>131</v>
      </c>
      <c r="F189" s="517" t="s">
        <v>116</v>
      </c>
      <c r="G189" s="518">
        <v>2</v>
      </c>
      <c r="H189" s="517" t="s">
        <v>663</v>
      </c>
      <c r="I189" s="517" t="s">
        <v>689</v>
      </c>
      <c r="J189" s="517" t="s">
        <v>709</v>
      </c>
      <c r="K189" s="519" t="s">
        <v>665</v>
      </c>
      <c r="L189" s="517" t="s">
        <v>122</v>
      </c>
      <c r="M189" s="519" t="s">
        <v>264</v>
      </c>
      <c r="N189" s="520">
        <v>98</v>
      </c>
      <c r="O189" s="520">
        <v>96</v>
      </c>
      <c r="P189" s="197" t="s">
        <v>287</v>
      </c>
      <c r="Q189" s="178" t="s">
        <v>342</v>
      </c>
      <c r="R189" s="176" t="s">
        <v>190</v>
      </c>
      <c r="S189" s="179" t="s">
        <v>289</v>
      </c>
      <c r="T189" s="411">
        <v>391.3</v>
      </c>
      <c r="U189" s="560">
        <f t="shared" si="7"/>
        <v>98.607599999999977</v>
      </c>
      <c r="V189" s="568">
        <v>3848.58</v>
      </c>
      <c r="W189" s="567">
        <v>192.429</v>
      </c>
      <c r="X189" s="567">
        <v>38.485800000000005</v>
      </c>
      <c r="Y189" s="522">
        <v>153.94319999999999</v>
      </c>
      <c r="Z189" s="572">
        <f>(Y189-U189)/Y189</f>
        <v>0.35945465600299342</v>
      </c>
      <c r="AA189" s="412">
        <v>218.65</v>
      </c>
      <c r="AB189" s="560">
        <f t="shared" si="6"/>
        <v>55.099799999999995</v>
      </c>
      <c r="AC189" s="568">
        <v>6831.69</v>
      </c>
      <c r="AD189" s="567">
        <v>341.58449999999999</v>
      </c>
      <c r="AE189" s="567">
        <v>68.316900000000004</v>
      </c>
      <c r="AF189" s="522">
        <v>273.26760000000002</v>
      </c>
      <c r="AG189" s="572">
        <f>(AF189-AB189)/AF189</f>
        <v>0.79836687554616803</v>
      </c>
    </row>
    <row r="190" spans="2:33" x14ac:dyDescent="0.25">
      <c r="B190" s="231">
        <v>37</v>
      </c>
      <c r="C190" s="553">
        <v>1</v>
      </c>
      <c r="D190" s="554" t="s">
        <v>298</v>
      </c>
      <c r="E190" s="555" t="s">
        <v>131</v>
      </c>
      <c r="F190" s="555" t="s">
        <v>116</v>
      </c>
      <c r="G190" s="556">
        <v>2</v>
      </c>
      <c r="H190" s="555" t="s">
        <v>187</v>
      </c>
      <c r="I190" s="555" t="s">
        <v>323</v>
      </c>
      <c r="J190" s="555" t="s">
        <v>709</v>
      </c>
      <c r="K190" s="557" t="s">
        <v>665</v>
      </c>
      <c r="L190" s="555" t="s">
        <v>122</v>
      </c>
      <c r="M190" s="557" t="s">
        <v>264</v>
      </c>
      <c r="N190" s="558">
        <v>124</v>
      </c>
      <c r="O190" s="558">
        <v>96</v>
      </c>
      <c r="P190" s="197" t="s">
        <v>287</v>
      </c>
      <c r="Q190" s="178" t="s">
        <v>342</v>
      </c>
      <c r="R190" s="176" t="s">
        <v>190</v>
      </c>
      <c r="S190" s="179" t="s">
        <v>289</v>
      </c>
      <c r="T190" s="411">
        <v>199.5</v>
      </c>
      <c r="U190" s="560">
        <f t="shared" si="7"/>
        <v>50.273999999999987</v>
      </c>
      <c r="V190" s="568"/>
      <c r="W190" s="568"/>
      <c r="X190" s="567"/>
      <c r="Y190" s="522"/>
      <c r="Z190" s="522"/>
      <c r="AA190" s="412">
        <v>262</v>
      </c>
      <c r="AB190" s="560">
        <f t="shared" si="6"/>
        <v>66.023999999999987</v>
      </c>
      <c r="AC190" s="568"/>
      <c r="AD190" s="568"/>
      <c r="AE190" s="567"/>
      <c r="AF190" s="522"/>
      <c r="AG190" s="522"/>
    </row>
    <row r="191" spans="2:33" x14ac:dyDescent="0.25">
      <c r="B191" s="231">
        <v>38</v>
      </c>
      <c r="C191" s="509">
        <v>1</v>
      </c>
      <c r="D191" s="510" t="s">
        <v>298</v>
      </c>
      <c r="E191" s="511" t="s">
        <v>131</v>
      </c>
      <c r="F191" s="511" t="s">
        <v>116</v>
      </c>
      <c r="G191" s="512">
        <v>2</v>
      </c>
      <c r="H191" s="511" t="s">
        <v>691</v>
      </c>
      <c r="I191" s="511" t="s">
        <v>323</v>
      </c>
      <c r="J191" s="511" t="s">
        <v>709</v>
      </c>
      <c r="K191" s="513" t="s">
        <v>665</v>
      </c>
      <c r="L191" s="511" t="s">
        <v>122</v>
      </c>
      <c r="M191" s="513" t="s">
        <v>264</v>
      </c>
      <c r="N191" s="514">
        <v>124</v>
      </c>
      <c r="O191" s="514">
        <v>96</v>
      </c>
      <c r="P191" s="197" t="s">
        <v>287</v>
      </c>
      <c r="Q191" s="178" t="s">
        <v>342</v>
      </c>
      <c r="R191" s="176" t="s">
        <v>190</v>
      </c>
      <c r="S191" s="179" t="s">
        <v>289</v>
      </c>
      <c r="T191" s="411">
        <v>356.70000000000005</v>
      </c>
      <c r="U191" s="560">
        <f t="shared" si="7"/>
        <v>89.888400000000004</v>
      </c>
      <c r="V191" s="568"/>
      <c r="W191" s="568"/>
      <c r="X191" s="567"/>
      <c r="Y191" s="522"/>
      <c r="Z191" s="573">
        <f>AVERAGE(Z192:Z195)</f>
        <v>0.4200433366337909</v>
      </c>
      <c r="AA191" s="412">
        <v>262</v>
      </c>
      <c r="AB191" s="560">
        <f t="shared" si="6"/>
        <v>66.023999999999987</v>
      </c>
      <c r="AC191" s="568"/>
      <c r="AD191" s="568"/>
      <c r="AE191" s="567"/>
      <c r="AF191" s="522"/>
      <c r="AG191" s="573">
        <f>AVERAGE(AG192:AG195)</f>
        <v>0.77588503415492527</v>
      </c>
    </row>
    <row r="192" spans="2:33" x14ac:dyDescent="0.25">
      <c r="B192" s="231">
        <v>39</v>
      </c>
      <c r="C192" s="515">
        <v>1</v>
      </c>
      <c r="D192" s="516" t="s">
        <v>298</v>
      </c>
      <c r="E192" s="517" t="s">
        <v>131</v>
      </c>
      <c r="F192" s="517" t="s">
        <v>116</v>
      </c>
      <c r="G192" s="518">
        <v>2</v>
      </c>
      <c r="H192" s="517" t="s">
        <v>663</v>
      </c>
      <c r="I192" s="517" t="s">
        <v>681</v>
      </c>
      <c r="J192" s="517" t="s">
        <v>709</v>
      </c>
      <c r="K192" s="519" t="s">
        <v>665</v>
      </c>
      <c r="L192" s="517" t="s">
        <v>122</v>
      </c>
      <c r="M192" s="519" t="s">
        <v>264</v>
      </c>
      <c r="N192" s="520">
        <v>124</v>
      </c>
      <c r="O192" s="520">
        <v>96</v>
      </c>
      <c r="P192" s="197" t="s">
        <v>287</v>
      </c>
      <c r="Q192" s="178" t="s">
        <v>342</v>
      </c>
      <c r="R192" s="176" t="s">
        <v>190</v>
      </c>
      <c r="S192" s="179" t="s">
        <v>289</v>
      </c>
      <c r="T192" s="411">
        <v>294.7</v>
      </c>
      <c r="U192" s="560">
        <f t="shared" si="7"/>
        <v>74.264399999999995</v>
      </c>
      <c r="V192" s="568">
        <v>3757.32</v>
      </c>
      <c r="W192" s="567">
        <v>187.86600000000001</v>
      </c>
      <c r="X192" s="567">
        <v>37.573200000000007</v>
      </c>
      <c r="Y192" s="522">
        <v>150.2928</v>
      </c>
      <c r="Z192" s="572">
        <f>(Y192-U192)/Y192</f>
        <v>0.505868544600939</v>
      </c>
      <c r="AA192" s="412">
        <v>262</v>
      </c>
      <c r="AB192" s="560">
        <f t="shared" si="6"/>
        <v>66.023999999999987</v>
      </c>
      <c r="AC192" s="568">
        <v>7364.9699999999993</v>
      </c>
      <c r="AD192" s="567">
        <v>368.24849999999998</v>
      </c>
      <c r="AE192" s="567">
        <v>73.649699999999996</v>
      </c>
      <c r="AF192" s="522">
        <v>294.59879999999998</v>
      </c>
      <c r="AG192" s="572">
        <f>(AF192-AB192)/AF192</f>
        <v>0.77588503415492527</v>
      </c>
    </row>
    <row r="193" spans="2:33" x14ac:dyDescent="0.25">
      <c r="B193" s="231">
        <v>40</v>
      </c>
      <c r="C193" s="515">
        <v>1</v>
      </c>
      <c r="D193" s="516" t="s">
        <v>298</v>
      </c>
      <c r="E193" s="517" t="s">
        <v>131</v>
      </c>
      <c r="F193" s="517" t="s">
        <v>116</v>
      </c>
      <c r="G193" s="518">
        <v>2</v>
      </c>
      <c r="H193" s="517" t="s">
        <v>663</v>
      </c>
      <c r="I193" s="517" t="s">
        <v>685</v>
      </c>
      <c r="J193" s="517" t="s">
        <v>709</v>
      </c>
      <c r="K193" s="519" t="s">
        <v>665</v>
      </c>
      <c r="L193" s="517" t="s">
        <v>122</v>
      </c>
      <c r="M193" s="519" t="s">
        <v>264</v>
      </c>
      <c r="N193" s="520">
        <v>124</v>
      </c>
      <c r="O193" s="520">
        <v>96</v>
      </c>
      <c r="P193" s="197" t="s">
        <v>287</v>
      </c>
      <c r="Q193" s="178" t="s">
        <v>342</v>
      </c>
      <c r="R193" s="176" t="s">
        <v>190</v>
      </c>
      <c r="S193" s="179" t="s">
        <v>289</v>
      </c>
      <c r="T193" s="411">
        <v>351.1</v>
      </c>
      <c r="U193" s="560">
        <f t="shared" si="7"/>
        <v>88.477199999999996</v>
      </c>
      <c r="V193" s="568">
        <v>4154.6099999999997</v>
      </c>
      <c r="W193" s="567">
        <v>207.73049999999998</v>
      </c>
      <c r="X193" s="567">
        <v>41.546099999999996</v>
      </c>
      <c r="Y193" s="522">
        <v>166.18439999999998</v>
      </c>
      <c r="Z193" s="572">
        <f>(Y193-U193)/Y193</f>
        <v>0.4675962364698491</v>
      </c>
      <c r="AA193" s="412">
        <v>262</v>
      </c>
      <c r="AB193" s="560">
        <f t="shared" si="6"/>
        <v>66.023999999999987</v>
      </c>
      <c r="AC193" s="568">
        <v>7364.9699999999993</v>
      </c>
      <c r="AD193" s="567">
        <v>368.24849999999998</v>
      </c>
      <c r="AE193" s="567">
        <v>73.649699999999996</v>
      </c>
      <c r="AF193" s="522">
        <v>294.59879999999998</v>
      </c>
      <c r="AG193" s="572">
        <f>(AF193-AB193)/AF193</f>
        <v>0.77588503415492527</v>
      </c>
    </row>
    <row r="194" spans="2:33" x14ac:dyDescent="0.25">
      <c r="B194" s="231">
        <v>41</v>
      </c>
      <c r="C194" s="515">
        <v>1</v>
      </c>
      <c r="D194" s="516" t="s">
        <v>298</v>
      </c>
      <c r="E194" s="517" t="s">
        <v>131</v>
      </c>
      <c r="F194" s="517" t="s">
        <v>116</v>
      </c>
      <c r="G194" s="518">
        <v>2</v>
      </c>
      <c r="H194" s="517" t="s">
        <v>663</v>
      </c>
      <c r="I194" s="517" t="s">
        <v>687</v>
      </c>
      <c r="J194" s="517" t="s">
        <v>709</v>
      </c>
      <c r="K194" s="519" t="s">
        <v>665</v>
      </c>
      <c r="L194" s="517" t="s">
        <v>122</v>
      </c>
      <c r="M194" s="519" t="s">
        <v>264</v>
      </c>
      <c r="N194" s="520">
        <v>124</v>
      </c>
      <c r="O194" s="520">
        <v>96</v>
      </c>
      <c r="P194" s="197" t="s">
        <v>287</v>
      </c>
      <c r="Q194" s="178" t="s">
        <v>342</v>
      </c>
      <c r="R194" s="176" t="s">
        <v>190</v>
      </c>
      <c r="S194" s="179" t="s">
        <v>289</v>
      </c>
      <c r="T194" s="411">
        <v>418.70000000000005</v>
      </c>
      <c r="U194" s="560">
        <f t="shared" si="7"/>
        <v>105.5124</v>
      </c>
      <c r="V194" s="568">
        <v>4151.88</v>
      </c>
      <c r="W194" s="567">
        <v>207.59399999999999</v>
      </c>
      <c r="X194" s="567">
        <v>41.518799999999999</v>
      </c>
      <c r="Y194" s="522">
        <v>166.0752</v>
      </c>
      <c r="Z194" s="572">
        <f>(Y194-U194)/Y194</f>
        <v>0.36467094424694352</v>
      </c>
      <c r="AA194" s="412">
        <v>262</v>
      </c>
      <c r="AB194" s="560">
        <f t="shared" si="6"/>
        <v>66.023999999999987</v>
      </c>
      <c r="AC194" s="568">
        <v>7364.9699999999993</v>
      </c>
      <c r="AD194" s="567">
        <v>368.24849999999998</v>
      </c>
      <c r="AE194" s="567">
        <v>73.649699999999996</v>
      </c>
      <c r="AF194" s="522">
        <v>294.59879999999998</v>
      </c>
      <c r="AG194" s="572">
        <f>(AF194-AB194)/AF194</f>
        <v>0.77588503415492527</v>
      </c>
    </row>
    <row r="195" spans="2:33" x14ac:dyDescent="0.25">
      <c r="B195" s="231">
        <v>42</v>
      </c>
      <c r="C195" s="515">
        <v>1</v>
      </c>
      <c r="D195" s="516" t="s">
        <v>298</v>
      </c>
      <c r="E195" s="517" t="s">
        <v>131</v>
      </c>
      <c r="F195" s="517" t="s">
        <v>116</v>
      </c>
      <c r="G195" s="518">
        <v>2</v>
      </c>
      <c r="H195" s="517" t="s">
        <v>663</v>
      </c>
      <c r="I195" s="517" t="s">
        <v>689</v>
      </c>
      <c r="J195" s="517" t="s">
        <v>709</v>
      </c>
      <c r="K195" s="519" t="s">
        <v>665</v>
      </c>
      <c r="L195" s="517" t="s">
        <v>122</v>
      </c>
      <c r="M195" s="519" t="s">
        <v>264</v>
      </c>
      <c r="N195" s="520">
        <v>124</v>
      </c>
      <c r="O195" s="520">
        <v>96</v>
      </c>
      <c r="P195" s="197" t="s">
        <v>287</v>
      </c>
      <c r="Q195" s="178" t="s">
        <v>342</v>
      </c>
      <c r="R195" s="176" t="s">
        <v>190</v>
      </c>
      <c r="S195" s="179" t="s">
        <v>289</v>
      </c>
      <c r="T195" s="411">
        <v>482.70000000000005</v>
      </c>
      <c r="U195" s="560">
        <f t="shared" si="7"/>
        <v>121.64039999999999</v>
      </c>
      <c r="V195" s="568">
        <v>4621.8599999999997</v>
      </c>
      <c r="W195" s="567">
        <v>231.09299999999999</v>
      </c>
      <c r="X195" s="567">
        <v>46.218600000000002</v>
      </c>
      <c r="Y195" s="522">
        <v>184.87439999999998</v>
      </c>
      <c r="Z195" s="572">
        <f>(Y195-U195)/Y195</f>
        <v>0.34203762121743198</v>
      </c>
      <c r="AA195" s="412">
        <v>262</v>
      </c>
      <c r="AB195" s="560">
        <f t="shared" si="6"/>
        <v>66.023999999999987</v>
      </c>
      <c r="AC195" s="568">
        <v>7364.9699999999993</v>
      </c>
      <c r="AD195" s="567">
        <v>368.24849999999998</v>
      </c>
      <c r="AE195" s="567">
        <v>73.649699999999996</v>
      </c>
      <c r="AF195" s="522">
        <v>294.59879999999998</v>
      </c>
      <c r="AG195" s="572">
        <f>(AF195-AB195)/AF195</f>
        <v>0.77588503415492527</v>
      </c>
    </row>
    <row r="196" spans="2:33" x14ac:dyDescent="0.25">
      <c r="B196" s="231">
        <v>43</v>
      </c>
      <c r="C196" s="553">
        <v>1</v>
      </c>
      <c r="D196" s="554" t="s">
        <v>298</v>
      </c>
      <c r="E196" s="555" t="s">
        <v>131</v>
      </c>
      <c r="F196" s="555" t="s">
        <v>116</v>
      </c>
      <c r="G196" s="556">
        <v>2</v>
      </c>
      <c r="H196" s="555" t="s">
        <v>187</v>
      </c>
      <c r="I196" s="555" t="s">
        <v>323</v>
      </c>
      <c r="J196" s="555" t="s">
        <v>709</v>
      </c>
      <c r="K196" s="557" t="s">
        <v>665</v>
      </c>
      <c r="L196" s="555" t="s">
        <v>122</v>
      </c>
      <c r="M196" s="557" t="s">
        <v>264</v>
      </c>
      <c r="N196" s="558">
        <v>150</v>
      </c>
      <c r="O196" s="558">
        <v>96</v>
      </c>
      <c r="P196" s="197" t="s">
        <v>287</v>
      </c>
      <c r="Q196" s="178" t="s">
        <v>342</v>
      </c>
      <c r="R196" s="176" t="s">
        <v>190</v>
      </c>
      <c r="S196" s="179" t="s">
        <v>289</v>
      </c>
      <c r="T196" s="411">
        <v>241.8</v>
      </c>
      <c r="U196" s="560">
        <f t="shared" si="7"/>
        <v>60.933599999999998</v>
      </c>
      <c r="V196" s="568"/>
      <c r="W196" s="568"/>
      <c r="X196" s="567"/>
      <c r="Y196" s="522"/>
      <c r="Z196" s="522"/>
      <c r="AA196" s="412">
        <v>305.3</v>
      </c>
      <c r="AB196" s="560">
        <f t="shared" si="6"/>
        <v>76.935599999999994</v>
      </c>
      <c r="AC196" s="568"/>
      <c r="AD196" s="568"/>
      <c r="AE196" s="567"/>
      <c r="AF196" s="522"/>
      <c r="AG196" s="522"/>
    </row>
    <row r="197" spans="2:33" x14ac:dyDescent="0.25">
      <c r="B197" s="231">
        <v>44</v>
      </c>
      <c r="C197" s="509">
        <v>1</v>
      </c>
      <c r="D197" s="510" t="s">
        <v>298</v>
      </c>
      <c r="E197" s="511" t="s">
        <v>131</v>
      </c>
      <c r="F197" s="511" t="s">
        <v>116</v>
      </c>
      <c r="G197" s="512">
        <v>2</v>
      </c>
      <c r="H197" s="511" t="s">
        <v>691</v>
      </c>
      <c r="I197" s="511" t="s">
        <v>323</v>
      </c>
      <c r="J197" s="511" t="s">
        <v>709</v>
      </c>
      <c r="K197" s="513" t="s">
        <v>665</v>
      </c>
      <c r="L197" s="511" t="s">
        <v>122</v>
      </c>
      <c r="M197" s="513" t="s">
        <v>264</v>
      </c>
      <c r="N197" s="514">
        <v>150</v>
      </c>
      <c r="O197" s="514">
        <v>96</v>
      </c>
      <c r="P197" s="197" t="s">
        <v>287</v>
      </c>
      <c r="Q197" s="178" t="s">
        <v>342</v>
      </c>
      <c r="R197" s="176" t="s">
        <v>190</v>
      </c>
      <c r="S197" s="179" t="s">
        <v>289</v>
      </c>
      <c r="T197" s="411">
        <v>433.40000000000003</v>
      </c>
      <c r="U197" s="560">
        <f t="shared" si="7"/>
        <v>109.21679999999999</v>
      </c>
      <c r="V197" s="568"/>
      <c r="W197" s="568"/>
      <c r="X197" s="567"/>
      <c r="Y197" s="522"/>
      <c r="Z197" s="573">
        <f>AVERAGE(Z198:Z201)</f>
        <v>0.42394968512632569</v>
      </c>
      <c r="AA197" s="412">
        <v>305.3</v>
      </c>
      <c r="AB197" s="560">
        <f t="shared" si="6"/>
        <v>76.935599999999994</v>
      </c>
      <c r="AC197" s="568"/>
      <c r="AD197" s="568"/>
      <c r="AE197" s="567"/>
      <c r="AF197" s="522"/>
      <c r="AG197" s="573">
        <f>AVERAGE(AG198:AG201)</f>
        <v>0.76116569231762621</v>
      </c>
    </row>
    <row r="198" spans="2:33" x14ac:dyDescent="0.25">
      <c r="B198" s="231">
        <v>45</v>
      </c>
      <c r="C198" s="515">
        <v>1</v>
      </c>
      <c r="D198" s="516" t="s">
        <v>298</v>
      </c>
      <c r="E198" s="517" t="s">
        <v>131</v>
      </c>
      <c r="F198" s="517" t="s">
        <v>116</v>
      </c>
      <c r="G198" s="518">
        <v>2</v>
      </c>
      <c r="H198" s="517" t="s">
        <v>663</v>
      </c>
      <c r="I198" s="517" t="s">
        <v>681</v>
      </c>
      <c r="J198" s="517" t="s">
        <v>709</v>
      </c>
      <c r="K198" s="519" t="s">
        <v>665</v>
      </c>
      <c r="L198" s="517" t="s">
        <v>122</v>
      </c>
      <c r="M198" s="519" t="s">
        <v>264</v>
      </c>
      <c r="N198" s="520">
        <v>150</v>
      </c>
      <c r="O198" s="520">
        <v>96</v>
      </c>
      <c r="P198" s="197" t="s">
        <v>287</v>
      </c>
      <c r="Q198" s="178" t="s">
        <v>342</v>
      </c>
      <c r="R198" s="176" t="s">
        <v>190</v>
      </c>
      <c r="S198" s="179" t="s">
        <v>289</v>
      </c>
      <c r="T198" s="411">
        <v>357.85</v>
      </c>
      <c r="U198" s="560">
        <f t="shared" si="7"/>
        <v>90.17819999999999</v>
      </c>
      <c r="V198" s="568">
        <v>4597.5600000000004</v>
      </c>
      <c r="W198" s="567">
        <v>229.87800000000001</v>
      </c>
      <c r="X198" s="567">
        <v>45.975600000000007</v>
      </c>
      <c r="Y198" s="522">
        <v>183.9024</v>
      </c>
      <c r="Z198" s="572">
        <f>(Y198-U198)/Y198</f>
        <v>0.50964098347819287</v>
      </c>
      <c r="AA198" s="412">
        <v>305.3</v>
      </c>
      <c r="AB198" s="560">
        <f t="shared" si="6"/>
        <v>76.935599999999994</v>
      </c>
      <c r="AC198" s="568">
        <v>8053.24</v>
      </c>
      <c r="AD198" s="567">
        <v>402.66199999999998</v>
      </c>
      <c r="AE198" s="567">
        <v>80.532399999999996</v>
      </c>
      <c r="AF198" s="522">
        <v>322.12959999999998</v>
      </c>
      <c r="AG198" s="572">
        <f>(AF198-AB198)/AF198</f>
        <v>0.76116569231762621</v>
      </c>
    </row>
    <row r="199" spans="2:33" x14ac:dyDescent="0.25">
      <c r="B199" s="231">
        <v>46</v>
      </c>
      <c r="C199" s="515">
        <v>1</v>
      </c>
      <c r="D199" s="516" t="s">
        <v>298</v>
      </c>
      <c r="E199" s="517" t="s">
        <v>131</v>
      </c>
      <c r="F199" s="517" t="s">
        <v>116</v>
      </c>
      <c r="G199" s="518">
        <v>2</v>
      </c>
      <c r="H199" s="517" t="s">
        <v>663</v>
      </c>
      <c r="I199" s="517" t="s">
        <v>685</v>
      </c>
      <c r="J199" s="517" t="s">
        <v>709</v>
      </c>
      <c r="K199" s="519" t="s">
        <v>665</v>
      </c>
      <c r="L199" s="517" t="s">
        <v>122</v>
      </c>
      <c r="M199" s="519" t="s">
        <v>264</v>
      </c>
      <c r="N199" s="520">
        <v>150</v>
      </c>
      <c r="O199" s="520">
        <v>96</v>
      </c>
      <c r="P199" s="197" t="s">
        <v>287</v>
      </c>
      <c r="Q199" s="178" t="s">
        <v>342</v>
      </c>
      <c r="R199" s="176" t="s">
        <v>190</v>
      </c>
      <c r="S199" s="179" t="s">
        <v>289</v>
      </c>
      <c r="T199" s="411">
        <v>426.6</v>
      </c>
      <c r="U199" s="560">
        <f t="shared" si="7"/>
        <v>107.50319999999999</v>
      </c>
      <c r="V199" s="568">
        <v>5083.62</v>
      </c>
      <c r="W199" s="567">
        <v>254.18099999999998</v>
      </c>
      <c r="X199" s="567">
        <v>50.836199999999998</v>
      </c>
      <c r="Y199" s="522">
        <v>203.34479999999999</v>
      </c>
      <c r="Z199" s="572">
        <f>(Y199-U199)/Y199</f>
        <v>0.47132555147709704</v>
      </c>
      <c r="AA199" s="412">
        <v>305.3</v>
      </c>
      <c r="AB199" s="560">
        <f t="shared" si="6"/>
        <v>76.935599999999994</v>
      </c>
      <c r="AC199" s="568">
        <v>8053.24</v>
      </c>
      <c r="AD199" s="567">
        <v>402.66199999999998</v>
      </c>
      <c r="AE199" s="567">
        <v>80.532399999999996</v>
      </c>
      <c r="AF199" s="522">
        <v>322.12959999999998</v>
      </c>
      <c r="AG199" s="572">
        <f>(AF199-AB199)/AF199</f>
        <v>0.76116569231762621</v>
      </c>
    </row>
    <row r="200" spans="2:33" x14ac:dyDescent="0.25">
      <c r="B200" s="231">
        <v>47</v>
      </c>
      <c r="C200" s="515">
        <v>1</v>
      </c>
      <c r="D200" s="516" t="s">
        <v>298</v>
      </c>
      <c r="E200" s="517" t="s">
        <v>131</v>
      </c>
      <c r="F200" s="517" t="s">
        <v>116</v>
      </c>
      <c r="G200" s="518">
        <v>2</v>
      </c>
      <c r="H200" s="517" t="s">
        <v>663</v>
      </c>
      <c r="I200" s="517" t="s">
        <v>687</v>
      </c>
      <c r="J200" s="517" t="s">
        <v>709</v>
      </c>
      <c r="K200" s="519" t="s">
        <v>665</v>
      </c>
      <c r="L200" s="517" t="s">
        <v>122</v>
      </c>
      <c r="M200" s="519" t="s">
        <v>264</v>
      </c>
      <c r="N200" s="520">
        <v>150</v>
      </c>
      <c r="O200" s="520">
        <v>96</v>
      </c>
      <c r="P200" s="197" t="s">
        <v>287</v>
      </c>
      <c r="Q200" s="178" t="s">
        <v>342</v>
      </c>
      <c r="R200" s="176" t="s">
        <v>190</v>
      </c>
      <c r="S200" s="179" t="s">
        <v>289</v>
      </c>
      <c r="T200" s="411">
        <v>508.95000000000005</v>
      </c>
      <c r="U200" s="560">
        <f t="shared" si="7"/>
        <v>128.25539999999998</v>
      </c>
      <c r="V200" s="568">
        <v>5079.53</v>
      </c>
      <c r="W200" s="567">
        <v>253.97649999999999</v>
      </c>
      <c r="X200" s="567">
        <v>50.795299999999997</v>
      </c>
      <c r="Y200" s="522">
        <v>203.18119999999999</v>
      </c>
      <c r="Z200" s="572">
        <f>(Y200-U200)/Y200</f>
        <v>0.36876344858677879</v>
      </c>
      <c r="AA200" s="412">
        <v>305.3</v>
      </c>
      <c r="AB200" s="560">
        <f t="shared" si="6"/>
        <v>76.935599999999994</v>
      </c>
      <c r="AC200" s="568">
        <v>8053.24</v>
      </c>
      <c r="AD200" s="567">
        <v>402.66199999999998</v>
      </c>
      <c r="AE200" s="567">
        <v>80.532399999999996</v>
      </c>
      <c r="AF200" s="522">
        <v>322.12959999999998</v>
      </c>
      <c r="AG200" s="572">
        <f>(AF200-AB200)/AF200</f>
        <v>0.76116569231762621</v>
      </c>
    </row>
    <row r="201" spans="2:33" x14ac:dyDescent="0.25">
      <c r="B201" s="231">
        <v>48</v>
      </c>
      <c r="C201" s="515">
        <v>1</v>
      </c>
      <c r="D201" s="516" t="s">
        <v>298</v>
      </c>
      <c r="E201" s="517" t="s">
        <v>131</v>
      </c>
      <c r="F201" s="517" t="s">
        <v>116</v>
      </c>
      <c r="G201" s="518">
        <v>2</v>
      </c>
      <c r="H201" s="517" t="s">
        <v>663</v>
      </c>
      <c r="I201" s="517" t="s">
        <v>689</v>
      </c>
      <c r="J201" s="517" t="s">
        <v>709</v>
      </c>
      <c r="K201" s="519" t="s">
        <v>665</v>
      </c>
      <c r="L201" s="517" t="s">
        <v>122</v>
      </c>
      <c r="M201" s="519" t="s">
        <v>264</v>
      </c>
      <c r="N201" s="520">
        <v>150</v>
      </c>
      <c r="O201" s="520">
        <v>96</v>
      </c>
      <c r="P201" s="197" t="s">
        <v>287</v>
      </c>
      <c r="Q201" s="178" t="s">
        <v>342</v>
      </c>
      <c r="R201" s="176" t="s">
        <v>190</v>
      </c>
      <c r="S201" s="179" t="s">
        <v>289</v>
      </c>
      <c r="T201" s="411">
        <v>586.95000000000005</v>
      </c>
      <c r="U201" s="560">
        <f t="shared" si="7"/>
        <v>147.91139999999999</v>
      </c>
      <c r="V201" s="568">
        <v>5654.7</v>
      </c>
      <c r="W201" s="567">
        <v>282.73500000000001</v>
      </c>
      <c r="X201" s="567">
        <v>56.547000000000004</v>
      </c>
      <c r="Y201" s="522">
        <v>226.18800000000002</v>
      </c>
      <c r="Z201" s="572">
        <f>(Y201-U201)/Y201</f>
        <v>0.34606875696323425</v>
      </c>
      <c r="AA201" s="412">
        <v>305.3</v>
      </c>
      <c r="AB201" s="560">
        <f t="shared" si="6"/>
        <v>76.935599999999994</v>
      </c>
      <c r="AC201" s="568">
        <v>8053.24</v>
      </c>
      <c r="AD201" s="567">
        <v>402.66199999999998</v>
      </c>
      <c r="AE201" s="567">
        <v>80.532399999999996</v>
      </c>
      <c r="AF201" s="522">
        <v>322.12959999999998</v>
      </c>
      <c r="AG201" s="572">
        <f>(AF201-AB201)/AF201</f>
        <v>0.76116569231762621</v>
      </c>
    </row>
    <row r="203" spans="2:33" x14ac:dyDescent="0.25">
      <c r="B203" s="230">
        <v>1</v>
      </c>
      <c r="C203" s="547">
        <v>1</v>
      </c>
      <c r="D203" s="548" t="s">
        <v>298</v>
      </c>
      <c r="E203" s="549" t="s">
        <v>132</v>
      </c>
      <c r="F203" s="549" t="s">
        <v>136</v>
      </c>
      <c r="G203" s="550">
        <v>2</v>
      </c>
      <c r="H203" s="549" t="s">
        <v>187</v>
      </c>
      <c r="I203" s="549" t="s">
        <v>321</v>
      </c>
      <c r="J203" s="549" t="s">
        <v>709</v>
      </c>
      <c r="K203" s="551" t="s">
        <v>664</v>
      </c>
      <c r="L203" s="549" t="s">
        <v>122</v>
      </c>
      <c r="M203" s="551" t="s">
        <v>264</v>
      </c>
      <c r="N203" s="552">
        <v>72</v>
      </c>
      <c r="O203" s="552">
        <v>96</v>
      </c>
      <c r="P203" s="197" t="s">
        <v>287</v>
      </c>
      <c r="Q203" s="178" t="s">
        <v>284</v>
      </c>
      <c r="R203" s="176" t="s">
        <v>190</v>
      </c>
      <c r="S203" s="179" t="s">
        <v>289</v>
      </c>
      <c r="T203" s="411">
        <v>189.5</v>
      </c>
      <c r="U203" s="560">
        <f t="shared" si="7"/>
        <v>47.753999999999998</v>
      </c>
      <c r="V203" s="567"/>
      <c r="W203" s="567"/>
      <c r="X203" s="567"/>
      <c r="Y203" s="522"/>
      <c r="Z203" s="634">
        <f>AVERAGE(Z205:Z208,Z211:Z214,Z217:Z220,Z223:Z226)</f>
        <v>0.46117011109019035</v>
      </c>
      <c r="AA203" s="412">
        <v>577.1</v>
      </c>
      <c r="AB203" s="560">
        <f t="shared" si="6"/>
        <v>145.42919999999998</v>
      </c>
      <c r="AC203" s="567"/>
      <c r="AD203" s="567"/>
      <c r="AE203" s="567"/>
      <c r="AF203" s="522"/>
      <c r="AG203" s="634">
        <f>AVERAGE(AG205:AG208,AG211:AG214,AG217:AG220,AG223:AG226)</f>
        <v>0.28567113723534676</v>
      </c>
    </row>
    <row r="204" spans="2:33" x14ac:dyDescent="0.25">
      <c r="B204" s="231">
        <v>2</v>
      </c>
      <c r="C204" s="541">
        <v>1</v>
      </c>
      <c r="D204" s="542" t="s">
        <v>298</v>
      </c>
      <c r="E204" s="543" t="s">
        <v>132</v>
      </c>
      <c r="F204" s="543" t="s">
        <v>136</v>
      </c>
      <c r="G204" s="544">
        <v>2</v>
      </c>
      <c r="H204" s="543" t="s">
        <v>691</v>
      </c>
      <c r="I204" s="543" t="s">
        <v>321</v>
      </c>
      <c r="J204" s="543" t="s">
        <v>709</v>
      </c>
      <c r="K204" s="545" t="s">
        <v>664</v>
      </c>
      <c r="L204" s="543" t="s">
        <v>122</v>
      </c>
      <c r="M204" s="545" t="s">
        <v>264</v>
      </c>
      <c r="N204" s="546">
        <v>72</v>
      </c>
      <c r="O204" s="546">
        <v>96</v>
      </c>
      <c r="P204" s="197" t="s">
        <v>287</v>
      </c>
      <c r="Q204" s="178" t="s">
        <v>284</v>
      </c>
      <c r="R204" s="176" t="s">
        <v>190</v>
      </c>
      <c r="S204" s="179" t="s">
        <v>289</v>
      </c>
      <c r="T204" s="411">
        <v>382.70000000000005</v>
      </c>
      <c r="U204" s="560">
        <f t="shared" si="7"/>
        <v>96.440399999999997</v>
      </c>
      <c r="V204" s="567"/>
      <c r="W204" s="567"/>
      <c r="X204" s="567"/>
      <c r="Y204" s="522"/>
      <c r="Z204" s="573">
        <f>AVERAGE(Z205:Z208)</f>
        <v>0.49950137578629744</v>
      </c>
      <c r="AA204" s="412">
        <v>577.1</v>
      </c>
      <c r="AB204" s="560">
        <f t="shared" si="6"/>
        <v>145.42919999999998</v>
      </c>
      <c r="AC204" s="567"/>
      <c r="AD204" s="567"/>
      <c r="AE204" s="567"/>
      <c r="AF204" s="522"/>
      <c r="AG204" s="573">
        <f>AVERAGE(AG205:AG208)</f>
        <v>0.48584919668577209</v>
      </c>
    </row>
    <row r="205" spans="2:33" x14ac:dyDescent="0.25">
      <c r="B205" s="231">
        <v>3</v>
      </c>
      <c r="C205" s="503">
        <v>1</v>
      </c>
      <c r="D205" s="504" t="s">
        <v>298</v>
      </c>
      <c r="E205" s="505" t="s">
        <v>132</v>
      </c>
      <c r="F205" s="505" t="s">
        <v>136</v>
      </c>
      <c r="G205" s="506">
        <v>2</v>
      </c>
      <c r="H205" s="505" t="s">
        <v>663</v>
      </c>
      <c r="I205" s="505" t="s">
        <v>674</v>
      </c>
      <c r="J205" s="505" t="s">
        <v>709</v>
      </c>
      <c r="K205" s="507" t="s">
        <v>664</v>
      </c>
      <c r="L205" s="505" t="s">
        <v>122</v>
      </c>
      <c r="M205" s="507" t="s">
        <v>264</v>
      </c>
      <c r="N205" s="508">
        <v>72</v>
      </c>
      <c r="O205" s="508">
        <v>96</v>
      </c>
      <c r="P205" s="197" t="s">
        <v>287</v>
      </c>
      <c r="Q205" s="178" t="s">
        <v>284</v>
      </c>
      <c r="R205" s="176" t="s">
        <v>190</v>
      </c>
      <c r="S205" s="179" t="s">
        <v>289</v>
      </c>
      <c r="T205" s="411">
        <v>225.4</v>
      </c>
      <c r="U205" s="560">
        <f t="shared" si="7"/>
        <v>56.800799999999995</v>
      </c>
      <c r="V205" s="568">
        <v>2981.05</v>
      </c>
      <c r="W205" s="567">
        <v>149.05250000000001</v>
      </c>
      <c r="X205" s="567">
        <v>29.810500000000005</v>
      </c>
      <c r="Y205" s="522">
        <v>119.242</v>
      </c>
      <c r="Z205" s="572">
        <f>(Y205-U205)/Y205</f>
        <v>0.52365106254507643</v>
      </c>
      <c r="AA205" s="412">
        <v>577.1</v>
      </c>
      <c r="AB205" s="560">
        <f t="shared" si="6"/>
        <v>145.42919999999998</v>
      </c>
      <c r="AC205" s="568">
        <v>7071.33</v>
      </c>
      <c r="AD205" s="567">
        <v>353.56650000000002</v>
      </c>
      <c r="AE205" s="567">
        <v>70.713300000000004</v>
      </c>
      <c r="AF205" s="522">
        <v>282.85320000000002</v>
      </c>
      <c r="AG205" s="572">
        <f>(AF205-AB205)/AF205</f>
        <v>0.48584919668577209</v>
      </c>
    </row>
    <row r="206" spans="2:33" x14ac:dyDescent="0.25">
      <c r="B206" s="231">
        <v>4</v>
      </c>
      <c r="C206" s="503">
        <v>1</v>
      </c>
      <c r="D206" s="504" t="s">
        <v>298</v>
      </c>
      <c r="E206" s="505" t="s">
        <v>132</v>
      </c>
      <c r="F206" s="505" t="s">
        <v>136</v>
      </c>
      <c r="G206" s="506">
        <v>2</v>
      </c>
      <c r="H206" s="505" t="s">
        <v>663</v>
      </c>
      <c r="I206" s="505" t="s">
        <v>675</v>
      </c>
      <c r="J206" s="505" t="s">
        <v>709</v>
      </c>
      <c r="K206" s="507" t="s">
        <v>664</v>
      </c>
      <c r="L206" s="505" t="s">
        <v>122</v>
      </c>
      <c r="M206" s="507" t="s">
        <v>264</v>
      </c>
      <c r="N206" s="508">
        <v>72</v>
      </c>
      <c r="O206" s="508">
        <v>96</v>
      </c>
      <c r="P206" s="197" t="s">
        <v>287</v>
      </c>
      <c r="Q206" s="178" t="s">
        <v>284</v>
      </c>
      <c r="R206" s="176" t="s">
        <v>190</v>
      </c>
      <c r="S206" s="179" t="s">
        <v>289</v>
      </c>
      <c r="T206" s="411">
        <v>313</v>
      </c>
      <c r="U206" s="560">
        <f t="shared" si="7"/>
        <v>78.875999999999991</v>
      </c>
      <c r="V206" s="568">
        <v>4206.6000000000004</v>
      </c>
      <c r="W206" s="567">
        <v>210.33</v>
      </c>
      <c r="X206" s="567">
        <v>42.066000000000003</v>
      </c>
      <c r="Y206" s="522">
        <v>168.26400000000001</v>
      </c>
      <c r="Z206" s="572">
        <f>(Y206-U206)/Y206</f>
        <v>0.53123662815575534</v>
      </c>
      <c r="AA206" s="412">
        <v>577.1</v>
      </c>
      <c r="AB206" s="560">
        <f t="shared" si="6"/>
        <v>145.42919999999998</v>
      </c>
      <c r="AC206" s="568">
        <v>7071.33</v>
      </c>
      <c r="AD206" s="567">
        <v>353.56650000000002</v>
      </c>
      <c r="AE206" s="567">
        <v>70.713300000000004</v>
      </c>
      <c r="AF206" s="522">
        <v>282.85320000000002</v>
      </c>
      <c r="AG206" s="572">
        <f>(AF206-AB206)/AF206</f>
        <v>0.48584919668577209</v>
      </c>
    </row>
    <row r="207" spans="2:33" x14ac:dyDescent="0.25">
      <c r="B207" s="231">
        <v>5</v>
      </c>
      <c r="C207" s="503">
        <v>1</v>
      </c>
      <c r="D207" s="504" t="s">
        <v>298</v>
      </c>
      <c r="E207" s="505" t="s">
        <v>132</v>
      </c>
      <c r="F207" s="505" t="s">
        <v>136</v>
      </c>
      <c r="G207" s="506">
        <v>2</v>
      </c>
      <c r="H207" s="505" t="s">
        <v>663</v>
      </c>
      <c r="I207" s="505" t="s">
        <v>676</v>
      </c>
      <c r="J207" s="505" t="s">
        <v>709</v>
      </c>
      <c r="K207" s="507" t="s">
        <v>664</v>
      </c>
      <c r="L207" s="505" t="s">
        <v>122</v>
      </c>
      <c r="M207" s="507" t="s">
        <v>264</v>
      </c>
      <c r="N207" s="508">
        <v>72</v>
      </c>
      <c r="O207" s="508">
        <v>96</v>
      </c>
      <c r="P207" s="197" t="s">
        <v>287</v>
      </c>
      <c r="Q207" s="178" t="s">
        <v>284</v>
      </c>
      <c r="R207" s="176" t="s">
        <v>190</v>
      </c>
      <c r="S207" s="179" t="s">
        <v>289</v>
      </c>
      <c r="T207" s="411">
        <v>335.05</v>
      </c>
      <c r="U207" s="560">
        <f t="shared" si="7"/>
        <v>84.432599999999994</v>
      </c>
      <c r="V207" s="568">
        <v>4359.54</v>
      </c>
      <c r="W207" s="567">
        <v>217.977</v>
      </c>
      <c r="X207" s="567">
        <v>43.595400000000005</v>
      </c>
      <c r="Y207" s="522">
        <v>174.38159999999999</v>
      </c>
      <c r="Z207" s="572">
        <f>(Y207-U207)/Y207</f>
        <v>0.51581703574230309</v>
      </c>
      <c r="AA207" s="412">
        <v>577.1</v>
      </c>
      <c r="AB207" s="560">
        <f t="shared" si="6"/>
        <v>145.42919999999998</v>
      </c>
      <c r="AC207" s="568">
        <v>7071.33</v>
      </c>
      <c r="AD207" s="567">
        <v>353.56650000000002</v>
      </c>
      <c r="AE207" s="567">
        <v>70.713300000000004</v>
      </c>
      <c r="AF207" s="522">
        <v>282.85320000000002</v>
      </c>
      <c r="AG207" s="572">
        <f>(AF207-AB207)/AF207</f>
        <v>0.48584919668577209</v>
      </c>
    </row>
    <row r="208" spans="2:33" x14ac:dyDescent="0.25">
      <c r="B208" s="231">
        <v>6</v>
      </c>
      <c r="C208" s="503">
        <v>1</v>
      </c>
      <c r="D208" s="504" t="s">
        <v>298</v>
      </c>
      <c r="E208" s="505" t="s">
        <v>132</v>
      </c>
      <c r="F208" s="505" t="s">
        <v>136</v>
      </c>
      <c r="G208" s="506">
        <v>2</v>
      </c>
      <c r="H208" s="505" t="s">
        <v>663</v>
      </c>
      <c r="I208" s="505" t="s">
        <v>677</v>
      </c>
      <c r="J208" s="505" t="s">
        <v>709</v>
      </c>
      <c r="K208" s="507" t="s">
        <v>664</v>
      </c>
      <c r="L208" s="505" t="s">
        <v>122</v>
      </c>
      <c r="M208" s="507" t="s">
        <v>264</v>
      </c>
      <c r="N208" s="508">
        <v>72</v>
      </c>
      <c r="O208" s="508">
        <v>96</v>
      </c>
      <c r="P208" s="197" t="s">
        <v>287</v>
      </c>
      <c r="Q208" s="178" t="s">
        <v>284</v>
      </c>
      <c r="R208" s="176" t="s">
        <v>190</v>
      </c>
      <c r="S208" s="179" t="s">
        <v>289</v>
      </c>
      <c r="T208" s="411">
        <v>408.35</v>
      </c>
      <c r="U208" s="560">
        <f t="shared" si="7"/>
        <v>102.90419999999999</v>
      </c>
      <c r="V208" s="568">
        <v>4492.07</v>
      </c>
      <c r="W208" s="567">
        <v>224.6035</v>
      </c>
      <c r="X208" s="567">
        <v>44.920700000000004</v>
      </c>
      <c r="Y208" s="522">
        <v>179.68279999999999</v>
      </c>
      <c r="Z208" s="572">
        <f>(Y208-U208)/Y208</f>
        <v>0.42730077670205496</v>
      </c>
      <c r="AA208" s="412">
        <v>577.1</v>
      </c>
      <c r="AB208" s="560">
        <f t="shared" si="6"/>
        <v>145.42919999999998</v>
      </c>
      <c r="AC208" s="568">
        <v>7071.33</v>
      </c>
      <c r="AD208" s="567">
        <v>353.56650000000002</v>
      </c>
      <c r="AE208" s="567">
        <v>70.713300000000004</v>
      </c>
      <c r="AF208" s="522">
        <v>282.85320000000002</v>
      </c>
      <c r="AG208" s="572">
        <f>(AF208-AB208)/AF208</f>
        <v>0.48584919668577209</v>
      </c>
    </row>
    <row r="209" spans="2:33" x14ac:dyDescent="0.25">
      <c r="B209" s="231">
        <v>7</v>
      </c>
      <c r="C209" s="547">
        <v>1</v>
      </c>
      <c r="D209" s="548" t="s">
        <v>298</v>
      </c>
      <c r="E209" s="549" t="s">
        <v>132</v>
      </c>
      <c r="F209" s="549" t="s">
        <v>136</v>
      </c>
      <c r="G209" s="550">
        <v>2</v>
      </c>
      <c r="H209" s="549" t="s">
        <v>187</v>
      </c>
      <c r="I209" s="549" t="s">
        <v>321</v>
      </c>
      <c r="J209" s="549" t="s">
        <v>709</v>
      </c>
      <c r="K209" s="551" t="s">
        <v>664</v>
      </c>
      <c r="L209" s="549" t="s">
        <v>122</v>
      </c>
      <c r="M209" s="551" t="s">
        <v>264</v>
      </c>
      <c r="N209" s="552">
        <v>98</v>
      </c>
      <c r="O209" s="552">
        <v>96</v>
      </c>
      <c r="P209" s="197" t="s">
        <v>287</v>
      </c>
      <c r="Q209" s="178" t="s">
        <v>284</v>
      </c>
      <c r="R209" s="176" t="s">
        <v>190</v>
      </c>
      <c r="S209" s="179" t="s">
        <v>289</v>
      </c>
      <c r="T209" s="411">
        <v>253.85000000000002</v>
      </c>
      <c r="U209" s="560">
        <f t="shared" si="7"/>
        <v>63.970199999999991</v>
      </c>
      <c r="V209" s="568"/>
      <c r="W209" s="568"/>
      <c r="X209" s="567"/>
      <c r="Y209" s="522"/>
      <c r="Z209" s="522"/>
      <c r="AA209" s="412">
        <v>783.05000000000007</v>
      </c>
      <c r="AB209" s="560">
        <f t="shared" si="6"/>
        <v>197.32859999999997</v>
      </c>
      <c r="AC209" s="568"/>
      <c r="AD209" s="568"/>
      <c r="AE209" s="567"/>
      <c r="AF209" s="522"/>
      <c r="AG209" s="522"/>
    </row>
    <row r="210" spans="2:33" x14ac:dyDescent="0.25">
      <c r="B210" s="231">
        <v>8</v>
      </c>
      <c r="C210" s="541">
        <v>1</v>
      </c>
      <c r="D210" s="542" t="s">
        <v>298</v>
      </c>
      <c r="E210" s="543" t="s">
        <v>132</v>
      </c>
      <c r="F210" s="543" t="s">
        <v>136</v>
      </c>
      <c r="G210" s="544">
        <v>2</v>
      </c>
      <c r="H210" s="543" t="s">
        <v>691</v>
      </c>
      <c r="I210" s="543" t="s">
        <v>321</v>
      </c>
      <c r="J210" s="543" t="s">
        <v>709</v>
      </c>
      <c r="K210" s="545" t="s">
        <v>664</v>
      </c>
      <c r="L210" s="543" t="s">
        <v>122</v>
      </c>
      <c r="M210" s="545" t="s">
        <v>264</v>
      </c>
      <c r="N210" s="546">
        <v>98</v>
      </c>
      <c r="O210" s="546">
        <v>96</v>
      </c>
      <c r="P210" s="197" t="s">
        <v>287</v>
      </c>
      <c r="Q210" s="178" t="s">
        <v>284</v>
      </c>
      <c r="R210" s="176" t="s">
        <v>190</v>
      </c>
      <c r="S210" s="179" t="s">
        <v>289</v>
      </c>
      <c r="T210" s="411">
        <v>513</v>
      </c>
      <c r="U210" s="560">
        <f t="shared" si="7"/>
        <v>129.27599999999998</v>
      </c>
      <c r="V210" s="568"/>
      <c r="W210" s="568"/>
      <c r="X210" s="567"/>
      <c r="Y210" s="522"/>
      <c r="Z210" s="573">
        <f>AVERAGE(Z211:Z214)</f>
        <v>0.4637214602727881</v>
      </c>
      <c r="AA210" s="412">
        <v>783.05000000000007</v>
      </c>
      <c r="AB210" s="560">
        <f t="shared" si="6"/>
        <v>197.32859999999997</v>
      </c>
      <c r="AC210" s="568"/>
      <c r="AD210" s="568"/>
      <c r="AE210" s="567"/>
      <c r="AF210" s="522"/>
      <c r="AG210" s="573">
        <f>AVERAGE(AG211:AG214)</f>
        <v>0.3364598927460325</v>
      </c>
    </row>
    <row r="211" spans="2:33" x14ac:dyDescent="0.25">
      <c r="B211" s="231">
        <v>9</v>
      </c>
      <c r="C211" s="503">
        <v>1</v>
      </c>
      <c r="D211" s="504" t="s">
        <v>298</v>
      </c>
      <c r="E211" s="505" t="s">
        <v>132</v>
      </c>
      <c r="F211" s="505" t="s">
        <v>136</v>
      </c>
      <c r="G211" s="506">
        <v>2</v>
      </c>
      <c r="H211" s="505" t="s">
        <v>663</v>
      </c>
      <c r="I211" s="505" t="s">
        <v>674</v>
      </c>
      <c r="J211" s="505" t="s">
        <v>709</v>
      </c>
      <c r="K211" s="507" t="s">
        <v>664</v>
      </c>
      <c r="L211" s="505" t="s">
        <v>122</v>
      </c>
      <c r="M211" s="507" t="s">
        <v>264</v>
      </c>
      <c r="N211" s="508">
        <v>98</v>
      </c>
      <c r="O211" s="508">
        <v>96</v>
      </c>
      <c r="P211" s="197" t="s">
        <v>287</v>
      </c>
      <c r="Q211" s="178" t="s">
        <v>284</v>
      </c>
      <c r="R211" s="176" t="s">
        <v>190</v>
      </c>
      <c r="S211" s="179" t="s">
        <v>289</v>
      </c>
      <c r="T211" s="411">
        <v>301.95</v>
      </c>
      <c r="U211" s="560">
        <f t="shared" si="7"/>
        <v>76.091399999999993</v>
      </c>
      <c r="V211" s="568">
        <v>3725.63</v>
      </c>
      <c r="W211" s="567">
        <v>186.28149999999999</v>
      </c>
      <c r="X211" s="567">
        <v>37.256300000000003</v>
      </c>
      <c r="Y211" s="522">
        <v>149.02519999999998</v>
      </c>
      <c r="Z211" s="572">
        <f>(Y211-U211)/Y211</f>
        <v>0.48940581861322779</v>
      </c>
      <c r="AA211" s="412">
        <v>783.05000000000007</v>
      </c>
      <c r="AB211" s="560">
        <f t="shared" si="6"/>
        <v>197.32859999999997</v>
      </c>
      <c r="AC211" s="568">
        <v>7434.69</v>
      </c>
      <c r="AD211" s="567">
        <v>371.73449999999997</v>
      </c>
      <c r="AE211" s="567">
        <v>74.346899999999991</v>
      </c>
      <c r="AF211" s="522">
        <v>297.38759999999996</v>
      </c>
      <c r="AG211" s="572">
        <f>(AF211-AB211)/AF211</f>
        <v>0.3364598927460325</v>
      </c>
    </row>
    <row r="212" spans="2:33" x14ac:dyDescent="0.25">
      <c r="B212" s="231">
        <v>10</v>
      </c>
      <c r="C212" s="503">
        <v>1</v>
      </c>
      <c r="D212" s="504" t="s">
        <v>298</v>
      </c>
      <c r="E212" s="505" t="s">
        <v>132</v>
      </c>
      <c r="F212" s="505" t="s">
        <v>136</v>
      </c>
      <c r="G212" s="506">
        <v>2</v>
      </c>
      <c r="H212" s="505" t="s">
        <v>663</v>
      </c>
      <c r="I212" s="505" t="s">
        <v>675</v>
      </c>
      <c r="J212" s="505" t="s">
        <v>709</v>
      </c>
      <c r="K212" s="507" t="s">
        <v>664</v>
      </c>
      <c r="L212" s="505" t="s">
        <v>122</v>
      </c>
      <c r="M212" s="507" t="s">
        <v>264</v>
      </c>
      <c r="N212" s="508">
        <v>98</v>
      </c>
      <c r="O212" s="508">
        <v>96</v>
      </c>
      <c r="P212" s="197" t="s">
        <v>287</v>
      </c>
      <c r="Q212" s="178" t="s">
        <v>284</v>
      </c>
      <c r="R212" s="176" t="s">
        <v>190</v>
      </c>
      <c r="S212" s="179" t="s">
        <v>289</v>
      </c>
      <c r="T212" s="411">
        <v>419.5</v>
      </c>
      <c r="U212" s="560">
        <f t="shared" si="7"/>
        <v>105.71399999999998</v>
      </c>
      <c r="V212" s="568">
        <v>5262.84</v>
      </c>
      <c r="W212" s="567">
        <v>263.142</v>
      </c>
      <c r="X212" s="567">
        <v>52.628399999999999</v>
      </c>
      <c r="Y212" s="522">
        <v>210.5136</v>
      </c>
      <c r="Z212" s="572">
        <f>(Y212-U212)/Y212</f>
        <v>0.49782816882139685</v>
      </c>
      <c r="AA212" s="412">
        <v>783.05000000000007</v>
      </c>
      <c r="AB212" s="560">
        <f t="shared" si="6"/>
        <v>197.32859999999997</v>
      </c>
      <c r="AC212" s="568">
        <v>7434.69</v>
      </c>
      <c r="AD212" s="567">
        <v>371.73449999999997</v>
      </c>
      <c r="AE212" s="567">
        <v>74.346899999999991</v>
      </c>
      <c r="AF212" s="522">
        <v>297.38759999999996</v>
      </c>
      <c r="AG212" s="572">
        <f>(AF212-AB212)/AF212</f>
        <v>0.3364598927460325</v>
      </c>
    </row>
    <row r="213" spans="2:33" x14ac:dyDescent="0.25">
      <c r="B213" s="231">
        <v>11</v>
      </c>
      <c r="C213" s="503">
        <v>1</v>
      </c>
      <c r="D213" s="504" t="s">
        <v>298</v>
      </c>
      <c r="E213" s="505" t="s">
        <v>132</v>
      </c>
      <c r="F213" s="505" t="s">
        <v>136</v>
      </c>
      <c r="G213" s="506">
        <v>2</v>
      </c>
      <c r="H213" s="505" t="s">
        <v>663</v>
      </c>
      <c r="I213" s="505" t="s">
        <v>676</v>
      </c>
      <c r="J213" s="505" t="s">
        <v>709</v>
      </c>
      <c r="K213" s="507" t="s">
        <v>664</v>
      </c>
      <c r="L213" s="505" t="s">
        <v>122</v>
      </c>
      <c r="M213" s="507" t="s">
        <v>264</v>
      </c>
      <c r="N213" s="508">
        <v>98</v>
      </c>
      <c r="O213" s="508">
        <v>96</v>
      </c>
      <c r="P213" s="197" t="s">
        <v>287</v>
      </c>
      <c r="Q213" s="178" t="s">
        <v>284</v>
      </c>
      <c r="R213" s="176" t="s">
        <v>190</v>
      </c>
      <c r="S213" s="179" t="s">
        <v>289</v>
      </c>
      <c r="T213" s="411">
        <v>449.1</v>
      </c>
      <c r="U213" s="560">
        <f t="shared" si="7"/>
        <v>113.17319999999999</v>
      </c>
      <c r="V213" s="568">
        <v>5453.87</v>
      </c>
      <c r="W213" s="567">
        <v>272.69349999999997</v>
      </c>
      <c r="X213" s="567">
        <v>54.538699999999999</v>
      </c>
      <c r="Y213" s="522">
        <v>218.15479999999997</v>
      </c>
      <c r="Z213" s="572">
        <f>(Y213-U213)/Y213</f>
        <v>0.48122525839449781</v>
      </c>
      <c r="AA213" s="412">
        <v>783.05000000000007</v>
      </c>
      <c r="AB213" s="560">
        <f t="shared" si="6"/>
        <v>197.32859999999997</v>
      </c>
      <c r="AC213" s="568">
        <v>7434.69</v>
      </c>
      <c r="AD213" s="567">
        <v>371.73449999999997</v>
      </c>
      <c r="AE213" s="567">
        <v>74.346899999999991</v>
      </c>
      <c r="AF213" s="522">
        <v>297.38759999999996</v>
      </c>
      <c r="AG213" s="572">
        <f>(AF213-AB213)/AF213</f>
        <v>0.3364598927460325</v>
      </c>
    </row>
    <row r="214" spans="2:33" x14ac:dyDescent="0.25">
      <c r="B214" s="231">
        <v>12</v>
      </c>
      <c r="C214" s="503">
        <v>1</v>
      </c>
      <c r="D214" s="504" t="s">
        <v>298</v>
      </c>
      <c r="E214" s="505" t="s">
        <v>132</v>
      </c>
      <c r="F214" s="505" t="s">
        <v>136</v>
      </c>
      <c r="G214" s="506">
        <v>2</v>
      </c>
      <c r="H214" s="505" t="s">
        <v>663</v>
      </c>
      <c r="I214" s="505" t="s">
        <v>677</v>
      </c>
      <c r="J214" s="505" t="s">
        <v>709</v>
      </c>
      <c r="K214" s="507" t="s">
        <v>664</v>
      </c>
      <c r="L214" s="505" t="s">
        <v>122</v>
      </c>
      <c r="M214" s="507" t="s">
        <v>264</v>
      </c>
      <c r="N214" s="508">
        <v>98</v>
      </c>
      <c r="O214" s="508">
        <v>96</v>
      </c>
      <c r="P214" s="197" t="s">
        <v>287</v>
      </c>
      <c r="Q214" s="178" t="s">
        <v>284</v>
      </c>
      <c r="R214" s="176" t="s">
        <v>190</v>
      </c>
      <c r="S214" s="179" t="s">
        <v>289</v>
      </c>
      <c r="T214" s="411">
        <v>547.4</v>
      </c>
      <c r="U214" s="560">
        <f t="shared" si="7"/>
        <v>137.94479999999996</v>
      </c>
      <c r="V214" s="568">
        <v>5620.55</v>
      </c>
      <c r="W214" s="567">
        <v>281.02750000000003</v>
      </c>
      <c r="X214" s="567">
        <v>56.205500000000008</v>
      </c>
      <c r="Y214" s="522">
        <v>224.82200000000003</v>
      </c>
      <c r="Z214" s="572">
        <f>(Y214-U214)/Y214</f>
        <v>0.38642659526202977</v>
      </c>
      <c r="AA214" s="412">
        <v>783.05000000000007</v>
      </c>
      <c r="AB214" s="560">
        <f t="shared" si="6"/>
        <v>197.32859999999997</v>
      </c>
      <c r="AC214" s="568">
        <v>7434.69</v>
      </c>
      <c r="AD214" s="567">
        <v>371.73449999999997</v>
      </c>
      <c r="AE214" s="567">
        <v>74.346899999999991</v>
      </c>
      <c r="AF214" s="522">
        <v>297.38759999999996</v>
      </c>
      <c r="AG214" s="572">
        <f>(AF214-AB214)/AF214</f>
        <v>0.3364598927460325</v>
      </c>
    </row>
    <row r="215" spans="2:33" x14ac:dyDescent="0.25">
      <c r="B215" s="231">
        <v>13</v>
      </c>
      <c r="C215" s="547">
        <v>1</v>
      </c>
      <c r="D215" s="548" t="s">
        <v>298</v>
      </c>
      <c r="E215" s="549" t="s">
        <v>132</v>
      </c>
      <c r="F215" s="549" t="s">
        <v>136</v>
      </c>
      <c r="G215" s="550">
        <v>2</v>
      </c>
      <c r="H215" s="549" t="s">
        <v>187</v>
      </c>
      <c r="I215" s="549" t="s">
        <v>321</v>
      </c>
      <c r="J215" s="549" t="s">
        <v>709</v>
      </c>
      <c r="K215" s="551" t="s">
        <v>664</v>
      </c>
      <c r="L215" s="549" t="s">
        <v>122</v>
      </c>
      <c r="M215" s="551" t="s">
        <v>264</v>
      </c>
      <c r="N215" s="552">
        <v>124</v>
      </c>
      <c r="O215" s="552">
        <v>96</v>
      </c>
      <c r="P215" s="197" t="s">
        <v>287</v>
      </c>
      <c r="Q215" s="178" t="s">
        <v>284</v>
      </c>
      <c r="R215" s="176" t="s">
        <v>190</v>
      </c>
      <c r="S215" s="179" t="s">
        <v>289</v>
      </c>
      <c r="T215" s="411">
        <v>314.65000000000003</v>
      </c>
      <c r="U215" s="560">
        <f t="shared" si="7"/>
        <v>79.291800000000009</v>
      </c>
      <c r="V215" s="568"/>
      <c r="W215" s="568"/>
      <c r="X215" s="567"/>
      <c r="Y215" s="522"/>
      <c r="Z215" s="522"/>
      <c r="AA215" s="412">
        <v>989</v>
      </c>
      <c r="AB215" s="560">
        <f t="shared" si="6"/>
        <v>249.22799999999995</v>
      </c>
      <c r="AC215" s="568"/>
      <c r="AD215" s="568"/>
      <c r="AE215" s="567"/>
      <c r="AF215" s="522"/>
      <c r="AG215" s="522"/>
    </row>
    <row r="216" spans="2:33" x14ac:dyDescent="0.25">
      <c r="B216" s="231">
        <v>14</v>
      </c>
      <c r="C216" s="541">
        <v>1</v>
      </c>
      <c r="D216" s="542" t="s">
        <v>298</v>
      </c>
      <c r="E216" s="543" t="s">
        <v>132</v>
      </c>
      <c r="F216" s="543" t="s">
        <v>136</v>
      </c>
      <c r="G216" s="544">
        <v>2</v>
      </c>
      <c r="H216" s="543" t="s">
        <v>691</v>
      </c>
      <c r="I216" s="543" t="s">
        <v>321</v>
      </c>
      <c r="J216" s="543" t="s">
        <v>709</v>
      </c>
      <c r="K216" s="545" t="s">
        <v>664</v>
      </c>
      <c r="L216" s="543" t="s">
        <v>122</v>
      </c>
      <c r="M216" s="545" t="s">
        <v>264</v>
      </c>
      <c r="N216" s="546">
        <v>124</v>
      </c>
      <c r="O216" s="546">
        <v>96</v>
      </c>
      <c r="P216" s="197" t="s">
        <v>287</v>
      </c>
      <c r="Q216" s="178" t="s">
        <v>284</v>
      </c>
      <c r="R216" s="176" t="s">
        <v>190</v>
      </c>
      <c r="S216" s="179" t="s">
        <v>289</v>
      </c>
      <c r="T216" s="411">
        <v>635.1</v>
      </c>
      <c r="U216" s="560">
        <f t="shared" si="7"/>
        <v>160.04519999999997</v>
      </c>
      <c r="V216" s="568"/>
      <c r="W216" s="568"/>
      <c r="X216" s="567"/>
      <c r="Y216" s="522"/>
      <c r="Z216" s="573">
        <f>AVERAGE(Z217:Z220)</f>
        <v>0.44687900560297045</v>
      </c>
      <c r="AA216" s="412">
        <v>989</v>
      </c>
      <c r="AB216" s="560">
        <f t="shared" si="6"/>
        <v>249.22799999999995</v>
      </c>
      <c r="AC216" s="568"/>
      <c r="AD216" s="568"/>
      <c r="AE216" s="567"/>
      <c r="AF216" s="522"/>
      <c r="AG216" s="573">
        <f>AVERAGE(AG217:AG220)</f>
        <v>0.21025813925780221</v>
      </c>
    </row>
    <row r="217" spans="2:33" x14ac:dyDescent="0.25">
      <c r="B217" s="231">
        <v>15</v>
      </c>
      <c r="C217" s="503">
        <v>1</v>
      </c>
      <c r="D217" s="504" t="s">
        <v>298</v>
      </c>
      <c r="E217" s="505" t="s">
        <v>132</v>
      </c>
      <c r="F217" s="505" t="s">
        <v>136</v>
      </c>
      <c r="G217" s="506">
        <v>2</v>
      </c>
      <c r="H217" s="505" t="s">
        <v>663</v>
      </c>
      <c r="I217" s="505" t="s">
        <v>674</v>
      </c>
      <c r="J217" s="505" t="s">
        <v>709</v>
      </c>
      <c r="K217" s="507" t="s">
        <v>664</v>
      </c>
      <c r="L217" s="505" t="s">
        <v>122</v>
      </c>
      <c r="M217" s="507" t="s">
        <v>264</v>
      </c>
      <c r="N217" s="508">
        <v>124</v>
      </c>
      <c r="O217" s="508">
        <v>96</v>
      </c>
      <c r="P217" s="197" t="s">
        <v>287</v>
      </c>
      <c r="Q217" s="178" t="s">
        <v>284</v>
      </c>
      <c r="R217" s="176" t="s">
        <v>190</v>
      </c>
      <c r="S217" s="179" t="s">
        <v>289</v>
      </c>
      <c r="T217" s="411">
        <v>374.15000000000003</v>
      </c>
      <c r="U217" s="560">
        <f t="shared" si="7"/>
        <v>94.285799999999995</v>
      </c>
      <c r="V217" s="568">
        <v>4470.21</v>
      </c>
      <c r="W217" s="567">
        <v>223.51050000000001</v>
      </c>
      <c r="X217" s="567">
        <v>44.702100000000002</v>
      </c>
      <c r="Y217" s="522">
        <v>178.80840000000001</v>
      </c>
      <c r="Z217" s="572">
        <f>(Y217-U217)/Y217</f>
        <v>0.47269926916185151</v>
      </c>
      <c r="AA217" s="412">
        <v>989</v>
      </c>
      <c r="AB217" s="560">
        <f t="shared" si="6"/>
        <v>249.22799999999995</v>
      </c>
      <c r="AC217" s="568">
        <v>7889.54</v>
      </c>
      <c r="AD217" s="567">
        <v>394.47699999999998</v>
      </c>
      <c r="AE217" s="567">
        <v>78.895399999999995</v>
      </c>
      <c r="AF217" s="522">
        <v>315.58159999999998</v>
      </c>
      <c r="AG217" s="572">
        <f>(AF217-AB217)/AF217</f>
        <v>0.21025813925780221</v>
      </c>
    </row>
    <row r="218" spans="2:33" x14ac:dyDescent="0.25">
      <c r="B218" s="231">
        <v>16</v>
      </c>
      <c r="C218" s="503">
        <v>1</v>
      </c>
      <c r="D218" s="504" t="s">
        <v>298</v>
      </c>
      <c r="E218" s="505" t="s">
        <v>132</v>
      </c>
      <c r="F218" s="505" t="s">
        <v>136</v>
      </c>
      <c r="G218" s="506">
        <v>2</v>
      </c>
      <c r="H218" s="505" t="s">
        <v>663</v>
      </c>
      <c r="I218" s="505" t="s">
        <v>675</v>
      </c>
      <c r="J218" s="505" t="s">
        <v>709</v>
      </c>
      <c r="K218" s="507" t="s">
        <v>664</v>
      </c>
      <c r="L218" s="505" t="s">
        <v>122</v>
      </c>
      <c r="M218" s="507" t="s">
        <v>264</v>
      </c>
      <c r="N218" s="508">
        <v>124</v>
      </c>
      <c r="O218" s="508">
        <v>96</v>
      </c>
      <c r="P218" s="197" t="s">
        <v>287</v>
      </c>
      <c r="Q218" s="178" t="s">
        <v>284</v>
      </c>
      <c r="R218" s="176" t="s">
        <v>190</v>
      </c>
      <c r="S218" s="179" t="s">
        <v>289</v>
      </c>
      <c r="T218" s="411">
        <v>519.5</v>
      </c>
      <c r="U218" s="560">
        <f t="shared" si="7"/>
        <v>130.91399999999999</v>
      </c>
      <c r="V218" s="568">
        <v>6319.08</v>
      </c>
      <c r="W218" s="567">
        <v>315.95400000000001</v>
      </c>
      <c r="X218" s="567">
        <v>63.190800000000003</v>
      </c>
      <c r="Y218" s="522">
        <v>252.76320000000001</v>
      </c>
      <c r="Z218" s="572">
        <f>(Y218-U218)/Y218</f>
        <v>0.48206859226343085</v>
      </c>
      <c r="AA218" s="412">
        <v>989</v>
      </c>
      <c r="AB218" s="560">
        <f t="shared" ref="AB218:AB250" si="8">AA218*0.7*0.6*0.6</f>
        <v>249.22799999999995</v>
      </c>
      <c r="AC218" s="568">
        <v>7889.54</v>
      </c>
      <c r="AD218" s="567">
        <v>394.47699999999998</v>
      </c>
      <c r="AE218" s="567">
        <v>78.895399999999995</v>
      </c>
      <c r="AF218" s="522">
        <v>315.58159999999998</v>
      </c>
      <c r="AG218" s="572">
        <f>(AF218-AB218)/AF218</f>
        <v>0.21025813925780221</v>
      </c>
    </row>
    <row r="219" spans="2:33" x14ac:dyDescent="0.25">
      <c r="B219" s="231">
        <v>17</v>
      </c>
      <c r="C219" s="503">
        <v>1</v>
      </c>
      <c r="D219" s="504" t="s">
        <v>298</v>
      </c>
      <c r="E219" s="505" t="s">
        <v>132</v>
      </c>
      <c r="F219" s="505" t="s">
        <v>136</v>
      </c>
      <c r="G219" s="506">
        <v>2</v>
      </c>
      <c r="H219" s="505" t="s">
        <v>663</v>
      </c>
      <c r="I219" s="505" t="s">
        <v>676</v>
      </c>
      <c r="J219" s="505" t="s">
        <v>709</v>
      </c>
      <c r="K219" s="507" t="s">
        <v>664</v>
      </c>
      <c r="L219" s="505" t="s">
        <v>122</v>
      </c>
      <c r="M219" s="507" t="s">
        <v>264</v>
      </c>
      <c r="N219" s="508">
        <v>124</v>
      </c>
      <c r="O219" s="508">
        <v>96</v>
      </c>
      <c r="P219" s="197" t="s">
        <v>287</v>
      </c>
      <c r="Q219" s="178" t="s">
        <v>284</v>
      </c>
      <c r="R219" s="176" t="s">
        <v>190</v>
      </c>
      <c r="S219" s="179" t="s">
        <v>289</v>
      </c>
      <c r="T219" s="411">
        <v>556.05000000000007</v>
      </c>
      <c r="U219" s="560">
        <f t="shared" si="7"/>
        <v>140.12459999999999</v>
      </c>
      <c r="V219" s="568">
        <v>6549.56</v>
      </c>
      <c r="W219" s="567">
        <v>327.47800000000001</v>
      </c>
      <c r="X219" s="567">
        <v>65.49560000000001</v>
      </c>
      <c r="Y219" s="522">
        <v>261.98239999999998</v>
      </c>
      <c r="Z219" s="572">
        <f>(Y219-U219)/Y219</f>
        <v>0.46513735273819923</v>
      </c>
      <c r="AA219" s="412">
        <v>989</v>
      </c>
      <c r="AB219" s="560">
        <f t="shared" si="8"/>
        <v>249.22799999999995</v>
      </c>
      <c r="AC219" s="568">
        <v>7889.54</v>
      </c>
      <c r="AD219" s="567">
        <v>394.47699999999998</v>
      </c>
      <c r="AE219" s="567">
        <v>78.895399999999995</v>
      </c>
      <c r="AF219" s="522">
        <v>315.58159999999998</v>
      </c>
      <c r="AG219" s="572">
        <f>(AF219-AB219)/AF219</f>
        <v>0.21025813925780221</v>
      </c>
    </row>
    <row r="220" spans="2:33" x14ac:dyDescent="0.25">
      <c r="B220" s="231">
        <v>18</v>
      </c>
      <c r="C220" s="503">
        <v>1</v>
      </c>
      <c r="D220" s="504" t="s">
        <v>298</v>
      </c>
      <c r="E220" s="505" t="s">
        <v>132</v>
      </c>
      <c r="F220" s="505" t="s">
        <v>136</v>
      </c>
      <c r="G220" s="506">
        <v>2</v>
      </c>
      <c r="H220" s="505" t="s">
        <v>663</v>
      </c>
      <c r="I220" s="505" t="s">
        <v>677</v>
      </c>
      <c r="J220" s="505" t="s">
        <v>709</v>
      </c>
      <c r="K220" s="507" t="s">
        <v>664</v>
      </c>
      <c r="L220" s="505" t="s">
        <v>122</v>
      </c>
      <c r="M220" s="507" t="s">
        <v>264</v>
      </c>
      <c r="N220" s="508">
        <v>124</v>
      </c>
      <c r="O220" s="508">
        <v>96</v>
      </c>
      <c r="P220" s="197" t="s">
        <v>287</v>
      </c>
      <c r="Q220" s="178" t="s">
        <v>284</v>
      </c>
      <c r="R220" s="176" t="s">
        <v>190</v>
      </c>
      <c r="S220" s="179" t="s">
        <v>289</v>
      </c>
      <c r="T220" s="411">
        <v>677.6</v>
      </c>
      <c r="U220" s="560">
        <f t="shared" ref="U220:U250" si="9">T220*0.7*0.6*0.6</f>
        <v>170.75519999999997</v>
      </c>
      <c r="V220" s="568">
        <v>6750.4</v>
      </c>
      <c r="W220" s="567">
        <v>337.52</v>
      </c>
      <c r="X220" s="567">
        <v>67.504000000000005</v>
      </c>
      <c r="Y220" s="522">
        <v>270.01599999999996</v>
      </c>
      <c r="Z220" s="572">
        <f>(Y220-U220)/Y220</f>
        <v>0.36761080824840009</v>
      </c>
      <c r="AA220" s="412">
        <v>989</v>
      </c>
      <c r="AB220" s="560">
        <f t="shared" si="8"/>
        <v>249.22799999999995</v>
      </c>
      <c r="AC220" s="568">
        <v>7889.54</v>
      </c>
      <c r="AD220" s="567">
        <v>394.47699999999998</v>
      </c>
      <c r="AE220" s="567">
        <v>78.895399999999995</v>
      </c>
      <c r="AF220" s="522">
        <v>315.58159999999998</v>
      </c>
      <c r="AG220" s="572">
        <f>(AF220-AB220)/AF220</f>
        <v>0.21025813925780221</v>
      </c>
    </row>
    <row r="221" spans="2:33" x14ac:dyDescent="0.25">
      <c r="B221" s="231">
        <v>19</v>
      </c>
      <c r="C221" s="547">
        <v>1</v>
      </c>
      <c r="D221" s="548" t="s">
        <v>298</v>
      </c>
      <c r="E221" s="549" t="s">
        <v>132</v>
      </c>
      <c r="F221" s="549" t="s">
        <v>136</v>
      </c>
      <c r="G221" s="550">
        <v>2</v>
      </c>
      <c r="H221" s="549" t="s">
        <v>187</v>
      </c>
      <c r="I221" s="549" t="s">
        <v>321</v>
      </c>
      <c r="J221" s="549" t="s">
        <v>709</v>
      </c>
      <c r="K221" s="551" t="s">
        <v>664</v>
      </c>
      <c r="L221" s="549" t="s">
        <v>122</v>
      </c>
      <c r="M221" s="551" t="s">
        <v>264</v>
      </c>
      <c r="N221" s="552">
        <v>150</v>
      </c>
      <c r="O221" s="552">
        <v>96</v>
      </c>
      <c r="P221" s="197" t="s">
        <v>287</v>
      </c>
      <c r="Q221" s="178" t="s">
        <v>284</v>
      </c>
      <c r="R221" s="176" t="s">
        <v>190</v>
      </c>
      <c r="S221" s="179" t="s">
        <v>289</v>
      </c>
      <c r="T221" s="411">
        <v>379</v>
      </c>
      <c r="U221" s="560">
        <f t="shared" si="9"/>
        <v>95.507999999999996</v>
      </c>
      <c r="V221" s="568"/>
      <c r="W221" s="568"/>
      <c r="X221" s="567"/>
      <c r="Y221" s="522"/>
      <c r="Z221" s="522"/>
      <c r="AA221" s="412">
        <v>1194.95</v>
      </c>
      <c r="AB221" s="560">
        <f t="shared" si="8"/>
        <v>301.12740000000002</v>
      </c>
      <c r="AC221" s="568"/>
      <c r="AD221" s="568"/>
      <c r="AE221" s="567"/>
      <c r="AF221" s="522"/>
      <c r="AG221" s="522"/>
    </row>
    <row r="222" spans="2:33" x14ac:dyDescent="0.25">
      <c r="B222" s="231">
        <v>20</v>
      </c>
      <c r="C222" s="541">
        <v>1</v>
      </c>
      <c r="D222" s="542" t="s">
        <v>298</v>
      </c>
      <c r="E222" s="543" t="s">
        <v>132</v>
      </c>
      <c r="F222" s="543" t="s">
        <v>136</v>
      </c>
      <c r="G222" s="544">
        <v>2</v>
      </c>
      <c r="H222" s="543" t="s">
        <v>691</v>
      </c>
      <c r="I222" s="543" t="s">
        <v>321</v>
      </c>
      <c r="J222" s="543" t="s">
        <v>709</v>
      </c>
      <c r="K222" s="545" t="s">
        <v>664</v>
      </c>
      <c r="L222" s="543" t="s">
        <v>122</v>
      </c>
      <c r="M222" s="545" t="s">
        <v>264</v>
      </c>
      <c r="N222" s="546">
        <v>150</v>
      </c>
      <c r="O222" s="546">
        <v>96</v>
      </c>
      <c r="P222" s="197" t="s">
        <v>287</v>
      </c>
      <c r="Q222" s="178" t="s">
        <v>284</v>
      </c>
      <c r="R222" s="176" t="s">
        <v>190</v>
      </c>
      <c r="S222" s="179" t="s">
        <v>289</v>
      </c>
      <c r="T222" s="411">
        <v>765.40000000000009</v>
      </c>
      <c r="U222" s="560">
        <f t="shared" si="9"/>
        <v>192.88079999999999</v>
      </c>
      <c r="V222" s="568"/>
      <c r="W222" s="568"/>
      <c r="X222" s="567"/>
      <c r="Y222" s="522"/>
      <c r="Z222" s="573">
        <f>AVERAGE(Z223:Z226)</f>
        <v>0.43457860269870535</v>
      </c>
      <c r="AA222" s="412">
        <v>1194.95</v>
      </c>
      <c r="AB222" s="560">
        <f t="shared" si="8"/>
        <v>301.12740000000002</v>
      </c>
      <c r="AC222" s="568"/>
      <c r="AD222" s="568"/>
      <c r="AE222" s="567"/>
      <c r="AF222" s="522"/>
      <c r="AG222" s="573">
        <f>AVERAGE(AG223:AG226)</f>
        <v>0.11011732025178039</v>
      </c>
    </row>
    <row r="223" spans="2:33" x14ac:dyDescent="0.25">
      <c r="B223" s="231">
        <v>21</v>
      </c>
      <c r="C223" s="503">
        <v>1</v>
      </c>
      <c r="D223" s="504" t="s">
        <v>298</v>
      </c>
      <c r="E223" s="505" t="s">
        <v>132</v>
      </c>
      <c r="F223" s="505" t="s">
        <v>136</v>
      </c>
      <c r="G223" s="506">
        <v>2</v>
      </c>
      <c r="H223" s="505" t="s">
        <v>663</v>
      </c>
      <c r="I223" s="505" t="s">
        <v>674</v>
      </c>
      <c r="J223" s="505" t="s">
        <v>709</v>
      </c>
      <c r="K223" s="507" t="s">
        <v>664</v>
      </c>
      <c r="L223" s="505" t="s">
        <v>122</v>
      </c>
      <c r="M223" s="507" t="s">
        <v>264</v>
      </c>
      <c r="N223" s="508">
        <v>150</v>
      </c>
      <c r="O223" s="508">
        <v>96</v>
      </c>
      <c r="P223" s="197" t="s">
        <v>287</v>
      </c>
      <c r="Q223" s="178" t="s">
        <v>284</v>
      </c>
      <c r="R223" s="176" t="s">
        <v>190</v>
      </c>
      <c r="S223" s="179" t="s">
        <v>289</v>
      </c>
      <c r="T223" s="411">
        <v>450.75</v>
      </c>
      <c r="U223" s="560">
        <f t="shared" si="9"/>
        <v>113.58899999999998</v>
      </c>
      <c r="V223" s="568">
        <v>5279</v>
      </c>
      <c r="W223" s="567">
        <v>263.95</v>
      </c>
      <c r="X223" s="567">
        <v>52.79</v>
      </c>
      <c r="Y223" s="522">
        <v>211.16</v>
      </c>
      <c r="Z223" s="572">
        <f>(Y223-U223)/Y223</f>
        <v>0.46207141504072746</v>
      </c>
      <c r="AA223" s="412">
        <v>1194.95</v>
      </c>
      <c r="AB223" s="560">
        <f t="shared" si="8"/>
        <v>301.12740000000002</v>
      </c>
      <c r="AC223" s="568">
        <v>8459.75</v>
      </c>
      <c r="AD223" s="567">
        <v>422.98750000000001</v>
      </c>
      <c r="AE223" s="567">
        <v>84.597500000000011</v>
      </c>
      <c r="AF223" s="522">
        <v>338.39</v>
      </c>
      <c r="AG223" s="572">
        <f>(AF223-AB223)/AF223</f>
        <v>0.11011732025178039</v>
      </c>
    </row>
    <row r="224" spans="2:33" x14ac:dyDescent="0.25">
      <c r="B224" s="231">
        <v>22</v>
      </c>
      <c r="C224" s="503">
        <v>1</v>
      </c>
      <c r="D224" s="504" t="s">
        <v>298</v>
      </c>
      <c r="E224" s="505" t="s">
        <v>132</v>
      </c>
      <c r="F224" s="505" t="s">
        <v>136</v>
      </c>
      <c r="G224" s="506">
        <v>2</v>
      </c>
      <c r="H224" s="505" t="s">
        <v>663</v>
      </c>
      <c r="I224" s="505" t="s">
        <v>675</v>
      </c>
      <c r="J224" s="505" t="s">
        <v>709</v>
      </c>
      <c r="K224" s="507" t="s">
        <v>664</v>
      </c>
      <c r="L224" s="505" t="s">
        <v>122</v>
      </c>
      <c r="M224" s="507" t="s">
        <v>264</v>
      </c>
      <c r="N224" s="508">
        <v>150</v>
      </c>
      <c r="O224" s="508">
        <v>96</v>
      </c>
      <c r="P224" s="197" t="s">
        <v>287</v>
      </c>
      <c r="Q224" s="178" t="s">
        <v>284</v>
      </c>
      <c r="R224" s="176" t="s">
        <v>190</v>
      </c>
      <c r="S224" s="179" t="s">
        <v>289</v>
      </c>
      <c r="T224" s="411">
        <v>626</v>
      </c>
      <c r="U224" s="560">
        <f t="shared" si="9"/>
        <v>157.75199999999998</v>
      </c>
      <c r="V224" s="568">
        <v>7456.32</v>
      </c>
      <c r="W224" s="567">
        <v>372.81599999999997</v>
      </c>
      <c r="X224" s="567">
        <v>74.563199999999995</v>
      </c>
      <c r="Y224" s="522">
        <v>298.25279999999998</v>
      </c>
      <c r="Z224" s="572">
        <f>(Y224-U224)/Y224</f>
        <v>0.4710795674005408</v>
      </c>
      <c r="AA224" s="412">
        <v>1194.95</v>
      </c>
      <c r="AB224" s="560">
        <f t="shared" si="8"/>
        <v>301.12740000000002</v>
      </c>
      <c r="AC224" s="568">
        <v>8459.75</v>
      </c>
      <c r="AD224" s="567">
        <v>422.98750000000001</v>
      </c>
      <c r="AE224" s="567">
        <v>84.597500000000011</v>
      </c>
      <c r="AF224" s="522">
        <v>338.39</v>
      </c>
      <c r="AG224" s="572">
        <f>(AF224-AB224)/AF224</f>
        <v>0.11011732025178039</v>
      </c>
    </row>
    <row r="225" spans="2:33" x14ac:dyDescent="0.25">
      <c r="B225" s="231">
        <v>23</v>
      </c>
      <c r="C225" s="503">
        <v>1</v>
      </c>
      <c r="D225" s="504" t="s">
        <v>298</v>
      </c>
      <c r="E225" s="505" t="s">
        <v>132</v>
      </c>
      <c r="F225" s="505" t="s">
        <v>136</v>
      </c>
      <c r="G225" s="506">
        <v>2</v>
      </c>
      <c r="H225" s="505" t="s">
        <v>663</v>
      </c>
      <c r="I225" s="505" t="s">
        <v>676</v>
      </c>
      <c r="J225" s="505" t="s">
        <v>709</v>
      </c>
      <c r="K225" s="507" t="s">
        <v>664</v>
      </c>
      <c r="L225" s="505" t="s">
        <v>122</v>
      </c>
      <c r="M225" s="507" t="s">
        <v>264</v>
      </c>
      <c r="N225" s="508">
        <v>150</v>
      </c>
      <c r="O225" s="508">
        <v>96</v>
      </c>
      <c r="P225" s="197" t="s">
        <v>287</v>
      </c>
      <c r="Q225" s="178" t="s">
        <v>284</v>
      </c>
      <c r="R225" s="176" t="s">
        <v>190</v>
      </c>
      <c r="S225" s="179" t="s">
        <v>289</v>
      </c>
      <c r="T225" s="411">
        <v>670.1</v>
      </c>
      <c r="U225" s="560">
        <f t="shared" si="9"/>
        <v>168.86519999999999</v>
      </c>
      <c r="V225" s="568">
        <v>7706.74</v>
      </c>
      <c r="W225" s="567">
        <v>385.33699999999999</v>
      </c>
      <c r="X225" s="567">
        <v>77.067400000000006</v>
      </c>
      <c r="Y225" s="522">
        <v>308.26959999999997</v>
      </c>
      <c r="Z225" s="572">
        <f>(Y225-U225)/Y225</f>
        <v>0.45221585261731939</v>
      </c>
      <c r="AA225" s="412">
        <v>1194.95</v>
      </c>
      <c r="AB225" s="560">
        <f t="shared" si="8"/>
        <v>301.12740000000002</v>
      </c>
      <c r="AC225" s="568">
        <v>8459.75</v>
      </c>
      <c r="AD225" s="567">
        <v>422.98750000000001</v>
      </c>
      <c r="AE225" s="567">
        <v>84.597500000000011</v>
      </c>
      <c r="AF225" s="522">
        <v>338.39</v>
      </c>
      <c r="AG225" s="572">
        <f>(AF225-AB225)/AF225</f>
        <v>0.11011732025178039</v>
      </c>
    </row>
    <row r="226" spans="2:33" x14ac:dyDescent="0.25">
      <c r="B226" s="231">
        <v>24</v>
      </c>
      <c r="C226" s="503">
        <v>1</v>
      </c>
      <c r="D226" s="504" t="s">
        <v>298</v>
      </c>
      <c r="E226" s="505" t="s">
        <v>132</v>
      </c>
      <c r="F226" s="505" t="s">
        <v>136</v>
      </c>
      <c r="G226" s="506">
        <v>2</v>
      </c>
      <c r="H226" s="505" t="s">
        <v>663</v>
      </c>
      <c r="I226" s="505" t="s">
        <v>677</v>
      </c>
      <c r="J226" s="505" t="s">
        <v>709</v>
      </c>
      <c r="K226" s="507" t="s">
        <v>664</v>
      </c>
      <c r="L226" s="505" t="s">
        <v>122</v>
      </c>
      <c r="M226" s="507" t="s">
        <v>264</v>
      </c>
      <c r="N226" s="508">
        <v>150</v>
      </c>
      <c r="O226" s="508">
        <v>96</v>
      </c>
      <c r="P226" s="197" t="s">
        <v>287</v>
      </c>
      <c r="Q226" s="178" t="s">
        <v>284</v>
      </c>
      <c r="R226" s="176" t="s">
        <v>190</v>
      </c>
      <c r="S226" s="179" t="s">
        <v>289</v>
      </c>
      <c r="T226" s="411">
        <v>816.65000000000009</v>
      </c>
      <c r="U226" s="560">
        <f t="shared" si="9"/>
        <v>205.79579999999999</v>
      </c>
      <c r="V226" s="568">
        <v>7951.28</v>
      </c>
      <c r="W226" s="567">
        <v>397.56399999999996</v>
      </c>
      <c r="X226" s="567">
        <v>79.512799999999999</v>
      </c>
      <c r="Y226" s="522">
        <v>318.05119999999999</v>
      </c>
      <c r="Z226" s="572">
        <f>(Y226-U226)/Y226</f>
        <v>0.3529475757362337</v>
      </c>
      <c r="AA226" s="412">
        <v>1194.95</v>
      </c>
      <c r="AB226" s="560">
        <f t="shared" si="8"/>
        <v>301.12740000000002</v>
      </c>
      <c r="AC226" s="568">
        <v>8459.75</v>
      </c>
      <c r="AD226" s="567">
        <v>422.98750000000001</v>
      </c>
      <c r="AE226" s="567">
        <v>84.597500000000011</v>
      </c>
      <c r="AF226" s="522">
        <v>338.39</v>
      </c>
      <c r="AG226" s="572">
        <f>(AF226-AB226)/AF226</f>
        <v>0.11011732025178039</v>
      </c>
    </row>
    <row r="227" spans="2:33" x14ac:dyDescent="0.25">
      <c r="B227" s="231">
        <v>25</v>
      </c>
      <c r="C227" s="553">
        <v>1</v>
      </c>
      <c r="D227" s="554" t="s">
        <v>298</v>
      </c>
      <c r="E227" s="555" t="s">
        <v>132</v>
      </c>
      <c r="F227" s="555" t="s">
        <v>116</v>
      </c>
      <c r="G227" s="556">
        <v>2</v>
      </c>
      <c r="H227" s="555" t="s">
        <v>187</v>
      </c>
      <c r="I227" s="555" t="s">
        <v>323</v>
      </c>
      <c r="J227" s="555" t="s">
        <v>709</v>
      </c>
      <c r="K227" s="557" t="s">
        <v>665</v>
      </c>
      <c r="L227" s="555" t="s">
        <v>122</v>
      </c>
      <c r="M227" s="557" t="s">
        <v>264</v>
      </c>
      <c r="N227" s="558">
        <v>72</v>
      </c>
      <c r="O227" s="558">
        <v>96</v>
      </c>
      <c r="P227" s="197" t="s">
        <v>287</v>
      </c>
      <c r="Q227" s="178" t="s">
        <v>284</v>
      </c>
      <c r="R227" s="176" t="s">
        <v>190</v>
      </c>
      <c r="S227" s="179" t="s">
        <v>289</v>
      </c>
      <c r="T227" s="411">
        <v>122.9</v>
      </c>
      <c r="U227" s="560">
        <f t="shared" si="9"/>
        <v>30.970800000000001</v>
      </c>
      <c r="V227" s="568"/>
      <c r="W227" s="568"/>
      <c r="X227" s="567"/>
      <c r="Y227" s="522"/>
      <c r="Z227" s="634">
        <f>AVERAGE(Z229:Z232,Z235:Z238,Z241:Z244,Z247:Z250)</f>
        <v>0.43465689702216354</v>
      </c>
      <c r="AA227" s="412">
        <v>577.1</v>
      </c>
      <c r="AB227" s="560">
        <f t="shared" si="8"/>
        <v>145.42919999999998</v>
      </c>
      <c r="AC227" s="568"/>
      <c r="AD227" s="568"/>
      <c r="AE227" s="567"/>
      <c r="AF227" s="522"/>
      <c r="AG227" s="634">
        <f>AVERAGE(AG229:AG232,AG235:AG238,AG241:AG244,AG247:AG250)</f>
        <v>0.28567113723534676</v>
      </c>
    </row>
    <row r="228" spans="2:33" x14ac:dyDescent="0.25">
      <c r="B228" s="231">
        <v>26</v>
      </c>
      <c r="C228" s="509">
        <v>1</v>
      </c>
      <c r="D228" s="510" t="s">
        <v>298</v>
      </c>
      <c r="E228" s="511" t="s">
        <v>132</v>
      </c>
      <c r="F228" s="511" t="s">
        <v>116</v>
      </c>
      <c r="G228" s="512">
        <v>2</v>
      </c>
      <c r="H228" s="511" t="s">
        <v>691</v>
      </c>
      <c r="I228" s="511" t="s">
        <v>323</v>
      </c>
      <c r="J228" s="511" t="s">
        <v>709</v>
      </c>
      <c r="K228" s="513" t="s">
        <v>665</v>
      </c>
      <c r="L228" s="511" t="s">
        <v>122</v>
      </c>
      <c r="M228" s="513" t="s">
        <v>264</v>
      </c>
      <c r="N228" s="514">
        <v>72</v>
      </c>
      <c r="O228" s="514">
        <v>96</v>
      </c>
      <c r="P228" s="197" t="s">
        <v>287</v>
      </c>
      <c r="Q228" s="178" t="s">
        <v>284</v>
      </c>
      <c r="R228" s="176" t="s">
        <v>190</v>
      </c>
      <c r="S228" s="179" t="s">
        <v>289</v>
      </c>
      <c r="T228" s="411">
        <v>221.15</v>
      </c>
      <c r="U228" s="560">
        <f t="shared" si="9"/>
        <v>55.729799999999997</v>
      </c>
      <c r="V228" s="568"/>
      <c r="W228" s="568"/>
      <c r="X228" s="567"/>
      <c r="Y228" s="522"/>
      <c r="Z228" s="573">
        <f>AVERAGE(Z229:Z232)</f>
        <v>0.4589927964883061</v>
      </c>
      <c r="AA228" s="412">
        <v>577.1</v>
      </c>
      <c r="AB228" s="560">
        <f t="shared" si="8"/>
        <v>145.42919999999998</v>
      </c>
      <c r="AC228" s="568"/>
      <c r="AD228" s="568"/>
      <c r="AE228" s="567"/>
      <c r="AF228" s="522"/>
      <c r="AG228" s="573">
        <f>AVERAGE(AG229:AG232)</f>
        <v>0.48584919668577209</v>
      </c>
    </row>
    <row r="229" spans="2:33" x14ac:dyDescent="0.25">
      <c r="B229" s="231">
        <v>27</v>
      </c>
      <c r="C229" s="515">
        <v>1</v>
      </c>
      <c r="D229" s="516" t="s">
        <v>298</v>
      </c>
      <c r="E229" s="517" t="s">
        <v>132</v>
      </c>
      <c r="F229" s="517" t="s">
        <v>116</v>
      </c>
      <c r="G229" s="518">
        <v>2</v>
      </c>
      <c r="H229" s="517" t="s">
        <v>663</v>
      </c>
      <c r="I229" s="517" t="s">
        <v>681</v>
      </c>
      <c r="J229" s="517" t="s">
        <v>709</v>
      </c>
      <c r="K229" s="519" t="s">
        <v>665</v>
      </c>
      <c r="L229" s="517" t="s">
        <v>122</v>
      </c>
      <c r="M229" s="519" t="s">
        <v>264</v>
      </c>
      <c r="N229" s="520">
        <v>72</v>
      </c>
      <c r="O229" s="520">
        <v>96</v>
      </c>
      <c r="P229" s="197" t="s">
        <v>287</v>
      </c>
      <c r="Q229" s="178" t="s">
        <v>284</v>
      </c>
      <c r="R229" s="176" t="s">
        <v>190</v>
      </c>
      <c r="S229" s="179" t="s">
        <v>289</v>
      </c>
      <c r="T229" s="411">
        <v>182.4</v>
      </c>
      <c r="U229" s="560">
        <f t="shared" si="9"/>
        <v>45.96479999999999</v>
      </c>
      <c r="V229" s="568">
        <v>2498.04</v>
      </c>
      <c r="W229" s="567">
        <v>124.902</v>
      </c>
      <c r="X229" s="567">
        <v>24.980400000000003</v>
      </c>
      <c r="Y229" s="522">
        <v>99.921599999999998</v>
      </c>
      <c r="Z229" s="572">
        <f>(Y229-U229)/Y229</f>
        <v>0.53999135322092529</v>
      </c>
      <c r="AA229" s="412">
        <v>577.1</v>
      </c>
      <c r="AB229" s="560">
        <f t="shared" si="8"/>
        <v>145.42919999999998</v>
      </c>
      <c r="AC229" s="568">
        <v>7071.33</v>
      </c>
      <c r="AD229" s="567">
        <v>353.56650000000002</v>
      </c>
      <c r="AE229" s="567">
        <v>70.713300000000004</v>
      </c>
      <c r="AF229" s="522">
        <v>282.85320000000002</v>
      </c>
      <c r="AG229" s="572">
        <f>(AF229-AB229)/AF229</f>
        <v>0.48584919668577209</v>
      </c>
    </row>
    <row r="230" spans="2:33" x14ac:dyDescent="0.25">
      <c r="B230" s="231">
        <v>28</v>
      </c>
      <c r="C230" s="515">
        <v>1</v>
      </c>
      <c r="D230" s="516" t="s">
        <v>298</v>
      </c>
      <c r="E230" s="517" t="s">
        <v>132</v>
      </c>
      <c r="F230" s="517" t="s">
        <v>116</v>
      </c>
      <c r="G230" s="518">
        <v>2</v>
      </c>
      <c r="H230" s="517" t="s">
        <v>663</v>
      </c>
      <c r="I230" s="517" t="s">
        <v>685</v>
      </c>
      <c r="J230" s="517" t="s">
        <v>709</v>
      </c>
      <c r="K230" s="519" t="s">
        <v>665</v>
      </c>
      <c r="L230" s="517" t="s">
        <v>122</v>
      </c>
      <c r="M230" s="519" t="s">
        <v>264</v>
      </c>
      <c r="N230" s="520">
        <v>72</v>
      </c>
      <c r="O230" s="520">
        <v>96</v>
      </c>
      <c r="P230" s="197" t="s">
        <v>287</v>
      </c>
      <c r="Q230" s="178" t="s">
        <v>284</v>
      </c>
      <c r="R230" s="176" t="s">
        <v>190</v>
      </c>
      <c r="S230" s="179" t="s">
        <v>289</v>
      </c>
      <c r="T230" s="411">
        <v>217.65</v>
      </c>
      <c r="U230" s="560">
        <f t="shared" si="9"/>
        <v>54.847799999999999</v>
      </c>
      <c r="V230" s="568">
        <v>2762.46</v>
      </c>
      <c r="W230" s="567">
        <v>138.12299999999999</v>
      </c>
      <c r="X230" s="567">
        <v>27.624600000000001</v>
      </c>
      <c r="Y230" s="522">
        <v>110.49839999999999</v>
      </c>
      <c r="Z230" s="572">
        <f>(Y230-U230)/Y230</f>
        <v>0.50363263178471362</v>
      </c>
      <c r="AA230" s="412">
        <v>577.1</v>
      </c>
      <c r="AB230" s="560">
        <f t="shared" si="8"/>
        <v>145.42919999999998</v>
      </c>
      <c r="AC230" s="568">
        <v>7071.33</v>
      </c>
      <c r="AD230" s="567">
        <v>353.56650000000002</v>
      </c>
      <c r="AE230" s="567">
        <v>70.713300000000004</v>
      </c>
      <c r="AF230" s="522">
        <v>282.85320000000002</v>
      </c>
      <c r="AG230" s="572">
        <f>(AF230-AB230)/AF230</f>
        <v>0.48584919668577209</v>
      </c>
    </row>
    <row r="231" spans="2:33" x14ac:dyDescent="0.25">
      <c r="B231" s="231">
        <v>29</v>
      </c>
      <c r="C231" s="515">
        <v>1</v>
      </c>
      <c r="D231" s="516" t="s">
        <v>298</v>
      </c>
      <c r="E231" s="517" t="s">
        <v>132</v>
      </c>
      <c r="F231" s="517" t="s">
        <v>116</v>
      </c>
      <c r="G231" s="518">
        <v>2</v>
      </c>
      <c r="H231" s="517" t="s">
        <v>663</v>
      </c>
      <c r="I231" s="517" t="s">
        <v>687</v>
      </c>
      <c r="J231" s="517" t="s">
        <v>709</v>
      </c>
      <c r="K231" s="519" t="s">
        <v>665</v>
      </c>
      <c r="L231" s="517" t="s">
        <v>122</v>
      </c>
      <c r="M231" s="519" t="s">
        <v>264</v>
      </c>
      <c r="N231" s="520">
        <v>72</v>
      </c>
      <c r="O231" s="520">
        <v>96</v>
      </c>
      <c r="P231" s="197" t="s">
        <v>287</v>
      </c>
      <c r="Q231" s="178" t="s">
        <v>284</v>
      </c>
      <c r="R231" s="176" t="s">
        <v>190</v>
      </c>
      <c r="S231" s="179" t="s">
        <v>289</v>
      </c>
      <c r="T231" s="411">
        <v>259.90000000000003</v>
      </c>
      <c r="U231" s="560">
        <f t="shared" si="9"/>
        <v>65.494799999999998</v>
      </c>
      <c r="V231" s="568">
        <v>2761.1</v>
      </c>
      <c r="W231" s="567">
        <v>138.05500000000001</v>
      </c>
      <c r="X231" s="567">
        <v>27.611000000000004</v>
      </c>
      <c r="Y231" s="522">
        <v>110.444</v>
      </c>
      <c r="Z231" s="572">
        <f>(Y231-U231)/Y231</f>
        <v>0.40698634602151318</v>
      </c>
      <c r="AA231" s="412">
        <v>577.1</v>
      </c>
      <c r="AB231" s="560">
        <f t="shared" si="8"/>
        <v>145.42919999999998</v>
      </c>
      <c r="AC231" s="568">
        <v>7071.33</v>
      </c>
      <c r="AD231" s="567">
        <v>353.56650000000002</v>
      </c>
      <c r="AE231" s="567">
        <v>70.713300000000004</v>
      </c>
      <c r="AF231" s="522">
        <v>282.85320000000002</v>
      </c>
      <c r="AG231" s="572">
        <f>(AF231-AB231)/AF231</f>
        <v>0.48584919668577209</v>
      </c>
    </row>
    <row r="232" spans="2:33" x14ac:dyDescent="0.25">
      <c r="B232" s="231">
        <v>30</v>
      </c>
      <c r="C232" s="515">
        <v>1</v>
      </c>
      <c r="D232" s="516" t="s">
        <v>298</v>
      </c>
      <c r="E232" s="517" t="s">
        <v>132</v>
      </c>
      <c r="F232" s="517" t="s">
        <v>116</v>
      </c>
      <c r="G232" s="518">
        <v>2</v>
      </c>
      <c r="H232" s="517" t="s">
        <v>663</v>
      </c>
      <c r="I232" s="517" t="s">
        <v>689</v>
      </c>
      <c r="J232" s="517" t="s">
        <v>709</v>
      </c>
      <c r="K232" s="519" t="s">
        <v>665</v>
      </c>
      <c r="L232" s="517" t="s">
        <v>122</v>
      </c>
      <c r="M232" s="519" t="s">
        <v>264</v>
      </c>
      <c r="N232" s="520">
        <v>72</v>
      </c>
      <c r="O232" s="520">
        <v>96</v>
      </c>
      <c r="P232" s="197" t="s">
        <v>287</v>
      </c>
      <c r="Q232" s="178" t="s">
        <v>284</v>
      </c>
      <c r="R232" s="176" t="s">
        <v>190</v>
      </c>
      <c r="S232" s="179" t="s">
        <v>289</v>
      </c>
      <c r="T232" s="411">
        <v>299.90000000000003</v>
      </c>
      <c r="U232" s="560">
        <f t="shared" si="9"/>
        <v>75.574799999999996</v>
      </c>
      <c r="V232" s="568">
        <v>3073.95</v>
      </c>
      <c r="W232" s="567">
        <v>153.69749999999999</v>
      </c>
      <c r="X232" s="567">
        <v>30.7395</v>
      </c>
      <c r="Y232" s="522">
        <v>122.958</v>
      </c>
      <c r="Z232" s="572">
        <f>(Y232-U232)/Y232</f>
        <v>0.38536085492607236</v>
      </c>
      <c r="AA232" s="412">
        <v>577.1</v>
      </c>
      <c r="AB232" s="560">
        <f t="shared" si="8"/>
        <v>145.42919999999998</v>
      </c>
      <c r="AC232" s="568">
        <v>7071.33</v>
      </c>
      <c r="AD232" s="567">
        <v>353.56650000000002</v>
      </c>
      <c r="AE232" s="567">
        <v>70.713300000000004</v>
      </c>
      <c r="AF232" s="522">
        <v>282.85320000000002</v>
      </c>
      <c r="AG232" s="572">
        <f>(AF232-AB232)/AF232</f>
        <v>0.48584919668577209</v>
      </c>
    </row>
    <row r="233" spans="2:33" x14ac:dyDescent="0.25">
      <c r="B233" s="231">
        <v>31</v>
      </c>
      <c r="C233" s="553">
        <v>1</v>
      </c>
      <c r="D233" s="554" t="s">
        <v>298</v>
      </c>
      <c r="E233" s="555" t="s">
        <v>132</v>
      </c>
      <c r="F233" s="555" t="s">
        <v>116</v>
      </c>
      <c r="G233" s="556">
        <v>2</v>
      </c>
      <c r="H233" s="555" t="s">
        <v>187</v>
      </c>
      <c r="I233" s="555" t="s">
        <v>323</v>
      </c>
      <c r="J233" s="555" t="s">
        <v>709</v>
      </c>
      <c r="K233" s="557" t="s">
        <v>665</v>
      </c>
      <c r="L233" s="555" t="s">
        <v>122</v>
      </c>
      <c r="M233" s="557" t="s">
        <v>264</v>
      </c>
      <c r="N233" s="558">
        <v>98</v>
      </c>
      <c r="O233" s="558">
        <v>96</v>
      </c>
      <c r="P233" s="197" t="s">
        <v>287</v>
      </c>
      <c r="Q233" s="178" t="s">
        <v>284</v>
      </c>
      <c r="R233" s="176" t="s">
        <v>190</v>
      </c>
      <c r="S233" s="179" t="s">
        <v>289</v>
      </c>
      <c r="T233" s="411">
        <v>161.20000000000002</v>
      </c>
      <c r="U233" s="560">
        <f t="shared" si="9"/>
        <v>40.622399999999992</v>
      </c>
      <c r="V233" s="568"/>
      <c r="W233" s="568"/>
      <c r="X233" s="567"/>
      <c r="Y233" s="522"/>
      <c r="Z233" s="522"/>
      <c r="AA233" s="412">
        <v>783.05000000000007</v>
      </c>
      <c r="AB233" s="560">
        <f t="shared" si="8"/>
        <v>197.32859999999997</v>
      </c>
      <c r="AC233" s="568"/>
      <c r="AD233" s="568"/>
      <c r="AE233" s="567"/>
      <c r="AF233" s="522"/>
      <c r="AG233" s="522"/>
    </row>
    <row r="234" spans="2:33" x14ac:dyDescent="0.25">
      <c r="B234" s="231">
        <v>32</v>
      </c>
      <c r="C234" s="509">
        <v>1</v>
      </c>
      <c r="D234" s="510" t="s">
        <v>298</v>
      </c>
      <c r="E234" s="511" t="s">
        <v>132</v>
      </c>
      <c r="F234" s="511" t="s">
        <v>116</v>
      </c>
      <c r="G234" s="512">
        <v>2</v>
      </c>
      <c r="H234" s="511" t="s">
        <v>691</v>
      </c>
      <c r="I234" s="511" t="s">
        <v>323</v>
      </c>
      <c r="J234" s="511" t="s">
        <v>709</v>
      </c>
      <c r="K234" s="513" t="s">
        <v>665</v>
      </c>
      <c r="L234" s="511" t="s">
        <v>122</v>
      </c>
      <c r="M234" s="513" t="s">
        <v>264</v>
      </c>
      <c r="N234" s="514">
        <v>98</v>
      </c>
      <c r="O234" s="514">
        <v>96</v>
      </c>
      <c r="P234" s="197" t="s">
        <v>287</v>
      </c>
      <c r="Q234" s="178" t="s">
        <v>284</v>
      </c>
      <c r="R234" s="176" t="s">
        <v>190</v>
      </c>
      <c r="S234" s="179" t="s">
        <v>289</v>
      </c>
      <c r="T234" s="411">
        <v>288.95</v>
      </c>
      <c r="U234" s="560">
        <f t="shared" si="9"/>
        <v>72.815399999999983</v>
      </c>
      <c r="V234" s="568"/>
      <c r="W234" s="568"/>
      <c r="X234" s="567"/>
      <c r="Y234" s="522"/>
      <c r="Z234" s="573">
        <f>AVERAGE(Z235:Z238)</f>
        <v>0.4356417698402314</v>
      </c>
      <c r="AA234" s="412">
        <v>783.05000000000007</v>
      </c>
      <c r="AB234" s="560">
        <f t="shared" si="8"/>
        <v>197.32859999999997</v>
      </c>
      <c r="AC234" s="568"/>
      <c r="AD234" s="568"/>
      <c r="AE234" s="567"/>
      <c r="AF234" s="522"/>
      <c r="AG234" s="573">
        <f>AVERAGE(AG235:AG238)</f>
        <v>0.3364598927460325</v>
      </c>
    </row>
    <row r="235" spans="2:33" x14ac:dyDescent="0.25">
      <c r="B235" s="231">
        <v>33</v>
      </c>
      <c r="C235" s="515">
        <v>1</v>
      </c>
      <c r="D235" s="516" t="s">
        <v>298</v>
      </c>
      <c r="E235" s="517" t="s">
        <v>132</v>
      </c>
      <c r="F235" s="517" t="s">
        <v>116</v>
      </c>
      <c r="G235" s="518">
        <v>2</v>
      </c>
      <c r="H235" s="517" t="s">
        <v>663</v>
      </c>
      <c r="I235" s="517" t="s">
        <v>681</v>
      </c>
      <c r="J235" s="517" t="s">
        <v>709</v>
      </c>
      <c r="K235" s="519" t="s">
        <v>665</v>
      </c>
      <c r="L235" s="517" t="s">
        <v>122</v>
      </c>
      <c r="M235" s="519" t="s">
        <v>264</v>
      </c>
      <c r="N235" s="520">
        <v>98</v>
      </c>
      <c r="O235" s="520">
        <v>96</v>
      </c>
      <c r="P235" s="197" t="s">
        <v>287</v>
      </c>
      <c r="Q235" s="178" t="s">
        <v>284</v>
      </c>
      <c r="R235" s="176" t="s">
        <v>190</v>
      </c>
      <c r="S235" s="179" t="s">
        <v>289</v>
      </c>
      <c r="T235" s="411">
        <v>238.55</v>
      </c>
      <c r="U235" s="560">
        <f t="shared" si="9"/>
        <v>60.114599999999989</v>
      </c>
      <c r="V235" s="568">
        <v>3127.68</v>
      </c>
      <c r="W235" s="567">
        <v>156.38399999999999</v>
      </c>
      <c r="X235" s="567">
        <v>31.276799999999998</v>
      </c>
      <c r="Y235" s="522">
        <v>125.10719999999999</v>
      </c>
      <c r="Z235" s="572">
        <f>(Y235-U235)/Y235</f>
        <v>0.51949528084714558</v>
      </c>
      <c r="AA235" s="412">
        <v>783.05000000000007</v>
      </c>
      <c r="AB235" s="560">
        <f t="shared" si="8"/>
        <v>197.32859999999997</v>
      </c>
      <c r="AC235" s="568">
        <v>7434.69</v>
      </c>
      <c r="AD235" s="567">
        <v>371.73449999999997</v>
      </c>
      <c r="AE235" s="567">
        <v>74.346899999999991</v>
      </c>
      <c r="AF235" s="522">
        <v>297.38759999999996</v>
      </c>
      <c r="AG235" s="572">
        <f>(AF235-AB235)/AF235</f>
        <v>0.3364598927460325</v>
      </c>
    </row>
    <row r="236" spans="2:33" x14ac:dyDescent="0.25">
      <c r="B236" s="231">
        <v>34</v>
      </c>
      <c r="C236" s="515">
        <v>1</v>
      </c>
      <c r="D236" s="516" t="s">
        <v>298</v>
      </c>
      <c r="E236" s="517" t="s">
        <v>132</v>
      </c>
      <c r="F236" s="517" t="s">
        <v>116</v>
      </c>
      <c r="G236" s="518">
        <v>2</v>
      </c>
      <c r="H236" s="517" t="s">
        <v>663</v>
      </c>
      <c r="I236" s="517" t="s">
        <v>685</v>
      </c>
      <c r="J236" s="517" t="s">
        <v>709</v>
      </c>
      <c r="K236" s="519" t="s">
        <v>665</v>
      </c>
      <c r="L236" s="517" t="s">
        <v>122</v>
      </c>
      <c r="M236" s="519" t="s">
        <v>264</v>
      </c>
      <c r="N236" s="520">
        <v>98</v>
      </c>
      <c r="O236" s="520">
        <v>96</v>
      </c>
      <c r="P236" s="197" t="s">
        <v>287</v>
      </c>
      <c r="Q236" s="178" t="s">
        <v>284</v>
      </c>
      <c r="R236" s="176" t="s">
        <v>190</v>
      </c>
      <c r="S236" s="179" t="s">
        <v>289</v>
      </c>
      <c r="T236" s="411">
        <v>284.40000000000003</v>
      </c>
      <c r="U236" s="560">
        <f t="shared" si="9"/>
        <v>71.668800000000005</v>
      </c>
      <c r="V236" s="568">
        <v>3459.22</v>
      </c>
      <c r="W236" s="567">
        <v>172.96099999999998</v>
      </c>
      <c r="X236" s="567">
        <v>34.592199999999998</v>
      </c>
      <c r="Y236" s="522">
        <v>138.36879999999999</v>
      </c>
      <c r="Z236" s="572">
        <f>(Y236-U236)/Y236</f>
        <v>0.48204508530824863</v>
      </c>
      <c r="AA236" s="412">
        <v>783.05000000000007</v>
      </c>
      <c r="AB236" s="560">
        <f t="shared" si="8"/>
        <v>197.32859999999997</v>
      </c>
      <c r="AC236" s="568">
        <v>7434.69</v>
      </c>
      <c r="AD236" s="567">
        <v>371.73449999999997</v>
      </c>
      <c r="AE236" s="567">
        <v>74.346899999999991</v>
      </c>
      <c r="AF236" s="522">
        <v>297.38759999999996</v>
      </c>
      <c r="AG236" s="572">
        <f>(AF236-AB236)/AF236</f>
        <v>0.3364598927460325</v>
      </c>
    </row>
    <row r="237" spans="2:33" x14ac:dyDescent="0.25">
      <c r="B237" s="231">
        <v>35</v>
      </c>
      <c r="C237" s="515">
        <v>1</v>
      </c>
      <c r="D237" s="516" t="s">
        <v>298</v>
      </c>
      <c r="E237" s="517" t="s">
        <v>132</v>
      </c>
      <c r="F237" s="517" t="s">
        <v>116</v>
      </c>
      <c r="G237" s="518">
        <v>2</v>
      </c>
      <c r="H237" s="517" t="s">
        <v>663</v>
      </c>
      <c r="I237" s="517" t="s">
        <v>687</v>
      </c>
      <c r="J237" s="517" t="s">
        <v>709</v>
      </c>
      <c r="K237" s="519" t="s">
        <v>665</v>
      </c>
      <c r="L237" s="517" t="s">
        <v>122</v>
      </c>
      <c r="M237" s="519" t="s">
        <v>264</v>
      </c>
      <c r="N237" s="520">
        <v>98</v>
      </c>
      <c r="O237" s="520">
        <v>96</v>
      </c>
      <c r="P237" s="197" t="s">
        <v>287</v>
      </c>
      <c r="Q237" s="178" t="s">
        <v>284</v>
      </c>
      <c r="R237" s="176" t="s">
        <v>190</v>
      </c>
      <c r="S237" s="179" t="s">
        <v>289</v>
      </c>
      <c r="T237" s="411">
        <v>339.3</v>
      </c>
      <c r="U237" s="560">
        <f t="shared" si="9"/>
        <v>85.503599999999992</v>
      </c>
      <c r="V237" s="568">
        <v>3456.49</v>
      </c>
      <c r="W237" s="567">
        <v>172.8245</v>
      </c>
      <c r="X237" s="567">
        <v>34.564900000000002</v>
      </c>
      <c r="Y237" s="522">
        <v>138.25960000000001</v>
      </c>
      <c r="Z237" s="572">
        <f>(Y237-U237)/Y237</f>
        <v>0.3815720572025379</v>
      </c>
      <c r="AA237" s="412">
        <v>783.05000000000007</v>
      </c>
      <c r="AB237" s="560">
        <f t="shared" si="8"/>
        <v>197.32859999999997</v>
      </c>
      <c r="AC237" s="568">
        <v>7434.69</v>
      </c>
      <c r="AD237" s="567">
        <v>371.73449999999997</v>
      </c>
      <c r="AE237" s="567">
        <v>74.346899999999991</v>
      </c>
      <c r="AF237" s="522">
        <v>297.38759999999996</v>
      </c>
      <c r="AG237" s="572">
        <f>(AF237-AB237)/AF237</f>
        <v>0.3364598927460325</v>
      </c>
    </row>
    <row r="238" spans="2:33" x14ac:dyDescent="0.25">
      <c r="B238" s="231">
        <v>36</v>
      </c>
      <c r="C238" s="515">
        <v>1</v>
      </c>
      <c r="D238" s="516" t="s">
        <v>298</v>
      </c>
      <c r="E238" s="517" t="s">
        <v>132</v>
      </c>
      <c r="F238" s="517" t="s">
        <v>116</v>
      </c>
      <c r="G238" s="518">
        <v>2</v>
      </c>
      <c r="H238" s="517" t="s">
        <v>663</v>
      </c>
      <c r="I238" s="517" t="s">
        <v>689</v>
      </c>
      <c r="J238" s="517" t="s">
        <v>709</v>
      </c>
      <c r="K238" s="519" t="s">
        <v>665</v>
      </c>
      <c r="L238" s="517" t="s">
        <v>122</v>
      </c>
      <c r="M238" s="519" t="s">
        <v>264</v>
      </c>
      <c r="N238" s="520">
        <v>98</v>
      </c>
      <c r="O238" s="520">
        <v>96</v>
      </c>
      <c r="P238" s="197" t="s">
        <v>287</v>
      </c>
      <c r="Q238" s="178" t="s">
        <v>284</v>
      </c>
      <c r="R238" s="176" t="s">
        <v>190</v>
      </c>
      <c r="S238" s="179" t="s">
        <v>289</v>
      </c>
      <c r="T238" s="411">
        <v>391.3</v>
      </c>
      <c r="U238" s="560">
        <f t="shared" si="9"/>
        <v>98.607599999999977</v>
      </c>
      <c r="V238" s="568">
        <v>3848.58</v>
      </c>
      <c r="W238" s="567">
        <v>192.429</v>
      </c>
      <c r="X238" s="567">
        <v>38.485800000000005</v>
      </c>
      <c r="Y238" s="522">
        <v>153.94319999999999</v>
      </c>
      <c r="Z238" s="572">
        <f>(Y238-U238)/Y238</f>
        <v>0.35945465600299342</v>
      </c>
      <c r="AA238" s="412">
        <v>783.05000000000007</v>
      </c>
      <c r="AB238" s="560">
        <f t="shared" si="8"/>
        <v>197.32859999999997</v>
      </c>
      <c r="AC238" s="568">
        <v>7434.69</v>
      </c>
      <c r="AD238" s="567">
        <v>371.73449999999997</v>
      </c>
      <c r="AE238" s="567">
        <v>74.346899999999991</v>
      </c>
      <c r="AF238" s="522">
        <v>297.38759999999996</v>
      </c>
      <c r="AG238" s="572">
        <f>(AF238-AB238)/AF238</f>
        <v>0.3364598927460325</v>
      </c>
    </row>
    <row r="239" spans="2:33" x14ac:dyDescent="0.25">
      <c r="B239" s="231">
        <v>37</v>
      </c>
      <c r="C239" s="553">
        <v>1</v>
      </c>
      <c r="D239" s="554" t="s">
        <v>298</v>
      </c>
      <c r="E239" s="555" t="s">
        <v>132</v>
      </c>
      <c r="F239" s="555" t="s">
        <v>116</v>
      </c>
      <c r="G239" s="556">
        <v>2</v>
      </c>
      <c r="H239" s="555" t="s">
        <v>187</v>
      </c>
      <c r="I239" s="555" t="s">
        <v>323</v>
      </c>
      <c r="J239" s="555" t="s">
        <v>709</v>
      </c>
      <c r="K239" s="557" t="s">
        <v>665</v>
      </c>
      <c r="L239" s="555" t="s">
        <v>122</v>
      </c>
      <c r="M239" s="557" t="s">
        <v>264</v>
      </c>
      <c r="N239" s="558">
        <v>124</v>
      </c>
      <c r="O239" s="558">
        <v>96</v>
      </c>
      <c r="P239" s="197" t="s">
        <v>287</v>
      </c>
      <c r="Q239" s="178" t="s">
        <v>284</v>
      </c>
      <c r="R239" s="176" t="s">
        <v>190</v>
      </c>
      <c r="S239" s="179" t="s">
        <v>289</v>
      </c>
      <c r="T239" s="411">
        <v>199.5</v>
      </c>
      <c r="U239" s="560">
        <f t="shared" si="9"/>
        <v>50.273999999999987</v>
      </c>
      <c r="V239" s="568"/>
      <c r="W239" s="568"/>
      <c r="X239" s="567"/>
      <c r="Y239" s="522"/>
      <c r="Z239" s="522"/>
      <c r="AA239" s="412">
        <v>989</v>
      </c>
      <c r="AB239" s="560">
        <f t="shared" si="8"/>
        <v>249.22799999999995</v>
      </c>
      <c r="AC239" s="568"/>
      <c r="AD239" s="568"/>
      <c r="AE239" s="567"/>
      <c r="AF239" s="522"/>
      <c r="AG239" s="522"/>
    </row>
    <row r="240" spans="2:33" x14ac:dyDescent="0.25">
      <c r="B240" s="231">
        <v>38</v>
      </c>
      <c r="C240" s="509">
        <v>1</v>
      </c>
      <c r="D240" s="510" t="s">
        <v>298</v>
      </c>
      <c r="E240" s="511" t="s">
        <v>132</v>
      </c>
      <c r="F240" s="511" t="s">
        <v>116</v>
      </c>
      <c r="G240" s="512">
        <v>2</v>
      </c>
      <c r="H240" s="511" t="s">
        <v>691</v>
      </c>
      <c r="I240" s="511" t="s">
        <v>323</v>
      </c>
      <c r="J240" s="511" t="s">
        <v>709</v>
      </c>
      <c r="K240" s="513" t="s">
        <v>665</v>
      </c>
      <c r="L240" s="511" t="s">
        <v>122</v>
      </c>
      <c r="M240" s="513" t="s">
        <v>264</v>
      </c>
      <c r="N240" s="514">
        <v>124</v>
      </c>
      <c r="O240" s="514">
        <v>96</v>
      </c>
      <c r="P240" s="197" t="s">
        <v>287</v>
      </c>
      <c r="Q240" s="178" t="s">
        <v>284</v>
      </c>
      <c r="R240" s="176" t="s">
        <v>190</v>
      </c>
      <c r="S240" s="179" t="s">
        <v>289</v>
      </c>
      <c r="T240" s="411">
        <v>356.70000000000005</v>
      </c>
      <c r="U240" s="560">
        <f t="shared" si="9"/>
        <v>89.888400000000004</v>
      </c>
      <c r="V240" s="568"/>
      <c r="W240" s="568"/>
      <c r="X240" s="567"/>
      <c r="Y240" s="522"/>
      <c r="Z240" s="573">
        <f>AVERAGE(Z241:Z244)</f>
        <v>0.4200433366337909</v>
      </c>
      <c r="AA240" s="412">
        <v>989</v>
      </c>
      <c r="AB240" s="560">
        <f t="shared" si="8"/>
        <v>249.22799999999995</v>
      </c>
      <c r="AC240" s="568"/>
      <c r="AD240" s="568"/>
      <c r="AE240" s="567"/>
      <c r="AF240" s="522"/>
      <c r="AG240" s="573">
        <f>AVERAGE(AG241:AG244)</f>
        <v>0.21025813925780221</v>
      </c>
    </row>
    <row r="241" spans="2:33" x14ac:dyDescent="0.25">
      <c r="B241" s="231">
        <v>39</v>
      </c>
      <c r="C241" s="515">
        <v>1</v>
      </c>
      <c r="D241" s="516" t="s">
        <v>298</v>
      </c>
      <c r="E241" s="517" t="s">
        <v>132</v>
      </c>
      <c r="F241" s="517" t="s">
        <v>116</v>
      </c>
      <c r="G241" s="518">
        <v>2</v>
      </c>
      <c r="H241" s="517" t="s">
        <v>663</v>
      </c>
      <c r="I241" s="517" t="s">
        <v>681</v>
      </c>
      <c r="J241" s="517" t="s">
        <v>709</v>
      </c>
      <c r="K241" s="519" t="s">
        <v>665</v>
      </c>
      <c r="L241" s="517" t="s">
        <v>122</v>
      </c>
      <c r="M241" s="519" t="s">
        <v>264</v>
      </c>
      <c r="N241" s="520">
        <v>124</v>
      </c>
      <c r="O241" s="520">
        <v>96</v>
      </c>
      <c r="P241" s="197" t="s">
        <v>287</v>
      </c>
      <c r="Q241" s="178" t="s">
        <v>284</v>
      </c>
      <c r="R241" s="176" t="s">
        <v>190</v>
      </c>
      <c r="S241" s="179" t="s">
        <v>289</v>
      </c>
      <c r="T241" s="411">
        <v>294.7</v>
      </c>
      <c r="U241" s="560">
        <f t="shared" si="9"/>
        <v>74.264399999999995</v>
      </c>
      <c r="V241" s="568">
        <v>3757.32</v>
      </c>
      <c r="W241" s="567">
        <v>187.86600000000001</v>
      </c>
      <c r="X241" s="567">
        <v>37.573200000000007</v>
      </c>
      <c r="Y241" s="522">
        <v>150.2928</v>
      </c>
      <c r="Z241" s="572">
        <f>(Y241-U241)/Y241</f>
        <v>0.505868544600939</v>
      </c>
      <c r="AA241" s="412">
        <v>989</v>
      </c>
      <c r="AB241" s="560">
        <f t="shared" si="8"/>
        <v>249.22799999999995</v>
      </c>
      <c r="AC241" s="568">
        <v>7889.54</v>
      </c>
      <c r="AD241" s="567">
        <v>394.47699999999998</v>
      </c>
      <c r="AE241" s="567">
        <v>78.895399999999995</v>
      </c>
      <c r="AF241" s="522">
        <v>315.58159999999998</v>
      </c>
      <c r="AG241" s="572">
        <f>(AF241-AB241)/AF241</f>
        <v>0.21025813925780221</v>
      </c>
    </row>
    <row r="242" spans="2:33" x14ac:dyDescent="0.25">
      <c r="B242" s="231">
        <v>40</v>
      </c>
      <c r="C242" s="515">
        <v>1</v>
      </c>
      <c r="D242" s="516" t="s">
        <v>298</v>
      </c>
      <c r="E242" s="517" t="s">
        <v>132</v>
      </c>
      <c r="F242" s="517" t="s">
        <v>116</v>
      </c>
      <c r="G242" s="518">
        <v>2</v>
      </c>
      <c r="H242" s="517" t="s">
        <v>663</v>
      </c>
      <c r="I242" s="517" t="s">
        <v>685</v>
      </c>
      <c r="J242" s="517" t="s">
        <v>709</v>
      </c>
      <c r="K242" s="519" t="s">
        <v>665</v>
      </c>
      <c r="L242" s="517" t="s">
        <v>122</v>
      </c>
      <c r="M242" s="519" t="s">
        <v>264</v>
      </c>
      <c r="N242" s="520">
        <v>124</v>
      </c>
      <c r="O242" s="520">
        <v>96</v>
      </c>
      <c r="P242" s="197" t="s">
        <v>287</v>
      </c>
      <c r="Q242" s="178" t="s">
        <v>284</v>
      </c>
      <c r="R242" s="176" t="s">
        <v>190</v>
      </c>
      <c r="S242" s="179" t="s">
        <v>289</v>
      </c>
      <c r="T242" s="411">
        <v>351.1</v>
      </c>
      <c r="U242" s="560">
        <f t="shared" si="9"/>
        <v>88.477199999999996</v>
      </c>
      <c r="V242" s="568">
        <v>4154.6099999999997</v>
      </c>
      <c r="W242" s="567">
        <v>207.73049999999998</v>
      </c>
      <c r="X242" s="567">
        <v>41.546099999999996</v>
      </c>
      <c r="Y242" s="522">
        <v>166.18439999999998</v>
      </c>
      <c r="Z242" s="572">
        <f>(Y242-U242)/Y242</f>
        <v>0.4675962364698491</v>
      </c>
      <c r="AA242" s="412">
        <v>989</v>
      </c>
      <c r="AB242" s="560">
        <f t="shared" si="8"/>
        <v>249.22799999999995</v>
      </c>
      <c r="AC242" s="568">
        <v>7889.54</v>
      </c>
      <c r="AD242" s="567">
        <v>394.47699999999998</v>
      </c>
      <c r="AE242" s="567">
        <v>78.895399999999995</v>
      </c>
      <c r="AF242" s="522">
        <v>315.58159999999998</v>
      </c>
      <c r="AG242" s="572">
        <f>(AF242-AB242)/AF242</f>
        <v>0.21025813925780221</v>
      </c>
    </row>
    <row r="243" spans="2:33" x14ac:dyDescent="0.25">
      <c r="B243" s="231">
        <v>41</v>
      </c>
      <c r="C243" s="515">
        <v>1</v>
      </c>
      <c r="D243" s="516" t="s">
        <v>298</v>
      </c>
      <c r="E243" s="517" t="s">
        <v>132</v>
      </c>
      <c r="F243" s="517" t="s">
        <v>116</v>
      </c>
      <c r="G243" s="518">
        <v>2</v>
      </c>
      <c r="H243" s="517" t="s">
        <v>663</v>
      </c>
      <c r="I243" s="517" t="s">
        <v>687</v>
      </c>
      <c r="J243" s="517" t="s">
        <v>709</v>
      </c>
      <c r="K243" s="519" t="s">
        <v>665</v>
      </c>
      <c r="L243" s="517" t="s">
        <v>122</v>
      </c>
      <c r="M243" s="519" t="s">
        <v>264</v>
      </c>
      <c r="N243" s="520">
        <v>124</v>
      </c>
      <c r="O243" s="520">
        <v>96</v>
      </c>
      <c r="P243" s="197" t="s">
        <v>287</v>
      </c>
      <c r="Q243" s="178" t="s">
        <v>284</v>
      </c>
      <c r="R243" s="176" t="s">
        <v>190</v>
      </c>
      <c r="S243" s="179" t="s">
        <v>289</v>
      </c>
      <c r="T243" s="411">
        <v>418.70000000000005</v>
      </c>
      <c r="U243" s="560">
        <f t="shared" si="9"/>
        <v>105.5124</v>
      </c>
      <c r="V243" s="568">
        <v>4151.88</v>
      </c>
      <c r="W243" s="567">
        <v>207.59399999999999</v>
      </c>
      <c r="X243" s="567">
        <v>41.518799999999999</v>
      </c>
      <c r="Y243" s="522">
        <v>166.0752</v>
      </c>
      <c r="Z243" s="572">
        <f>(Y243-U243)/Y243</f>
        <v>0.36467094424694352</v>
      </c>
      <c r="AA243" s="412">
        <v>989</v>
      </c>
      <c r="AB243" s="560">
        <f t="shared" si="8"/>
        <v>249.22799999999995</v>
      </c>
      <c r="AC243" s="568">
        <v>7889.54</v>
      </c>
      <c r="AD243" s="567">
        <v>394.47699999999998</v>
      </c>
      <c r="AE243" s="567">
        <v>78.895399999999995</v>
      </c>
      <c r="AF243" s="522">
        <v>315.58159999999998</v>
      </c>
      <c r="AG243" s="572">
        <f>(AF243-AB243)/AF243</f>
        <v>0.21025813925780221</v>
      </c>
    </row>
    <row r="244" spans="2:33" x14ac:dyDescent="0.25">
      <c r="B244" s="231">
        <v>42</v>
      </c>
      <c r="C244" s="515">
        <v>1</v>
      </c>
      <c r="D244" s="516" t="s">
        <v>298</v>
      </c>
      <c r="E244" s="517" t="s">
        <v>132</v>
      </c>
      <c r="F244" s="517" t="s">
        <v>116</v>
      </c>
      <c r="G244" s="518">
        <v>2</v>
      </c>
      <c r="H244" s="517" t="s">
        <v>663</v>
      </c>
      <c r="I244" s="517" t="s">
        <v>689</v>
      </c>
      <c r="J244" s="517" t="s">
        <v>709</v>
      </c>
      <c r="K244" s="519" t="s">
        <v>665</v>
      </c>
      <c r="L244" s="517" t="s">
        <v>122</v>
      </c>
      <c r="M244" s="519" t="s">
        <v>264</v>
      </c>
      <c r="N244" s="520">
        <v>124</v>
      </c>
      <c r="O244" s="520">
        <v>96</v>
      </c>
      <c r="P244" s="197" t="s">
        <v>287</v>
      </c>
      <c r="Q244" s="178" t="s">
        <v>284</v>
      </c>
      <c r="R244" s="176" t="s">
        <v>190</v>
      </c>
      <c r="S244" s="179" t="s">
        <v>289</v>
      </c>
      <c r="T244" s="411">
        <v>482.70000000000005</v>
      </c>
      <c r="U244" s="560">
        <f t="shared" si="9"/>
        <v>121.64039999999999</v>
      </c>
      <c r="V244" s="568">
        <v>4621.8599999999997</v>
      </c>
      <c r="W244" s="567">
        <v>231.09299999999999</v>
      </c>
      <c r="X244" s="567">
        <v>46.218600000000002</v>
      </c>
      <c r="Y244" s="522">
        <v>184.87439999999998</v>
      </c>
      <c r="Z244" s="572">
        <f>(Y244-U244)/Y244</f>
        <v>0.34203762121743198</v>
      </c>
      <c r="AA244" s="412">
        <v>989</v>
      </c>
      <c r="AB244" s="560">
        <f t="shared" si="8"/>
        <v>249.22799999999995</v>
      </c>
      <c r="AC244" s="568">
        <v>7889.54</v>
      </c>
      <c r="AD244" s="567">
        <v>394.47699999999998</v>
      </c>
      <c r="AE244" s="567">
        <v>78.895399999999995</v>
      </c>
      <c r="AF244" s="522">
        <v>315.58159999999998</v>
      </c>
      <c r="AG244" s="572">
        <f>(AF244-AB244)/AF244</f>
        <v>0.21025813925780221</v>
      </c>
    </row>
    <row r="245" spans="2:33" x14ac:dyDescent="0.25">
      <c r="B245" s="231">
        <v>43</v>
      </c>
      <c r="C245" s="553">
        <v>1</v>
      </c>
      <c r="D245" s="554" t="s">
        <v>298</v>
      </c>
      <c r="E245" s="555" t="s">
        <v>132</v>
      </c>
      <c r="F245" s="555" t="s">
        <v>116</v>
      </c>
      <c r="G245" s="556">
        <v>2</v>
      </c>
      <c r="H245" s="555" t="s">
        <v>187</v>
      </c>
      <c r="I245" s="555" t="s">
        <v>323</v>
      </c>
      <c r="J245" s="555" t="s">
        <v>709</v>
      </c>
      <c r="K245" s="557" t="s">
        <v>665</v>
      </c>
      <c r="L245" s="555" t="s">
        <v>122</v>
      </c>
      <c r="M245" s="557" t="s">
        <v>264</v>
      </c>
      <c r="N245" s="558">
        <v>150</v>
      </c>
      <c r="O245" s="558">
        <v>96</v>
      </c>
      <c r="P245" s="197" t="s">
        <v>287</v>
      </c>
      <c r="Q245" s="178" t="s">
        <v>284</v>
      </c>
      <c r="R245" s="176" t="s">
        <v>190</v>
      </c>
      <c r="S245" s="179" t="s">
        <v>289</v>
      </c>
      <c r="T245" s="411">
        <v>241.8</v>
      </c>
      <c r="U245" s="560">
        <f t="shared" si="9"/>
        <v>60.933599999999998</v>
      </c>
      <c r="V245" s="568"/>
      <c r="W245" s="568"/>
      <c r="X245" s="567"/>
      <c r="Y245" s="522"/>
      <c r="Z245" s="522"/>
      <c r="AA245" s="412">
        <v>1194.95</v>
      </c>
      <c r="AB245" s="560">
        <f t="shared" si="8"/>
        <v>301.12740000000002</v>
      </c>
      <c r="AC245" s="568"/>
      <c r="AD245" s="568"/>
      <c r="AE245" s="567"/>
      <c r="AF245" s="522"/>
      <c r="AG245" s="522"/>
    </row>
    <row r="246" spans="2:33" x14ac:dyDescent="0.25">
      <c r="B246" s="231">
        <v>44</v>
      </c>
      <c r="C246" s="509">
        <v>1</v>
      </c>
      <c r="D246" s="510" t="s">
        <v>298</v>
      </c>
      <c r="E246" s="511" t="s">
        <v>132</v>
      </c>
      <c r="F246" s="511" t="s">
        <v>116</v>
      </c>
      <c r="G246" s="512">
        <v>2</v>
      </c>
      <c r="H246" s="511" t="s">
        <v>691</v>
      </c>
      <c r="I246" s="511" t="s">
        <v>323</v>
      </c>
      <c r="J246" s="511" t="s">
        <v>709</v>
      </c>
      <c r="K246" s="513" t="s">
        <v>665</v>
      </c>
      <c r="L246" s="511" t="s">
        <v>122</v>
      </c>
      <c r="M246" s="513" t="s">
        <v>264</v>
      </c>
      <c r="N246" s="514">
        <v>150</v>
      </c>
      <c r="O246" s="514">
        <v>96</v>
      </c>
      <c r="P246" s="197" t="s">
        <v>287</v>
      </c>
      <c r="Q246" s="178" t="s">
        <v>284</v>
      </c>
      <c r="R246" s="176" t="s">
        <v>190</v>
      </c>
      <c r="S246" s="179" t="s">
        <v>289</v>
      </c>
      <c r="T246" s="411">
        <v>433.40000000000003</v>
      </c>
      <c r="U246" s="560">
        <f t="shared" si="9"/>
        <v>109.21679999999999</v>
      </c>
      <c r="V246" s="568"/>
      <c r="W246" s="568"/>
      <c r="X246" s="567"/>
      <c r="Y246" s="522"/>
      <c r="Z246" s="573">
        <f>AVERAGE(Z247:Z250)</f>
        <v>0.42394968512632569</v>
      </c>
      <c r="AA246" s="412">
        <v>1194.95</v>
      </c>
      <c r="AB246" s="560">
        <f t="shared" si="8"/>
        <v>301.12740000000002</v>
      </c>
      <c r="AC246" s="568"/>
      <c r="AD246" s="568"/>
      <c r="AE246" s="567"/>
      <c r="AF246" s="522"/>
      <c r="AG246" s="573">
        <f>AVERAGE(AG247:AG250)</f>
        <v>0.11011732025178039</v>
      </c>
    </row>
    <row r="247" spans="2:33" x14ac:dyDescent="0.25">
      <c r="B247" s="231">
        <v>45</v>
      </c>
      <c r="C247" s="515">
        <v>1</v>
      </c>
      <c r="D247" s="516" t="s">
        <v>298</v>
      </c>
      <c r="E247" s="517" t="s">
        <v>132</v>
      </c>
      <c r="F247" s="517" t="s">
        <v>116</v>
      </c>
      <c r="G247" s="518">
        <v>2</v>
      </c>
      <c r="H247" s="517" t="s">
        <v>663</v>
      </c>
      <c r="I247" s="517" t="s">
        <v>681</v>
      </c>
      <c r="J247" s="517" t="s">
        <v>709</v>
      </c>
      <c r="K247" s="519" t="s">
        <v>665</v>
      </c>
      <c r="L247" s="517" t="s">
        <v>122</v>
      </c>
      <c r="M247" s="519" t="s">
        <v>264</v>
      </c>
      <c r="N247" s="520">
        <v>150</v>
      </c>
      <c r="O247" s="520">
        <v>96</v>
      </c>
      <c r="P247" s="197" t="s">
        <v>287</v>
      </c>
      <c r="Q247" s="178" t="s">
        <v>284</v>
      </c>
      <c r="R247" s="176" t="s">
        <v>190</v>
      </c>
      <c r="S247" s="179" t="s">
        <v>289</v>
      </c>
      <c r="T247" s="411">
        <v>357.85</v>
      </c>
      <c r="U247" s="560">
        <f t="shared" si="9"/>
        <v>90.17819999999999</v>
      </c>
      <c r="V247" s="568">
        <v>4597.5600000000004</v>
      </c>
      <c r="W247" s="567">
        <v>229.87800000000001</v>
      </c>
      <c r="X247" s="567">
        <v>45.975600000000007</v>
      </c>
      <c r="Y247" s="522">
        <v>183.9024</v>
      </c>
      <c r="Z247" s="572">
        <f>(Y247-U247)/Y247</f>
        <v>0.50964098347819287</v>
      </c>
      <c r="AA247" s="412">
        <v>1194.95</v>
      </c>
      <c r="AB247" s="560">
        <f t="shared" si="8"/>
        <v>301.12740000000002</v>
      </c>
      <c r="AC247" s="568">
        <v>8459.75</v>
      </c>
      <c r="AD247" s="567">
        <v>422.98750000000001</v>
      </c>
      <c r="AE247" s="567">
        <v>84.597500000000011</v>
      </c>
      <c r="AF247" s="522">
        <v>338.39</v>
      </c>
      <c r="AG247" s="572">
        <f>(AF247-AB247)/AF247</f>
        <v>0.11011732025178039</v>
      </c>
    </row>
    <row r="248" spans="2:33" x14ac:dyDescent="0.25">
      <c r="B248" s="231">
        <v>46</v>
      </c>
      <c r="C248" s="515">
        <v>1</v>
      </c>
      <c r="D248" s="516" t="s">
        <v>298</v>
      </c>
      <c r="E248" s="517" t="s">
        <v>132</v>
      </c>
      <c r="F248" s="517" t="s">
        <v>116</v>
      </c>
      <c r="G248" s="518">
        <v>2</v>
      </c>
      <c r="H248" s="517" t="s">
        <v>663</v>
      </c>
      <c r="I248" s="517" t="s">
        <v>685</v>
      </c>
      <c r="J248" s="517" t="s">
        <v>709</v>
      </c>
      <c r="K248" s="519" t="s">
        <v>665</v>
      </c>
      <c r="L248" s="517" t="s">
        <v>122</v>
      </c>
      <c r="M248" s="519" t="s">
        <v>264</v>
      </c>
      <c r="N248" s="520">
        <v>150</v>
      </c>
      <c r="O248" s="520">
        <v>96</v>
      </c>
      <c r="P248" s="197" t="s">
        <v>287</v>
      </c>
      <c r="Q248" s="178" t="s">
        <v>284</v>
      </c>
      <c r="R248" s="176" t="s">
        <v>190</v>
      </c>
      <c r="S248" s="179" t="s">
        <v>289</v>
      </c>
      <c r="T248" s="411">
        <v>426.6</v>
      </c>
      <c r="U248" s="560">
        <f t="shared" si="9"/>
        <v>107.50319999999999</v>
      </c>
      <c r="V248" s="568">
        <v>5083.62</v>
      </c>
      <c r="W248" s="567">
        <v>254.18099999999998</v>
      </c>
      <c r="X248" s="567">
        <v>50.836199999999998</v>
      </c>
      <c r="Y248" s="522">
        <v>203.34479999999999</v>
      </c>
      <c r="Z248" s="572">
        <f>(Y248-U248)/Y248</f>
        <v>0.47132555147709704</v>
      </c>
      <c r="AA248" s="412">
        <v>1194.95</v>
      </c>
      <c r="AB248" s="560">
        <f t="shared" si="8"/>
        <v>301.12740000000002</v>
      </c>
      <c r="AC248" s="568">
        <v>8459.75</v>
      </c>
      <c r="AD248" s="567">
        <v>422.98750000000001</v>
      </c>
      <c r="AE248" s="567">
        <v>84.597500000000011</v>
      </c>
      <c r="AF248" s="522">
        <v>338.39</v>
      </c>
      <c r="AG248" s="572">
        <f>(AF248-AB248)/AF248</f>
        <v>0.11011732025178039</v>
      </c>
    </row>
    <row r="249" spans="2:33" x14ac:dyDescent="0.25">
      <c r="B249" s="231">
        <v>47</v>
      </c>
      <c r="C249" s="515">
        <v>1</v>
      </c>
      <c r="D249" s="516" t="s">
        <v>298</v>
      </c>
      <c r="E249" s="517" t="s">
        <v>132</v>
      </c>
      <c r="F249" s="517" t="s">
        <v>116</v>
      </c>
      <c r="G249" s="518">
        <v>2</v>
      </c>
      <c r="H249" s="517" t="s">
        <v>663</v>
      </c>
      <c r="I249" s="517" t="s">
        <v>687</v>
      </c>
      <c r="J249" s="517" t="s">
        <v>709</v>
      </c>
      <c r="K249" s="519" t="s">
        <v>665</v>
      </c>
      <c r="L249" s="517" t="s">
        <v>122</v>
      </c>
      <c r="M249" s="519" t="s">
        <v>264</v>
      </c>
      <c r="N249" s="520">
        <v>150</v>
      </c>
      <c r="O249" s="520">
        <v>96</v>
      </c>
      <c r="P249" s="197" t="s">
        <v>287</v>
      </c>
      <c r="Q249" s="178" t="s">
        <v>284</v>
      </c>
      <c r="R249" s="176" t="s">
        <v>190</v>
      </c>
      <c r="S249" s="179" t="s">
        <v>289</v>
      </c>
      <c r="T249" s="411">
        <v>508.95000000000005</v>
      </c>
      <c r="U249" s="560">
        <f t="shared" si="9"/>
        <v>128.25539999999998</v>
      </c>
      <c r="V249" s="568">
        <v>5079.53</v>
      </c>
      <c r="W249" s="567">
        <v>253.97649999999999</v>
      </c>
      <c r="X249" s="567">
        <v>50.795299999999997</v>
      </c>
      <c r="Y249" s="522">
        <v>203.18119999999999</v>
      </c>
      <c r="Z249" s="572">
        <f>(Y249-U249)/Y249</f>
        <v>0.36876344858677879</v>
      </c>
      <c r="AA249" s="412">
        <v>1194.95</v>
      </c>
      <c r="AB249" s="560">
        <f t="shared" si="8"/>
        <v>301.12740000000002</v>
      </c>
      <c r="AC249" s="568">
        <v>8459.75</v>
      </c>
      <c r="AD249" s="567">
        <v>422.98750000000001</v>
      </c>
      <c r="AE249" s="567">
        <v>84.597500000000011</v>
      </c>
      <c r="AF249" s="522">
        <v>338.39</v>
      </c>
      <c r="AG249" s="572">
        <f>(AF249-AB249)/AF249</f>
        <v>0.11011732025178039</v>
      </c>
    </row>
    <row r="250" spans="2:33" x14ac:dyDescent="0.25">
      <c r="B250" s="231">
        <v>48</v>
      </c>
      <c r="C250" s="515">
        <v>1</v>
      </c>
      <c r="D250" s="516" t="s">
        <v>298</v>
      </c>
      <c r="E250" s="517" t="s">
        <v>132</v>
      </c>
      <c r="F250" s="517" t="s">
        <v>116</v>
      </c>
      <c r="G250" s="518">
        <v>2</v>
      </c>
      <c r="H250" s="517" t="s">
        <v>663</v>
      </c>
      <c r="I250" s="517" t="s">
        <v>689</v>
      </c>
      <c r="J250" s="517" t="s">
        <v>709</v>
      </c>
      <c r="K250" s="519" t="s">
        <v>665</v>
      </c>
      <c r="L250" s="517" t="s">
        <v>122</v>
      </c>
      <c r="M250" s="519" t="s">
        <v>264</v>
      </c>
      <c r="N250" s="520">
        <v>150</v>
      </c>
      <c r="O250" s="520">
        <v>96</v>
      </c>
      <c r="P250" s="197" t="s">
        <v>287</v>
      </c>
      <c r="Q250" s="178" t="s">
        <v>284</v>
      </c>
      <c r="R250" s="176" t="s">
        <v>190</v>
      </c>
      <c r="S250" s="179" t="s">
        <v>289</v>
      </c>
      <c r="T250" s="411">
        <v>586.95000000000005</v>
      </c>
      <c r="U250" s="560">
        <f t="shared" si="9"/>
        <v>147.91139999999999</v>
      </c>
      <c r="V250" s="568">
        <v>5654.7</v>
      </c>
      <c r="W250" s="567">
        <v>282.73500000000001</v>
      </c>
      <c r="X250" s="567">
        <v>56.547000000000004</v>
      </c>
      <c r="Y250" s="522">
        <v>226.18800000000002</v>
      </c>
      <c r="Z250" s="572">
        <f>(Y250-U250)/Y250</f>
        <v>0.34606875696323425</v>
      </c>
      <c r="AA250" s="412">
        <v>1194.95</v>
      </c>
      <c r="AB250" s="560">
        <f t="shared" si="8"/>
        <v>301.12740000000002</v>
      </c>
      <c r="AC250" s="568">
        <v>8459.75</v>
      </c>
      <c r="AD250" s="567">
        <v>422.98750000000001</v>
      </c>
      <c r="AE250" s="567">
        <v>84.597500000000011</v>
      </c>
      <c r="AF250" s="522">
        <v>338.39</v>
      </c>
      <c r="AG250" s="572">
        <f>(AF250-AB250)/AF250</f>
        <v>0.11011732025178039</v>
      </c>
    </row>
    <row r="252" spans="2:33" x14ac:dyDescent="0.25">
      <c r="B252" s="230">
        <v>1</v>
      </c>
      <c r="C252" s="547">
        <v>1</v>
      </c>
      <c r="D252" s="548" t="s">
        <v>298</v>
      </c>
      <c r="E252" s="549" t="s">
        <v>131</v>
      </c>
      <c r="F252" s="549" t="s">
        <v>136</v>
      </c>
      <c r="G252" s="550">
        <v>2</v>
      </c>
      <c r="H252" s="549" t="s">
        <v>187</v>
      </c>
      <c r="I252" s="549" t="s">
        <v>321</v>
      </c>
      <c r="J252" s="549" t="s">
        <v>709</v>
      </c>
      <c r="K252" s="551" t="s">
        <v>664</v>
      </c>
      <c r="L252" s="549" t="s">
        <v>122</v>
      </c>
      <c r="M252" s="551" t="s">
        <v>264</v>
      </c>
      <c r="N252" s="552">
        <v>72</v>
      </c>
      <c r="O252" s="552">
        <v>96</v>
      </c>
      <c r="P252" s="197" t="s">
        <v>287</v>
      </c>
      <c r="Q252" s="178" t="s">
        <v>284</v>
      </c>
      <c r="R252" s="176" t="s">
        <v>190</v>
      </c>
      <c r="S252" s="179" t="s">
        <v>289</v>
      </c>
      <c r="T252" s="411">
        <v>189.5</v>
      </c>
      <c r="U252" s="560">
        <f t="shared" ref="U252:U299" si="10">T252*0.7*0.6*0.6</f>
        <v>47.753999999999998</v>
      </c>
      <c r="V252" s="567"/>
      <c r="W252" s="567"/>
      <c r="X252" s="567"/>
      <c r="Y252" s="522"/>
      <c r="Z252" s="634">
        <f>AVERAGE(Z254:Z257,Z260:Z263,Z266:Z269,Z272:Z275)</f>
        <v>0.46117011109019035</v>
      </c>
      <c r="AA252" s="412">
        <v>577.1</v>
      </c>
      <c r="AB252" s="560">
        <f t="shared" ref="AB252:AB299" si="11">AA252*0.7*0.6*0.6</f>
        <v>145.42919999999998</v>
      </c>
      <c r="AC252" s="567"/>
      <c r="AD252" s="567"/>
      <c r="AE252" s="567"/>
      <c r="AF252" s="522"/>
      <c r="AG252" s="634">
        <f>AVERAGE(AG254:AG257,AG260:AG263,AG266:AG269,AG272:AG275)</f>
        <v>0.23489928623448647</v>
      </c>
    </row>
    <row r="253" spans="2:33" x14ac:dyDescent="0.25">
      <c r="B253" s="231">
        <v>2</v>
      </c>
      <c r="C253" s="541">
        <v>1</v>
      </c>
      <c r="D253" s="542" t="s">
        <v>298</v>
      </c>
      <c r="E253" s="543" t="s">
        <v>131</v>
      </c>
      <c r="F253" s="543" t="s">
        <v>136</v>
      </c>
      <c r="G253" s="544">
        <v>2</v>
      </c>
      <c r="H253" s="543" t="s">
        <v>691</v>
      </c>
      <c r="I253" s="543" t="s">
        <v>321</v>
      </c>
      <c r="J253" s="543" t="s">
        <v>709</v>
      </c>
      <c r="K253" s="545" t="s">
        <v>664</v>
      </c>
      <c r="L253" s="543" t="s">
        <v>122</v>
      </c>
      <c r="M253" s="545" t="s">
        <v>264</v>
      </c>
      <c r="N253" s="546">
        <v>72</v>
      </c>
      <c r="O253" s="546">
        <v>96</v>
      </c>
      <c r="P253" s="197" t="s">
        <v>287</v>
      </c>
      <c r="Q253" s="178" t="s">
        <v>284</v>
      </c>
      <c r="R253" s="176" t="s">
        <v>190</v>
      </c>
      <c r="S253" s="179" t="s">
        <v>289</v>
      </c>
      <c r="T253" s="411">
        <v>382.70000000000005</v>
      </c>
      <c r="U253" s="560">
        <f t="shared" si="10"/>
        <v>96.440399999999997</v>
      </c>
      <c r="V253" s="567"/>
      <c r="W253" s="567"/>
      <c r="X253" s="567"/>
      <c r="Y253" s="522"/>
      <c r="Z253" s="573">
        <f>AVERAGE(Z254:Z257)</f>
        <v>0.49950137578629744</v>
      </c>
      <c r="AA253" s="412">
        <v>577.1</v>
      </c>
      <c r="AB253" s="560">
        <f t="shared" si="11"/>
        <v>145.42919999999998</v>
      </c>
      <c r="AC253" s="567"/>
      <c r="AD253" s="567"/>
      <c r="AE253" s="567"/>
      <c r="AF253" s="522"/>
      <c r="AG253" s="573">
        <f>AVERAGE(AG254:AG257)</f>
        <v>0.46212635643432531</v>
      </c>
    </row>
    <row r="254" spans="2:33" x14ac:dyDescent="0.25">
      <c r="B254" s="231">
        <v>3</v>
      </c>
      <c r="C254" s="503">
        <v>1</v>
      </c>
      <c r="D254" s="504" t="s">
        <v>298</v>
      </c>
      <c r="E254" s="505" t="s">
        <v>131</v>
      </c>
      <c r="F254" s="505" t="s">
        <v>136</v>
      </c>
      <c r="G254" s="506">
        <v>2</v>
      </c>
      <c r="H254" s="505" t="s">
        <v>663</v>
      </c>
      <c r="I254" s="505" t="s">
        <v>674</v>
      </c>
      <c r="J254" s="505" t="s">
        <v>709</v>
      </c>
      <c r="K254" s="507" t="s">
        <v>664</v>
      </c>
      <c r="L254" s="505" t="s">
        <v>122</v>
      </c>
      <c r="M254" s="507" t="s">
        <v>264</v>
      </c>
      <c r="N254" s="508">
        <v>72</v>
      </c>
      <c r="O254" s="508">
        <v>96</v>
      </c>
      <c r="P254" s="197" t="s">
        <v>287</v>
      </c>
      <c r="Q254" s="178" t="s">
        <v>284</v>
      </c>
      <c r="R254" s="176" t="s">
        <v>190</v>
      </c>
      <c r="S254" s="179" t="s">
        <v>289</v>
      </c>
      <c r="T254" s="411">
        <v>225.4</v>
      </c>
      <c r="U254" s="560">
        <f t="shared" si="10"/>
        <v>56.800799999999995</v>
      </c>
      <c r="V254" s="568">
        <v>2981.05</v>
      </c>
      <c r="W254" s="567">
        <v>149.05250000000001</v>
      </c>
      <c r="X254" s="567">
        <v>29.810500000000005</v>
      </c>
      <c r="Y254" s="522">
        <v>119.242</v>
      </c>
      <c r="Z254" s="572">
        <f>(Y254-U254)/Y254</f>
        <v>0.52365106254507643</v>
      </c>
      <c r="AA254" s="412">
        <v>577.1</v>
      </c>
      <c r="AB254" s="560">
        <f t="shared" si="11"/>
        <v>145.42919999999998</v>
      </c>
      <c r="AC254" s="568">
        <v>6759.45</v>
      </c>
      <c r="AD254" s="567">
        <v>337.97249999999997</v>
      </c>
      <c r="AE254" s="567">
        <v>67.594499999999996</v>
      </c>
      <c r="AF254" s="522">
        <v>270.37799999999999</v>
      </c>
      <c r="AG254" s="572">
        <f>(AF254-AB254)/AF254</f>
        <v>0.46212635643432531</v>
      </c>
    </row>
    <row r="255" spans="2:33" x14ac:dyDescent="0.25">
      <c r="B255" s="231">
        <v>4</v>
      </c>
      <c r="C255" s="503">
        <v>1</v>
      </c>
      <c r="D255" s="504" t="s">
        <v>298</v>
      </c>
      <c r="E255" s="505" t="s">
        <v>131</v>
      </c>
      <c r="F255" s="505" t="s">
        <v>136</v>
      </c>
      <c r="G255" s="506">
        <v>2</v>
      </c>
      <c r="H255" s="505" t="s">
        <v>663</v>
      </c>
      <c r="I255" s="505" t="s">
        <v>675</v>
      </c>
      <c r="J255" s="505" t="s">
        <v>709</v>
      </c>
      <c r="K255" s="507" t="s">
        <v>664</v>
      </c>
      <c r="L255" s="505" t="s">
        <v>122</v>
      </c>
      <c r="M255" s="507" t="s">
        <v>264</v>
      </c>
      <c r="N255" s="508">
        <v>72</v>
      </c>
      <c r="O255" s="508">
        <v>96</v>
      </c>
      <c r="P255" s="197" t="s">
        <v>287</v>
      </c>
      <c r="Q255" s="178" t="s">
        <v>284</v>
      </c>
      <c r="R255" s="176" t="s">
        <v>190</v>
      </c>
      <c r="S255" s="179" t="s">
        <v>289</v>
      </c>
      <c r="T255" s="411">
        <v>313</v>
      </c>
      <c r="U255" s="560">
        <f t="shared" si="10"/>
        <v>78.875999999999991</v>
      </c>
      <c r="V255" s="568">
        <v>4206.6000000000004</v>
      </c>
      <c r="W255" s="567">
        <v>210.33</v>
      </c>
      <c r="X255" s="567">
        <v>42.066000000000003</v>
      </c>
      <c r="Y255" s="522">
        <v>168.26400000000001</v>
      </c>
      <c r="Z255" s="572">
        <f>(Y255-U255)/Y255</f>
        <v>0.53123662815575534</v>
      </c>
      <c r="AA255" s="412">
        <v>577.1</v>
      </c>
      <c r="AB255" s="560">
        <f t="shared" si="11"/>
        <v>145.42919999999998</v>
      </c>
      <c r="AC255" s="568">
        <v>6759.45</v>
      </c>
      <c r="AD255" s="567">
        <v>337.97249999999997</v>
      </c>
      <c r="AE255" s="567">
        <v>67.594499999999996</v>
      </c>
      <c r="AF255" s="522">
        <v>270.37799999999999</v>
      </c>
      <c r="AG255" s="572">
        <f>(AF255-AB255)/AF255</f>
        <v>0.46212635643432531</v>
      </c>
    </row>
    <row r="256" spans="2:33" x14ac:dyDescent="0.25">
      <c r="B256" s="231">
        <v>5</v>
      </c>
      <c r="C256" s="503">
        <v>1</v>
      </c>
      <c r="D256" s="504" t="s">
        <v>298</v>
      </c>
      <c r="E256" s="505" t="s">
        <v>131</v>
      </c>
      <c r="F256" s="505" t="s">
        <v>136</v>
      </c>
      <c r="G256" s="506">
        <v>2</v>
      </c>
      <c r="H256" s="505" t="s">
        <v>663</v>
      </c>
      <c r="I256" s="505" t="s">
        <v>676</v>
      </c>
      <c r="J256" s="505" t="s">
        <v>709</v>
      </c>
      <c r="K256" s="507" t="s">
        <v>664</v>
      </c>
      <c r="L256" s="505" t="s">
        <v>122</v>
      </c>
      <c r="M256" s="507" t="s">
        <v>264</v>
      </c>
      <c r="N256" s="508">
        <v>72</v>
      </c>
      <c r="O256" s="508">
        <v>96</v>
      </c>
      <c r="P256" s="197" t="s">
        <v>287</v>
      </c>
      <c r="Q256" s="178" t="s">
        <v>284</v>
      </c>
      <c r="R256" s="176" t="s">
        <v>190</v>
      </c>
      <c r="S256" s="179" t="s">
        <v>289</v>
      </c>
      <c r="T256" s="411">
        <v>335.05</v>
      </c>
      <c r="U256" s="560">
        <f t="shared" si="10"/>
        <v>84.432599999999994</v>
      </c>
      <c r="V256" s="568">
        <v>4359.54</v>
      </c>
      <c r="W256" s="567">
        <v>217.977</v>
      </c>
      <c r="X256" s="567">
        <v>43.595400000000005</v>
      </c>
      <c r="Y256" s="522">
        <v>174.38159999999999</v>
      </c>
      <c r="Z256" s="572">
        <f>(Y256-U256)/Y256</f>
        <v>0.51581703574230309</v>
      </c>
      <c r="AA256" s="412">
        <v>577.1</v>
      </c>
      <c r="AB256" s="560">
        <f t="shared" si="11"/>
        <v>145.42919999999998</v>
      </c>
      <c r="AC256" s="568">
        <v>6759.45</v>
      </c>
      <c r="AD256" s="567">
        <v>337.97249999999997</v>
      </c>
      <c r="AE256" s="567">
        <v>67.594499999999996</v>
      </c>
      <c r="AF256" s="522">
        <v>270.37799999999999</v>
      </c>
      <c r="AG256" s="572">
        <f>(AF256-AB256)/AF256</f>
        <v>0.46212635643432531</v>
      </c>
    </row>
    <row r="257" spans="2:33" x14ac:dyDescent="0.25">
      <c r="B257" s="231">
        <v>6</v>
      </c>
      <c r="C257" s="503">
        <v>1</v>
      </c>
      <c r="D257" s="504" t="s">
        <v>298</v>
      </c>
      <c r="E257" s="505" t="s">
        <v>131</v>
      </c>
      <c r="F257" s="505" t="s">
        <v>136</v>
      </c>
      <c r="G257" s="506">
        <v>2</v>
      </c>
      <c r="H257" s="505" t="s">
        <v>663</v>
      </c>
      <c r="I257" s="505" t="s">
        <v>677</v>
      </c>
      <c r="J257" s="505" t="s">
        <v>709</v>
      </c>
      <c r="K257" s="507" t="s">
        <v>664</v>
      </c>
      <c r="L257" s="505" t="s">
        <v>122</v>
      </c>
      <c r="M257" s="507" t="s">
        <v>264</v>
      </c>
      <c r="N257" s="508">
        <v>72</v>
      </c>
      <c r="O257" s="508">
        <v>96</v>
      </c>
      <c r="P257" s="197" t="s">
        <v>287</v>
      </c>
      <c r="Q257" s="178" t="s">
        <v>284</v>
      </c>
      <c r="R257" s="176" t="s">
        <v>190</v>
      </c>
      <c r="S257" s="179" t="s">
        <v>289</v>
      </c>
      <c r="T257" s="411">
        <v>408.35</v>
      </c>
      <c r="U257" s="560">
        <f t="shared" si="10"/>
        <v>102.90419999999999</v>
      </c>
      <c r="V257" s="568">
        <v>4492.07</v>
      </c>
      <c r="W257" s="567">
        <v>224.6035</v>
      </c>
      <c r="X257" s="567">
        <v>44.920700000000004</v>
      </c>
      <c r="Y257" s="522">
        <v>179.68279999999999</v>
      </c>
      <c r="Z257" s="572">
        <f>(Y257-U257)/Y257</f>
        <v>0.42730077670205496</v>
      </c>
      <c r="AA257" s="412">
        <v>577.1</v>
      </c>
      <c r="AB257" s="560">
        <f t="shared" si="11"/>
        <v>145.42919999999998</v>
      </c>
      <c r="AC257" s="568">
        <v>6759.45</v>
      </c>
      <c r="AD257" s="567">
        <v>337.97249999999997</v>
      </c>
      <c r="AE257" s="567">
        <v>67.594499999999996</v>
      </c>
      <c r="AF257" s="522">
        <v>270.37799999999999</v>
      </c>
      <c r="AG257" s="572">
        <f>(AF257-AB257)/AF257</f>
        <v>0.46212635643432531</v>
      </c>
    </row>
    <row r="258" spans="2:33" x14ac:dyDescent="0.25">
      <c r="B258" s="231">
        <v>7</v>
      </c>
      <c r="C258" s="547">
        <v>1</v>
      </c>
      <c r="D258" s="548" t="s">
        <v>298</v>
      </c>
      <c r="E258" s="549" t="s">
        <v>131</v>
      </c>
      <c r="F258" s="549" t="s">
        <v>136</v>
      </c>
      <c r="G258" s="550">
        <v>2</v>
      </c>
      <c r="H258" s="549" t="s">
        <v>187</v>
      </c>
      <c r="I258" s="549" t="s">
        <v>321</v>
      </c>
      <c r="J258" s="549" t="s">
        <v>709</v>
      </c>
      <c r="K258" s="551" t="s">
        <v>664</v>
      </c>
      <c r="L258" s="549" t="s">
        <v>122</v>
      </c>
      <c r="M258" s="551" t="s">
        <v>264</v>
      </c>
      <c r="N258" s="552">
        <v>98</v>
      </c>
      <c r="O258" s="552">
        <v>96</v>
      </c>
      <c r="P258" s="197" t="s">
        <v>287</v>
      </c>
      <c r="Q258" s="178" t="s">
        <v>284</v>
      </c>
      <c r="R258" s="176" t="s">
        <v>190</v>
      </c>
      <c r="S258" s="179" t="s">
        <v>289</v>
      </c>
      <c r="T258" s="411">
        <v>253.85000000000002</v>
      </c>
      <c r="U258" s="560">
        <f t="shared" si="10"/>
        <v>63.970199999999991</v>
      </c>
      <c r="V258" s="568"/>
      <c r="W258" s="568"/>
      <c r="X258" s="567"/>
      <c r="Y258" s="522"/>
      <c r="Z258" s="522"/>
      <c r="AA258" s="412">
        <v>783.05000000000007</v>
      </c>
      <c r="AB258" s="560">
        <f t="shared" si="11"/>
        <v>197.32859999999997</v>
      </c>
      <c r="AC258" s="568"/>
      <c r="AD258" s="568"/>
      <c r="AE258" s="567"/>
      <c r="AF258" s="522"/>
      <c r="AG258" s="522"/>
    </row>
    <row r="259" spans="2:33" x14ac:dyDescent="0.25">
      <c r="B259" s="231">
        <v>8</v>
      </c>
      <c r="C259" s="541">
        <v>1</v>
      </c>
      <c r="D259" s="542" t="s">
        <v>298</v>
      </c>
      <c r="E259" s="543" t="s">
        <v>131</v>
      </c>
      <c r="F259" s="543" t="s">
        <v>136</v>
      </c>
      <c r="G259" s="544">
        <v>2</v>
      </c>
      <c r="H259" s="543" t="s">
        <v>691</v>
      </c>
      <c r="I259" s="543" t="s">
        <v>321</v>
      </c>
      <c r="J259" s="543" t="s">
        <v>709</v>
      </c>
      <c r="K259" s="545" t="s">
        <v>664</v>
      </c>
      <c r="L259" s="543" t="s">
        <v>122</v>
      </c>
      <c r="M259" s="545" t="s">
        <v>264</v>
      </c>
      <c r="N259" s="546">
        <v>98</v>
      </c>
      <c r="O259" s="546">
        <v>96</v>
      </c>
      <c r="P259" s="197" t="s">
        <v>287</v>
      </c>
      <c r="Q259" s="178" t="s">
        <v>284</v>
      </c>
      <c r="R259" s="176" t="s">
        <v>190</v>
      </c>
      <c r="S259" s="179" t="s">
        <v>289</v>
      </c>
      <c r="T259" s="411">
        <v>513</v>
      </c>
      <c r="U259" s="560">
        <f t="shared" si="10"/>
        <v>129.27599999999998</v>
      </c>
      <c r="V259" s="568"/>
      <c r="W259" s="568"/>
      <c r="X259" s="567"/>
      <c r="Y259" s="522"/>
      <c r="Z259" s="573">
        <f>AVERAGE(Z260:Z263)</f>
        <v>0.4637214602727881</v>
      </c>
      <c r="AA259" s="412">
        <v>783.05000000000007</v>
      </c>
      <c r="AB259" s="560">
        <f t="shared" si="11"/>
        <v>197.32859999999997</v>
      </c>
      <c r="AC259" s="568"/>
      <c r="AD259" s="568"/>
      <c r="AE259" s="567"/>
      <c r="AF259" s="522"/>
      <c r="AG259" s="573">
        <f>AVERAGE(AG260:AG263)</f>
        <v>0.29475225911042302</v>
      </c>
    </row>
    <row r="260" spans="2:33" x14ac:dyDescent="0.25">
      <c r="B260" s="231">
        <v>9</v>
      </c>
      <c r="C260" s="503">
        <v>1</v>
      </c>
      <c r="D260" s="504" t="s">
        <v>298</v>
      </c>
      <c r="E260" s="505" t="s">
        <v>131</v>
      </c>
      <c r="F260" s="505" t="s">
        <v>136</v>
      </c>
      <c r="G260" s="506">
        <v>2</v>
      </c>
      <c r="H260" s="505" t="s">
        <v>663</v>
      </c>
      <c r="I260" s="505" t="s">
        <v>674</v>
      </c>
      <c r="J260" s="505" t="s">
        <v>709</v>
      </c>
      <c r="K260" s="507" t="s">
        <v>664</v>
      </c>
      <c r="L260" s="505" t="s">
        <v>122</v>
      </c>
      <c r="M260" s="507" t="s">
        <v>264</v>
      </c>
      <c r="N260" s="508">
        <v>98</v>
      </c>
      <c r="O260" s="508">
        <v>96</v>
      </c>
      <c r="P260" s="197" t="s">
        <v>287</v>
      </c>
      <c r="Q260" s="178" t="s">
        <v>284</v>
      </c>
      <c r="R260" s="176" t="s">
        <v>190</v>
      </c>
      <c r="S260" s="179" t="s">
        <v>289</v>
      </c>
      <c r="T260" s="411">
        <v>301.95</v>
      </c>
      <c r="U260" s="560">
        <f t="shared" si="10"/>
        <v>76.091399999999993</v>
      </c>
      <c r="V260" s="568">
        <v>3725.63</v>
      </c>
      <c r="W260" s="567">
        <v>186.28149999999999</v>
      </c>
      <c r="X260" s="567">
        <v>37.256300000000003</v>
      </c>
      <c r="Y260" s="522">
        <v>149.02519999999998</v>
      </c>
      <c r="Z260" s="572">
        <f>(Y260-U260)/Y260</f>
        <v>0.48940581861322779</v>
      </c>
      <c r="AA260" s="412">
        <v>783.05000000000007</v>
      </c>
      <c r="AB260" s="560">
        <f t="shared" si="11"/>
        <v>197.32859999999997</v>
      </c>
      <c r="AC260" s="568">
        <v>6995.0099999999993</v>
      </c>
      <c r="AD260" s="567">
        <v>349.75049999999999</v>
      </c>
      <c r="AE260" s="567">
        <v>69.950100000000006</v>
      </c>
      <c r="AF260" s="522">
        <v>279.80039999999997</v>
      </c>
      <c r="AG260" s="572">
        <f>(AF260-AB260)/AF260</f>
        <v>0.29475225911042302</v>
      </c>
    </row>
    <row r="261" spans="2:33" x14ac:dyDescent="0.25">
      <c r="B261" s="231">
        <v>10</v>
      </c>
      <c r="C261" s="503">
        <v>1</v>
      </c>
      <c r="D261" s="504" t="s">
        <v>298</v>
      </c>
      <c r="E261" s="505" t="s">
        <v>131</v>
      </c>
      <c r="F261" s="505" t="s">
        <v>136</v>
      </c>
      <c r="G261" s="506">
        <v>2</v>
      </c>
      <c r="H261" s="505" t="s">
        <v>663</v>
      </c>
      <c r="I261" s="505" t="s">
        <v>675</v>
      </c>
      <c r="J261" s="505" t="s">
        <v>709</v>
      </c>
      <c r="K261" s="507" t="s">
        <v>664</v>
      </c>
      <c r="L261" s="505" t="s">
        <v>122</v>
      </c>
      <c r="M261" s="507" t="s">
        <v>264</v>
      </c>
      <c r="N261" s="508">
        <v>98</v>
      </c>
      <c r="O261" s="508">
        <v>96</v>
      </c>
      <c r="P261" s="197" t="s">
        <v>287</v>
      </c>
      <c r="Q261" s="178" t="s">
        <v>284</v>
      </c>
      <c r="R261" s="176" t="s">
        <v>190</v>
      </c>
      <c r="S261" s="179" t="s">
        <v>289</v>
      </c>
      <c r="T261" s="411">
        <v>419.5</v>
      </c>
      <c r="U261" s="560">
        <f t="shared" si="10"/>
        <v>105.71399999999998</v>
      </c>
      <c r="V261" s="568">
        <v>5262.84</v>
      </c>
      <c r="W261" s="567">
        <v>263.142</v>
      </c>
      <c r="X261" s="567">
        <v>52.628399999999999</v>
      </c>
      <c r="Y261" s="522">
        <v>210.5136</v>
      </c>
      <c r="Z261" s="572">
        <f>(Y261-U261)/Y261</f>
        <v>0.49782816882139685</v>
      </c>
      <c r="AA261" s="412">
        <v>783.05000000000007</v>
      </c>
      <c r="AB261" s="560">
        <f t="shared" si="11"/>
        <v>197.32859999999997</v>
      </c>
      <c r="AC261" s="568">
        <v>6995.0099999999993</v>
      </c>
      <c r="AD261" s="567">
        <v>349.75049999999999</v>
      </c>
      <c r="AE261" s="567">
        <v>69.950100000000006</v>
      </c>
      <c r="AF261" s="522">
        <v>279.80039999999997</v>
      </c>
      <c r="AG261" s="572">
        <f>(AF261-AB261)/AF261</f>
        <v>0.29475225911042302</v>
      </c>
    </row>
    <row r="262" spans="2:33" x14ac:dyDescent="0.25">
      <c r="B262" s="231">
        <v>11</v>
      </c>
      <c r="C262" s="503">
        <v>1</v>
      </c>
      <c r="D262" s="504" t="s">
        <v>298</v>
      </c>
      <c r="E262" s="505" t="s">
        <v>131</v>
      </c>
      <c r="F262" s="505" t="s">
        <v>136</v>
      </c>
      <c r="G262" s="506">
        <v>2</v>
      </c>
      <c r="H262" s="505" t="s">
        <v>663</v>
      </c>
      <c r="I262" s="505" t="s">
        <v>676</v>
      </c>
      <c r="J262" s="505" t="s">
        <v>709</v>
      </c>
      <c r="K262" s="507" t="s">
        <v>664</v>
      </c>
      <c r="L262" s="505" t="s">
        <v>122</v>
      </c>
      <c r="M262" s="507" t="s">
        <v>264</v>
      </c>
      <c r="N262" s="508">
        <v>98</v>
      </c>
      <c r="O262" s="508">
        <v>96</v>
      </c>
      <c r="P262" s="197" t="s">
        <v>287</v>
      </c>
      <c r="Q262" s="178" t="s">
        <v>284</v>
      </c>
      <c r="R262" s="176" t="s">
        <v>190</v>
      </c>
      <c r="S262" s="179" t="s">
        <v>289</v>
      </c>
      <c r="T262" s="411">
        <v>449.1</v>
      </c>
      <c r="U262" s="560">
        <f t="shared" si="10"/>
        <v>113.17319999999999</v>
      </c>
      <c r="V262" s="568">
        <v>5453.87</v>
      </c>
      <c r="W262" s="567">
        <v>272.69349999999997</v>
      </c>
      <c r="X262" s="567">
        <v>54.538699999999999</v>
      </c>
      <c r="Y262" s="522">
        <v>218.15479999999997</v>
      </c>
      <c r="Z262" s="572">
        <f>(Y262-U262)/Y262</f>
        <v>0.48122525839449781</v>
      </c>
      <c r="AA262" s="412">
        <v>783.05000000000007</v>
      </c>
      <c r="AB262" s="560">
        <f t="shared" si="11"/>
        <v>197.32859999999997</v>
      </c>
      <c r="AC262" s="568">
        <v>6995.0099999999993</v>
      </c>
      <c r="AD262" s="567">
        <v>349.75049999999999</v>
      </c>
      <c r="AE262" s="567">
        <v>69.950100000000006</v>
      </c>
      <c r="AF262" s="522">
        <v>279.80039999999997</v>
      </c>
      <c r="AG262" s="572">
        <f>(AF262-AB262)/AF262</f>
        <v>0.29475225911042302</v>
      </c>
    </row>
    <row r="263" spans="2:33" x14ac:dyDescent="0.25">
      <c r="B263" s="231">
        <v>12</v>
      </c>
      <c r="C263" s="503">
        <v>1</v>
      </c>
      <c r="D263" s="504" t="s">
        <v>298</v>
      </c>
      <c r="E263" s="505" t="s">
        <v>131</v>
      </c>
      <c r="F263" s="505" t="s">
        <v>136</v>
      </c>
      <c r="G263" s="506">
        <v>2</v>
      </c>
      <c r="H263" s="505" t="s">
        <v>663</v>
      </c>
      <c r="I263" s="505" t="s">
        <v>677</v>
      </c>
      <c r="J263" s="505" t="s">
        <v>709</v>
      </c>
      <c r="K263" s="507" t="s">
        <v>664</v>
      </c>
      <c r="L263" s="505" t="s">
        <v>122</v>
      </c>
      <c r="M263" s="507" t="s">
        <v>264</v>
      </c>
      <c r="N263" s="508">
        <v>98</v>
      </c>
      <c r="O263" s="508">
        <v>96</v>
      </c>
      <c r="P263" s="197" t="s">
        <v>287</v>
      </c>
      <c r="Q263" s="178" t="s">
        <v>284</v>
      </c>
      <c r="R263" s="176" t="s">
        <v>190</v>
      </c>
      <c r="S263" s="179" t="s">
        <v>289</v>
      </c>
      <c r="T263" s="411">
        <v>547.4</v>
      </c>
      <c r="U263" s="560">
        <f t="shared" si="10"/>
        <v>137.94479999999996</v>
      </c>
      <c r="V263" s="568">
        <v>5620.55</v>
      </c>
      <c r="W263" s="567">
        <v>281.02750000000003</v>
      </c>
      <c r="X263" s="567">
        <v>56.205500000000008</v>
      </c>
      <c r="Y263" s="522">
        <v>224.82200000000003</v>
      </c>
      <c r="Z263" s="572">
        <f>(Y263-U263)/Y263</f>
        <v>0.38642659526202977</v>
      </c>
      <c r="AA263" s="412">
        <v>783.05000000000007</v>
      </c>
      <c r="AB263" s="560">
        <f t="shared" si="11"/>
        <v>197.32859999999997</v>
      </c>
      <c r="AC263" s="568">
        <v>6995.0099999999993</v>
      </c>
      <c r="AD263" s="567">
        <v>349.75049999999999</v>
      </c>
      <c r="AE263" s="567">
        <v>69.950100000000006</v>
      </c>
      <c r="AF263" s="522">
        <v>279.80039999999997</v>
      </c>
      <c r="AG263" s="572">
        <f>(AF263-AB263)/AF263</f>
        <v>0.29475225911042302</v>
      </c>
    </row>
    <row r="264" spans="2:33" x14ac:dyDescent="0.25">
      <c r="B264" s="231">
        <v>13</v>
      </c>
      <c r="C264" s="547">
        <v>1</v>
      </c>
      <c r="D264" s="548" t="s">
        <v>298</v>
      </c>
      <c r="E264" s="549" t="s">
        <v>131</v>
      </c>
      <c r="F264" s="549" t="s">
        <v>136</v>
      </c>
      <c r="G264" s="550">
        <v>2</v>
      </c>
      <c r="H264" s="549" t="s">
        <v>187</v>
      </c>
      <c r="I264" s="549" t="s">
        <v>321</v>
      </c>
      <c r="J264" s="549" t="s">
        <v>709</v>
      </c>
      <c r="K264" s="551" t="s">
        <v>664</v>
      </c>
      <c r="L264" s="549" t="s">
        <v>122</v>
      </c>
      <c r="M264" s="551" t="s">
        <v>264</v>
      </c>
      <c r="N264" s="552">
        <v>124</v>
      </c>
      <c r="O264" s="552">
        <v>96</v>
      </c>
      <c r="P264" s="197" t="s">
        <v>287</v>
      </c>
      <c r="Q264" s="178" t="s">
        <v>284</v>
      </c>
      <c r="R264" s="176" t="s">
        <v>190</v>
      </c>
      <c r="S264" s="179" t="s">
        <v>289</v>
      </c>
      <c r="T264" s="411">
        <v>314.65000000000003</v>
      </c>
      <c r="U264" s="560">
        <f t="shared" si="10"/>
        <v>79.291800000000009</v>
      </c>
      <c r="V264" s="568"/>
      <c r="W264" s="568"/>
      <c r="X264" s="567"/>
      <c r="Y264" s="522"/>
      <c r="Z264" s="522"/>
      <c r="AA264" s="412">
        <v>989</v>
      </c>
      <c r="AB264" s="560">
        <f t="shared" si="11"/>
        <v>249.22799999999995</v>
      </c>
      <c r="AC264" s="568"/>
      <c r="AD264" s="568"/>
      <c r="AE264" s="567"/>
      <c r="AF264" s="522"/>
      <c r="AG264" s="522"/>
    </row>
    <row r="265" spans="2:33" x14ac:dyDescent="0.25">
      <c r="B265" s="231">
        <v>14</v>
      </c>
      <c r="C265" s="541">
        <v>1</v>
      </c>
      <c r="D265" s="542" t="s">
        <v>298</v>
      </c>
      <c r="E265" s="543" t="s">
        <v>131</v>
      </c>
      <c r="F265" s="543" t="s">
        <v>136</v>
      </c>
      <c r="G265" s="544">
        <v>2</v>
      </c>
      <c r="H265" s="543" t="s">
        <v>691</v>
      </c>
      <c r="I265" s="543" t="s">
        <v>321</v>
      </c>
      <c r="J265" s="543" t="s">
        <v>709</v>
      </c>
      <c r="K265" s="545" t="s">
        <v>664</v>
      </c>
      <c r="L265" s="543" t="s">
        <v>122</v>
      </c>
      <c r="M265" s="545" t="s">
        <v>264</v>
      </c>
      <c r="N265" s="546">
        <v>124</v>
      </c>
      <c r="O265" s="546">
        <v>96</v>
      </c>
      <c r="P265" s="197" t="s">
        <v>287</v>
      </c>
      <c r="Q265" s="178" t="s">
        <v>284</v>
      </c>
      <c r="R265" s="176" t="s">
        <v>190</v>
      </c>
      <c r="S265" s="179" t="s">
        <v>289</v>
      </c>
      <c r="T265" s="411">
        <v>635.1</v>
      </c>
      <c r="U265" s="560">
        <f t="shared" si="10"/>
        <v>160.04519999999997</v>
      </c>
      <c r="V265" s="568"/>
      <c r="W265" s="568"/>
      <c r="X265" s="567"/>
      <c r="Y265" s="522"/>
      <c r="Z265" s="573">
        <f>AVERAGE(Z266:Z269)</f>
        <v>0.44687900560297045</v>
      </c>
      <c r="AA265" s="412">
        <v>989</v>
      </c>
      <c r="AB265" s="560">
        <f t="shared" si="11"/>
        <v>249.22799999999995</v>
      </c>
      <c r="AC265" s="568"/>
      <c r="AD265" s="568"/>
      <c r="AE265" s="567"/>
      <c r="AF265" s="522"/>
      <c r="AG265" s="573">
        <f>AVERAGE(AG266:AG269)</f>
        <v>0.15117936030908333</v>
      </c>
    </row>
    <row r="266" spans="2:33" x14ac:dyDescent="0.25">
      <c r="B266" s="231">
        <v>15</v>
      </c>
      <c r="C266" s="503">
        <v>1</v>
      </c>
      <c r="D266" s="504" t="s">
        <v>298</v>
      </c>
      <c r="E266" s="505" t="s">
        <v>131</v>
      </c>
      <c r="F266" s="505" t="s">
        <v>136</v>
      </c>
      <c r="G266" s="506">
        <v>2</v>
      </c>
      <c r="H266" s="505" t="s">
        <v>663</v>
      </c>
      <c r="I266" s="505" t="s">
        <v>674</v>
      </c>
      <c r="J266" s="505" t="s">
        <v>709</v>
      </c>
      <c r="K266" s="507" t="s">
        <v>664</v>
      </c>
      <c r="L266" s="505" t="s">
        <v>122</v>
      </c>
      <c r="M266" s="507" t="s">
        <v>264</v>
      </c>
      <c r="N266" s="508">
        <v>124</v>
      </c>
      <c r="O266" s="508">
        <v>96</v>
      </c>
      <c r="P266" s="197" t="s">
        <v>287</v>
      </c>
      <c r="Q266" s="178" t="s">
        <v>284</v>
      </c>
      <c r="R266" s="176" t="s">
        <v>190</v>
      </c>
      <c r="S266" s="179" t="s">
        <v>289</v>
      </c>
      <c r="T266" s="411">
        <v>374.15000000000003</v>
      </c>
      <c r="U266" s="560">
        <f t="shared" si="10"/>
        <v>94.285799999999995</v>
      </c>
      <c r="V266" s="568">
        <v>4470.21</v>
      </c>
      <c r="W266" s="567">
        <v>223.51050000000001</v>
      </c>
      <c r="X266" s="567">
        <v>44.702100000000002</v>
      </c>
      <c r="Y266" s="522">
        <v>178.80840000000001</v>
      </c>
      <c r="Z266" s="572">
        <f>(Y266-U266)/Y266</f>
        <v>0.47269926916185151</v>
      </c>
      <c r="AA266" s="412">
        <v>989</v>
      </c>
      <c r="AB266" s="560">
        <f t="shared" si="11"/>
        <v>249.22799999999995</v>
      </c>
      <c r="AC266" s="568">
        <v>7340.42</v>
      </c>
      <c r="AD266" s="567">
        <v>367.02100000000002</v>
      </c>
      <c r="AE266" s="567">
        <v>73.404200000000003</v>
      </c>
      <c r="AF266" s="522">
        <v>293.61680000000001</v>
      </c>
      <c r="AG266" s="572">
        <f>(AF266-AB266)/AF266</f>
        <v>0.15117936030908333</v>
      </c>
    </row>
    <row r="267" spans="2:33" x14ac:dyDescent="0.25">
      <c r="B267" s="231">
        <v>16</v>
      </c>
      <c r="C267" s="503">
        <v>1</v>
      </c>
      <c r="D267" s="504" t="s">
        <v>298</v>
      </c>
      <c r="E267" s="505" t="s">
        <v>131</v>
      </c>
      <c r="F267" s="505" t="s">
        <v>136</v>
      </c>
      <c r="G267" s="506">
        <v>2</v>
      </c>
      <c r="H267" s="505" t="s">
        <v>663</v>
      </c>
      <c r="I267" s="505" t="s">
        <v>675</v>
      </c>
      <c r="J267" s="505" t="s">
        <v>709</v>
      </c>
      <c r="K267" s="507" t="s">
        <v>664</v>
      </c>
      <c r="L267" s="505" t="s">
        <v>122</v>
      </c>
      <c r="M267" s="507" t="s">
        <v>264</v>
      </c>
      <c r="N267" s="508">
        <v>124</v>
      </c>
      <c r="O267" s="508">
        <v>96</v>
      </c>
      <c r="P267" s="197" t="s">
        <v>287</v>
      </c>
      <c r="Q267" s="178" t="s">
        <v>284</v>
      </c>
      <c r="R267" s="176" t="s">
        <v>190</v>
      </c>
      <c r="S267" s="179" t="s">
        <v>289</v>
      </c>
      <c r="T267" s="411">
        <v>519.5</v>
      </c>
      <c r="U267" s="560">
        <f t="shared" si="10"/>
        <v>130.91399999999999</v>
      </c>
      <c r="V267" s="568">
        <v>6319.08</v>
      </c>
      <c r="W267" s="567">
        <v>315.95400000000001</v>
      </c>
      <c r="X267" s="567">
        <v>63.190800000000003</v>
      </c>
      <c r="Y267" s="522">
        <v>252.76320000000001</v>
      </c>
      <c r="Z267" s="572">
        <f>(Y267-U267)/Y267</f>
        <v>0.48206859226343085</v>
      </c>
      <c r="AA267" s="412">
        <v>989</v>
      </c>
      <c r="AB267" s="560">
        <f t="shared" si="11"/>
        <v>249.22799999999995</v>
      </c>
      <c r="AC267" s="568">
        <v>7340.42</v>
      </c>
      <c r="AD267" s="567">
        <v>367.02100000000002</v>
      </c>
      <c r="AE267" s="567">
        <v>73.404200000000003</v>
      </c>
      <c r="AF267" s="522">
        <v>293.61680000000001</v>
      </c>
      <c r="AG267" s="572">
        <f>(AF267-AB267)/AF267</f>
        <v>0.15117936030908333</v>
      </c>
    </row>
    <row r="268" spans="2:33" x14ac:dyDescent="0.25">
      <c r="B268" s="231">
        <v>17</v>
      </c>
      <c r="C268" s="503">
        <v>1</v>
      </c>
      <c r="D268" s="504" t="s">
        <v>298</v>
      </c>
      <c r="E268" s="505" t="s">
        <v>131</v>
      </c>
      <c r="F268" s="505" t="s">
        <v>136</v>
      </c>
      <c r="G268" s="506">
        <v>2</v>
      </c>
      <c r="H268" s="505" t="s">
        <v>663</v>
      </c>
      <c r="I268" s="505" t="s">
        <v>676</v>
      </c>
      <c r="J268" s="505" t="s">
        <v>709</v>
      </c>
      <c r="K268" s="507" t="s">
        <v>664</v>
      </c>
      <c r="L268" s="505" t="s">
        <v>122</v>
      </c>
      <c r="M268" s="507" t="s">
        <v>264</v>
      </c>
      <c r="N268" s="508">
        <v>124</v>
      </c>
      <c r="O268" s="508">
        <v>96</v>
      </c>
      <c r="P268" s="197" t="s">
        <v>287</v>
      </c>
      <c r="Q268" s="178" t="s">
        <v>284</v>
      </c>
      <c r="R268" s="176" t="s">
        <v>190</v>
      </c>
      <c r="S268" s="179" t="s">
        <v>289</v>
      </c>
      <c r="T268" s="411">
        <v>556.05000000000007</v>
      </c>
      <c r="U268" s="560">
        <f t="shared" si="10"/>
        <v>140.12459999999999</v>
      </c>
      <c r="V268" s="568">
        <v>6549.56</v>
      </c>
      <c r="W268" s="567">
        <v>327.47800000000001</v>
      </c>
      <c r="X268" s="567">
        <v>65.49560000000001</v>
      </c>
      <c r="Y268" s="522">
        <v>261.98239999999998</v>
      </c>
      <c r="Z268" s="572">
        <f>(Y268-U268)/Y268</f>
        <v>0.46513735273819923</v>
      </c>
      <c r="AA268" s="412">
        <v>989</v>
      </c>
      <c r="AB268" s="560">
        <f t="shared" si="11"/>
        <v>249.22799999999995</v>
      </c>
      <c r="AC268" s="568">
        <v>7340.42</v>
      </c>
      <c r="AD268" s="567">
        <v>367.02100000000002</v>
      </c>
      <c r="AE268" s="567">
        <v>73.404200000000003</v>
      </c>
      <c r="AF268" s="522">
        <v>293.61680000000001</v>
      </c>
      <c r="AG268" s="572">
        <f>(AF268-AB268)/AF268</f>
        <v>0.15117936030908333</v>
      </c>
    </row>
    <row r="269" spans="2:33" x14ac:dyDescent="0.25">
      <c r="B269" s="231">
        <v>18</v>
      </c>
      <c r="C269" s="503">
        <v>1</v>
      </c>
      <c r="D269" s="504" t="s">
        <v>298</v>
      </c>
      <c r="E269" s="505" t="s">
        <v>131</v>
      </c>
      <c r="F269" s="505" t="s">
        <v>136</v>
      </c>
      <c r="G269" s="506">
        <v>2</v>
      </c>
      <c r="H269" s="505" t="s">
        <v>663</v>
      </c>
      <c r="I269" s="505" t="s">
        <v>677</v>
      </c>
      <c r="J269" s="505" t="s">
        <v>709</v>
      </c>
      <c r="K269" s="507" t="s">
        <v>664</v>
      </c>
      <c r="L269" s="505" t="s">
        <v>122</v>
      </c>
      <c r="M269" s="507" t="s">
        <v>264</v>
      </c>
      <c r="N269" s="508">
        <v>124</v>
      </c>
      <c r="O269" s="508">
        <v>96</v>
      </c>
      <c r="P269" s="197" t="s">
        <v>287</v>
      </c>
      <c r="Q269" s="178" t="s">
        <v>284</v>
      </c>
      <c r="R269" s="176" t="s">
        <v>190</v>
      </c>
      <c r="S269" s="179" t="s">
        <v>289</v>
      </c>
      <c r="T269" s="411">
        <v>677.6</v>
      </c>
      <c r="U269" s="560">
        <f t="shared" si="10"/>
        <v>170.75519999999997</v>
      </c>
      <c r="V269" s="568">
        <v>6750.4</v>
      </c>
      <c r="W269" s="567">
        <v>337.52</v>
      </c>
      <c r="X269" s="567">
        <v>67.504000000000005</v>
      </c>
      <c r="Y269" s="522">
        <v>270.01599999999996</v>
      </c>
      <c r="Z269" s="572">
        <f>(Y269-U269)/Y269</f>
        <v>0.36761080824840009</v>
      </c>
      <c r="AA269" s="412">
        <v>989</v>
      </c>
      <c r="AB269" s="560">
        <f t="shared" si="11"/>
        <v>249.22799999999995</v>
      </c>
      <c r="AC269" s="568">
        <v>7340.42</v>
      </c>
      <c r="AD269" s="567">
        <v>367.02100000000002</v>
      </c>
      <c r="AE269" s="567">
        <v>73.404200000000003</v>
      </c>
      <c r="AF269" s="522">
        <v>293.61680000000001</v>
      </c>
      <c r="AG269" s="572">
        <f>(AF269-AB269)/AF269</f>
        <v>0.15117936030908333</v>
      </c>
    </row>
    <row r="270" spans="2:33" x14ac:dyDescent="0.25">
      <c r="B270" s="231">
        <v>19</v>
      </c>
      <c r="C270" s="547">
        <v>1</v>
      </c>
      <c r="D270" s="548" t="s">
        <v>298</v>
      </c>
      <c r="E270" s="549" t="s">
        <v>131</v>
      </c>
      <c r="F270" s="549" t="s">
        <v>136</v>
      </c>
      <c r="G270" s="550">
        <v>2</v>
      </c>
      <c r="H270" s="549" t="s">
        <v>187</v>
      </c>
      <c r="I270" s="549" t="s">
        <v>321</v>
      </c>
      <c r="J270" s="549" t="s">
        <v>709</v>
      </c>
      <c r="K270" s="551" t="s">
        <v>664</v>
      </c>
      <c r="L270" s="549" t="s">
        <v>122</v>
      </c>
      <c r="M270" s="551" t="s">
        <v>264</v>
      </c>
      <c r="N270" s="552">
        <v>150</v>
      </c>
      <c r="O270" s="552">
        <v>96</v>
      </c>
      <c r="P270" s="197" t="s">
        <v>287</v>
      </c>
      <c r="Q270" s="178" t="s">
        <v>284</v>
      </c>
      <c r="R270" s="176" t="s">
        <v>190</v>
      </c>
      <c r="S270" s="179" t="s">
        <v>289</v>
      </c>
      <c r="T270" s="411">
        <v>379</v>
      </c>
      <c r="U270" s="560">
        <f t="shared" si="10"/>
        <v>95.507999999999996</v>
      </c>
      <c r="V270" s="568"/>
      <c r="W270" s="568"/>
      <c r="X270" s="567"/>
      <c r="Y270" s="522"/>
      <c r="Z270" s="522"/>
      <c r="AA270" s="412">
        <v>1194.95</v>
      </c>
      <c r="AB270" s="560">
        <f t="shared" si="11"/>
        <v>301.12740000000002</v>
      </c>
      <c r="AC270" s="568"/>
      <c r="AD270" s="568"/>
      <c r="AE270" s="567"/>
      <c r="AF270" s="522"/>
      <c r="AG270" s="522"/>
    </row>
    <row r="271" spans="2:33" x14ac:dyDescent="0.25">
      <c r="B271" s="231">
        <v>20</v>
      </c>
      <c r="C271" s="541">
        <v>1</v>
      </c>
      <c r="D271" s="542" t="s">
        <v>298</v>
      </c>
      <c r="E271" s="543" t="s">
        <v>131</v>
      </c>
      <c r="F271" s="543" t="s">
        <v>136</v>
      </c>
      <c r="G271" s="544">
        <v>2</v>
      </c>
      <c r="H271" s="543" t="s">
        <v>691</v>
      </c>
      <c r="I271" s="543" t="s">
        <v>321</v>
      </c>
      <c r="J271" s="543" t="s">
        <v>709</v>
      </c>
      <c r="K271" s="545" t="s">
        <v>664</v>
      </c>
      <c r="L271" s="543" t="s">
        <v>122</v>
      </c>
      <c r="M271" s="545" t="s">
        <v>264</v>
      </c>
      <c r="N271" s="546">
        <v>150</v>
      </c>
      <c r="O271" s="546">
        <v>96</v>
      </c>
      <c r="P271" s="197" t="s">
        <v>287</v>
      </c>
      <c r="Q271" s="178" t="s">
        <v>284</v>
      </c>
      <c r="R271" s="176" t="s">
        <v>190</v>
      </c>
      <c r="S271" s="179" t="s">
        <v>289</v>
      </c>
      <c r="T271" s="411">
        <v>765.40000000000009</v>
      </c>
      <c r="U271" s="560">
        <f t="shared" si="10"/>
        <v>192.88079999999999</v>
      </c>
      <c r="V271" s="568"/>
      <c r="W271" s="568"/>
      <c r="X271" s="567"/>
      <c r="Y271" s="522"/>
      <c r="Z271" s="573">
        <f>AVERAGE(Z272:Z275)</f>
        <v>0.43457860269870535</v>
      </c>
      <c r="AA271" s="412">
        <v>1194.95</v>
      </c>
      <c r="AB271" s="560">
        <f t="shared" si="11"/>
        <v>301.12740000000002</v>
      </c>
      <c r="AC271" s="568"/>
      <c r="AD271" s="568"/>
      <c r="AE271" s="567"/>
      <c r="AF271" s="522"/>
      <c r="AG271" s="573">
        <f>AVERAGE(AG272:AG275)</f>
        <v>3.1539169084114145E-2</v>
      </c>
    </row>
    <row r="272" spans="2:33" x14ac:dyDescent="0.25">
      <c r="B272" s="231">
        <v>21</v>
      </c>
      <c r="C272" s="503">
        <v>1</v>
      </c>
      <c r="D272" s="504" t="s">
        <v>298</v>
      </c>
      <c r="E272" s="505" t="s">
        <v>131</v>
      </c>
      <c r="F272" s="505" t="s">
        <v>136</v>
      </c>
      <c r="G272" s="506">
        <v>2</v>
      </c>
      <c r="H272" s="505" t="s">
        <v>663</v>
      </c>
      <c r="I272" s="505" t="s">
        <v>674</v>
      </c>
      <c r="J272" s="505" t="s">
        <v>709</v>
      </c>
      <c r="K272" s="507" t="s">
        <v>664</v>
      </c>
      <c r="L272" s="505" t="s">
        <v>122</v>
      </c>
      <c r="M272" s="507" t="s">
        <v>264</v>
      </c>
      <c r="N272" s="508">
        <v>150</v>
      </c>
      <c r="O272" s="508">
        <v>96</v>
      </c>
      <c r="P272" s="197" t="s">
        <v>287</v>
      </c>
      <c r="Q272" s="178" t="s">
        <v>284</v>
      </c>
      <c r="R272" s="176" t="s">
        <v>190</v>
      </c>
      <c r="S272" s="179" t="s">
        <v>289</v>
      </c>
      <c r="T272" s="411">
        <v>450.75</v>
      </c>
      <c r="U272" s="560">
        <f t="shared" si="10"/>
        <v>113.58899999999998</v>
      </c>
      <c r="V272" s="568">
        <v>5279</v>
      </c>
      <c r="W272" s="567">
        <v>263.95</v>
      </c>
      <c r="X272" s="567">
        <v>52.79</v>
      </c>
      <c r="Y272" s="522">
        <v>211.16</v>
      </c>
      <c r="Z272" s="572">
        <f>(Y272-U272)/Y272</f>
        <v>0.46207141504072746</v>
      </c>
      <c r="AA272" s="412">
        <v>1194.95</v>
      </c>
      <c r="AB272" s="560">
        <f t="shared" si="11"/>
        <v>301.12740000000002</v>
      </c>
      <c r="AC272" s="568">
        <v>7773.3499999999995</v>
      </c>
      <c r="AD272" s="567">
        <v>388.66749999999996</v>
      </c>
      <c r="AE272" s="567">
        <v>77.733499999999992</v>
      </c>
      <c r="AF272" s="522">
        <v>310.93399999999997</v>
      </c>
      <c r="AG272" s="572">
        <f>(AF272-AB272)/AF272</f>
        <v>3.1539169084114145E-2</v>
      </c>
    </row>
    <row r="273" spans="2:33" x14ac:dyDescent="0.25">
      <c r="B273" s="231">
        <v>22</v>
      </c>
      <c r="C273" s="503">
        <v>1</v>
      </c>
      <c r="D273" s="504" t="s">
        <v>298</v>
      </c>
      <c r="E273" s="505" t="s">
        <v>131</v>
      </c>
      <c r="F273" s="505" t="s">
        <v>136</v>
      </c>
      <c r="G273" s="506">
        <v>2</v>
      </c>
      <c r="H273" s="505" t="s">
        <v>663</v>
      </c>
      <c r="I273" s="505" t="s">
        <v>675</v>
      </c>
      <c r="J273" s="505" t="s">
        <v>709</v>
      </c>
      <c r="K273" s="507" t="s">
        <v>664</v>
      </c>
      <c r="L273" s="505" t="s">
        <v>122</v>
      </c>
      <c r="M273" s="507" t="s">
        <v>264</v>
      </c>
      <c r="N273" s="508">
        <v>150</v>
      </c>
      <c r="O273" s="508">
        <v>96</v>
      </c>
      <c r="P273" s="197" t="s">
        <v>287</v>
      </c>
      <c r="Q273" s="178" t="s">
        <v>284</v>
      </c>
      <c r="R273" s="176" t="s">
        <v>190</v>
      </c>
      <c r="S273" s="179" t="s">
        <v>289</v>
      </c>
      <c r="T273" s="411">
        <v>626</v>
      </c>
      <c r="U273" s="560">
        <f t="shared" si="10"/>
        <v>157.75199999999998</v>
      </c>
      <c r="V273" s="568">
        <v>7456.32</v>
      </c>
      <c r="W273" s="567">
        <v>372.81599999999997</v>
      </c>
      <c r="X273" s="567">
        <v>74.563199999999995</v>
      </c>
      <c r="Y273" s="522">
        <v>298.25279999999998</v>
      </c>
      <c r="Z273" s="572">
        <f>(Y273-U273)/Y273</f>
        <v>0.4710795674005408</v>
      </c>
      <c r="AA273" s="412">
        <v>1194.95</v>
      </c>
      <c r="AB273" s="560">
        <f t="shared" si="11"/>
        <v>301.12740000000002</v>
      </c>
      <c r="AC273" s="568">
        <v>7773.3499999999995</v>
      </c>
      <c r="AD273" s="567">
        <v>388.66749999999996</v>
      </c>
      <c r="AE273" s="567">
        <v>77.733499999999992</v>
      </c>
      <c r="AF273" s="522">
        <v>310.93399999999997</v>
      </c>
      <c r="AG273" s="572">
        <f>(AF273-AB273)/AF273</f>
        <v>3.1539169084114145E-2</v>
      </c>
    </row>
    <row r="274" spans="2:33" x14ac:dyDescent="0.25">
      <c r="B274" s="231">
        <v>23</v>
      </c>
      <c r="C274" s="503">
        <v>1</v>
      </c>
      <c r="D274" s="504" t="s">
        <v>298</v>
      </c>
      <c r="E274" s="505" t="s">
        <v>131</v>
      </c>
      <c r="F274" s="505" t="s">
        <v>136</v>
      </c>
      <c r="G274" s="506">
        <v>2</v>
      </c>
      <c r="H274" s="505" t="s">
        <v>663</v>
      </c>
      <c r="I274" s="505" t="s">
        <v>676</v>
      </c>
      <c r="J274" s="505" t="s">
        <v>709</v>
      </c>
      <c r="K274" s="507" t="s">
        <v>664</v>
      </c>
      <c r="L274" s="505" t="s">
        <v>122</v>
      </c>
      <c r="M274" s="507" t="s">
        <v>264</v>
      </c>
      <c r="N274" s="508">
        <v>150</v>
      </c>
      <c r="O274" s="508">
        <v>96</v>
      </c>
      <c r="P274" s="197" t="s">
        <v>287</v>
      </c>
      <c r="Q274" s="178" t="s">
        <v>284</v>
      </c>
      <c r="R274" s="176" t="s">
        <v>190</v>
      </c>
      <c r="S274" s="179" t="s">
        <v>289</v>
      </c>
      <c r="T274" s="411">
        <v>670.1</v>
      </c>
      <c r="U274" s="560">
        <f t="shared" si="10"/>
        <v>168.86519999999999</v>
      </c>
      <c r="V274" s="568">
        <v>7706.74</v>
      </c>
      <c r="W274" s="567">
        <v>385.33699999999999</v>
      </c>
      <c r="X274" s="567">
        <v>77.067400000000006</v>
      </c>
      <c r="Y274" s="522">
        <v>308.26959999999997</v>
      </c>
      <c r="Z274" s="572">
        <f>(Y274-U274)/Y274</f>
        <v>0.45221585261731939</v>
      </c>
      <c r="AA274" s="412">
        <v>1194.95</v>
      </c>
      <c r="AB274" s="560">
        <f t="shared" si="11"/>
        <v>301.12740000000002</v>
      </c>
      <c r="AC274" s="568">
        <v>7773.3499999999995</v>
      </c>
      <c r="AD274" s="567">
        <v>388.66749999999996</v>
      </c>
      <c r="AE274" s="567">
        <v>77.733499999999992</v>
      </c>
      <c r="AF274" s="522">
        <v>310.93399999999997</v>
      </c>
      <c r="AG274" s="572">
        <f>(AF274-AB274)/AF274</f>
        <v>3.1539169084114145E-2</v>
      </c>
    </row>
    <row r="275" spans="2:33" x14ac:dyDescent="0.25">
      <c r="B275" s="231">
        <v>24</v>
      </c>
      <c r="C275" s="503">
        <v>1</v>
      </c>
      <c r="D275" s="504" t="s">
        <v>298</v>
      </c>
      <c r="E275" s="505" t="s">
        <v>131</v>
      </c>
      <c r="F275" s="505" t="s">
        <v>136</v>
      </c>
      <c r="G275" s="506">
        <v>2</v>
      </c>
      <c r="H275" s="505" t="s">
        <v>663</v>
      </c>
      <c r="I275" s="505" t="s">
        <v>677</v>
      </c>
      <c r="J275" s="505" t="s">
        <v>709</v>
      </c>
      <c r="K275" s="507" t="s">
        <v>664</v>
      </c>
      <c r="L275" s="505" t="s">
        <v>122</v>
      </c>
      <c r="M275" s="507" t="s">
        <v>264</v>
      </c>
      <c r="N275" s="508">
        <v>150</v>
      </c>
      <c r="O275" s="508">
        <v>96</v>
      </c>
      <c r="P275" s="197" t="s">
        <v>287</v>
      </c>
      <c r="Q275" s="178" t="s">
        <v>284</v>
      </c>
      <c r="R275" s="176" t="s">
        <v>190</v>
      </c>
      <c r="S275" s="179" t="s">
        <v>289</v>
      </c>
      <c r="T275" s="411">
        <v>816.65000000000009</v>
      </c>
      <c r="U275" s="560">
        <f t="shared" si="10"/>
        <v>205.79579999999999</v>
      </c>
      <c r="V275" s="568">
        <v>7951.28</v>
      </c>
      <c r="W275" s="567">
        <v>397.56399999999996</v>
      </c>
      <c r="X275" s="567">
        <v>79.512799999999999</v>
      </c>
      <c r="Y275" s="522">
        <v>318.05119999999999</v>
      </c>
      <c r="Z275" s="572">
        <f>(Y275-U275)/Y275</f>
        <v>0.3529475757362337</v>
      </c>
      <c r="AA275" s="412">
        <v>1194.95</v>
      </c>
      <c r="AB275" s="560">
        <f t="shared" si="11"/>
        <v>301.12740000000002</v>
      </c>
      <c r="AC275" s="568">
        <v>7773.3499999999995</v>
      </c>
      <c r="AD275" s="567">
        <v>388.66749999999996</v>
      </c>
      <c r="AE275" s="567">
        <v>77.733499999999992</v>
      </c>
      <c r="AF275" s="522">
        <v>310.93399999999997</v>
      </c>
      <c r="AG275" s="572">
        <f>(AF275-AB275)/AF275</f>
        <v>3.1539169084114145E-2</v>
      </c>
    </row>
    <row r="276" spans="2:33" x14ac:dyDescent="0.25">
      <c r="B276" s="231">
        <v>25</v>
      </c>
      <c r="C276" s="553">
        <v>1</v>
      </c>
      <c r="D276" s="554" t="s">
        <v>298</v>
      </c>
      <c r="E276" s="555" t="s">
        <v>131</v>
      </c>
      <c r="F276" s="555" t="s">
        <v>116</v>
      </c>
      <c r="G276" s="556">
        <v>2</v>
      </c>
      <c r="H276" s="555" t="s">
        <v>187</v>
      </c>
      <c r="I276" s="555" t="s">
        <v>323</v>
      </c>
      <c r="J276" s="555" t="s">
        <v>709</v>
      </c>
      <c r="K276" s="557" t="s">
        <v>665</v>
      </c>
      <c r="L276" s="555" t="s">
        <v>122</v>
      </c>
      <c r="M276" s="557" t="s">
        <v>264</v>
      </c>
      <c r="N276" s="558">
        <v>72</v>
      </c>
      <c r="O276" s="558">
        <v>96</v>
      </c>
      <c r="P276" s="197" t="s">
        <v>287</v>
      </c>
      <c r="Q276" s="178" t="s">
        <v>284</v>
      </c>
      <c r="R276" s="176" t="s">
        <v>190</v>
      </c>
      <c r="S276" s="179" t="s">
        <v>289</v>
      </c>
      <c r="T276" s="411">
        <v>122.9</v>
      </c>
      <c r="U276" s="560">
        <f t="shared" si="10"/>
        <v>30.970800000000001</v>
      </c>
      <c r="V276" s="568"/>
      <c r="W276" s="568"/>
      <c r="X276" s="567"/>
      <c r="Y276" s="522"/>
      <c r="Z276" s="634">
        <f>AVERAGE(Z278:Z281,Z284:Z287,Z290:Z293,Z296:Z299)</f>
        <v>0.43465689702216354</v>
      </c>
      <c r="AA276" s="412">
        <v>577.1</v>
      </c>
      <c r="AB276" s="560">
        <f t="shared" si="11"/>
        <v>145.42919999999998</v>
      </c>
      <c r="AC276" s="568"/>
      <c r="AD276" s="568"/>
      <c r="AE276" s="567"/>
      <c r="AF276" s="522"/>
      <c r="AG276" s="634">
        <f>AVERAGE(AG278:AG281,AG284:AG287,AG290:AG293,AG296:AG299)</f>
        <v>0.23489928623448647</v>
      </c>
    </row>
    <row r="277" spans="2:33" x14ac:dyDescent="0.25">
      <c r="B277" s="231">
        <v>26</v>
      </c>
      <c r="C277" s="509">
        <v>1</v>
      </c>
      <c r="D277" s="510" t="s">
        <v>298</v>
      </c>
      <c r="E277" s="511" t="s">
        <v>131</v>
      </c>
      <c r="F277" s="511" t="s">
        <v>116</v>
      </c>
      <c r="G277" s="512">
        <v>2</v>
      </c>
      <c r="H277" s="511" t="s">
        <v>691</v>
      </c>
      <c r="I277" s="511" t="s">
        <v>323</v>
      </c>
      <c r="J277" s="511" t="s">
        <v>709</v>
      </c>
      <c r="K277" s="513" t="s">
        <v>665</v>
      </c>
      <c r="L277" s="511" t="s">
        <v>122</v>
      </c>
      <c r="M277" s="513" t="s">
        <v>264</v>
      </c>
      <c r="N277" s="514">
        <v>72</v>
      </c>
      <c r="O277" s="514">
        <v>96</v>
      </c>
      <c r="P277" s="197" t="s">
        <v>287</v>
      </c>
      <c r="Q277" s="178" t="s">
        <v>284</v>
      </c>
      <c r="R277" s="176" t="s">
        <v>190</v>
      </c>
      <c r="S277" s="179" t="s">
        <v>289</v>
      </c>
      <c r="T277" s="411">
        <v>221.15</v>
      </c>
      <c r="U277" s="560">
        <f t="shared" si="10"/>
        <v>55.729799999999997</v>
      </c>
      <c r="V277" s="568"/>
      <c r="W277" s="568"/>
      <c r="X277" s="567"/>
      <c r="Y277" s="522"/>
      <c r="Z277" s="573">
        <f>AVERAGE(Z278:Z281)</f>
        <v>0.4589927964883061</v>
      </c>
      <c r="AA277" s="412">
        <v>577.1</v>
      </c>
      <c r="AB277" s="560">
        <f t="shared" si="11"/>
        <v>145.42919999999998</v>
      </c>
      <c r="AC277" s="568"/>
      <c r="AD277" s="568"/>
      <c r="AE277" s="567"/>
      <c r="AF277" s="522"/>
      <c r="AG277" s="573">
        <f>AVERAGE(AG278:AG281)</f>
        <v>0.46212635643432531</v>
      </c>
    </row>
    <row r="278" spans="2:33" x14ac:dyDescent="0.25">
      <c r="B278" s="231">
        <v>27</v>
      </c>
      <c r="C278" s="515">
        <v>1</v>
      </c>
      <c r="D278" s="516" t="s">
        <v>298</v>
      </c>
      <c r="E278" s="517" t="s">
        <v>131</v>
      </c>
      <c r="F278" s="517" t="s">
        <v>116</v>
      </c>
      <c r="G278" s="518">
        <v>2</v>
      </c>
      <c r="H278" s="517" t="s">
        <v>663</v>
      </c>
      <c r="I278" s="517" t="s">
        <v>681</v>
      </c>
      <c r="J278" s="517" t="s">
        <v>709</v>
      </c>
      <c r="K278" s="519" t="s">
        <v>665</v>
      </c>
      <c r="L278" s="517" t="s">
        <v>122</v>
      </c>
      <c r="M278" s="519" t="s">
        <v>264</v>
      </c>
      <c r="N278" s="520">
        <v>72</v>
      </c>
      <c r="O278" s="520">
        <v>96</v>
      </c>
      <c r="P278" s="197" t="s">
        <v>287</v>
      </c>
      <c r="Q278" s="178" t="s">
        <v>284</v>
      </c>
      <c r="R278" s="176" t="s">
        <v>190</v>
      </c>
      <c r="S278" s="179" t="s">
        <v>289</v>
      </c>
      <c r="T278" s="411">
        <v>182.4</v>
      </c>
      <c r="U278" s="560">
        <f t="shared" si="10"/>
        <v>45.96479999999999</v>
      </c>
      <c r="V278" s="568">
        <v>2498.04</v>
      </c>
      <c r="W278" s="567">
        <v>124.902</v>
      </c>
      <c r="X278" s="567">
        <v>24.980400000000003</v>
      </c>
      <c r="Y278" s="522">
        <v>99.921599999999998</v>
      </c>
      <c r="Z278" s="572">
        <f>(Y278-U278)/Y278</f>
        <v>0.53999135322092529</v>
      </c>
      <c r="AA278" s="412">
        <v>577.1</v>
      </c>
      <c r="AB278" s="560">
        <f t="shared" si="11"/>
        <v>145.42919999999998</v>
      </c>
      <c r="AC278" s="568">
        <v>6759.45</v>
      </c>
      <c r="AD278" s="567">
        <v>337.97249999999997</v>
      </c>
      <c r="AE278" s="567">
        <v>67.594499999999996</v>
      </c>
      <c r="AF278" s="522">
        <v>270.37799999999999</v>
      </c>
      <c r="AG278" s="572">
        <f>(AF278-AB278)/AF278</f>
        <v>0.46212635643432531</v>
      </c>
    </row>
    <row r="279" spans="2:33" x14ac:dyDescent="0.25">
      <c r="B279" s="231">
        <v>28</v>
      </c>
      <c r="C279" s="515">
        <v>1</v>
      </c>
      <c r="D279" s="516" t="s">
        <v>298</v>
      </c>
      <c r="E279" s="517" t="s">
        <v>131</v>
      </c>
      <c r="F279" s="517" t="s">
        <v>116</v>
      </c>
      <c r="G279" s="518">
        <v>2</v>
      </c>
      <c r="H279" s="517" t="s">
        <v>663</v>
      </c>
      <c r="I279" s="517" t="s">
        <v>685</v>
      </c>
      <c r="J279" s="517" t="s">
        <v>709</v>
      </c>
      <c r="K279" s="519" t="s">
        <v>665</v>
      </c>
      <c r="L279" s="517" t="s">
        <v>122</v>
      </c>
      <c r="M279" s="519" t="s">
        <v>264</v>
      </c>
      <c r="N279" s="520">
        <v>72</v>
      </c>
      <c r="O279" s="520">
        <v>96</v>
      </c>
      <c r="P279" s="197" t="s">
        <v>287</v>
      </c>
      <c r="Q279" s="178" t="s">
        <v>284</v>
      </c>
      <c r="R279" s="176" t="s">
        <v>190</v>
      </c>
      <c r="S279" s="179" t="s">
        <v>289</v>
      </c>
      <c r="T279" s="411">
        <v>217.65</v>
      </c>
      <c r="U279" s="560">
        <f t="shared" si="10"/>
        <v>54.847799999999999</v>
      </c>
      <c r="V279" s="568">
        <v>2762.46</v>
      </c>
      <c r="W279" s="567">
        <v>138.12299999999999</v>
      </c>
      <c r="X279" s="567">
        <v>27.624600000000001</v>
      </c>
      <c r="Y279" s="522">
        <v>110.49839999999999</v>
      </c>
      <c r="Z279" s="572">
        <f>(Y279-U279)/Y279</f>
        <v>0.50363263178471362</v>
      </c>
      <c r="AA279" s="412">
        <v>577.1</v>
      </c>
      <c r="AB279" s="560">
        <f t="shared" si="11"/>
        <v>145.42919999999998</v>
      </c>
      <c r="AC279" s="568">
        <v>6759.45</v>
      </c>
      <c r="AD279" s="567">
        <v>337.97249999999997</v>
      </c>
      <c r="AE279" s="567">
        <v>67.594499999999996</v>
      </c>
      <c r="AF279" s="522">
        <v>270.37799999999999</v>
      </c>
      <c r="AG279" s="572">
        <f>(AF279-AB279)/AF279</f>
        <v>0.46212635643432531</v>
      </c>
    </row>
    <row r="280" spans="2:33" x14ac:dyDescent="0.25">
      <c r="B280" s="231">
        <v>29</v>
      </c>
      <c r="C280" s="515">
        <v>1</v>
      </c>
      <c r="D280" s="516" t="s">
        <v>298</v>
      </c>
      <c r="E280" s="517" t="s">
        <v>131</v>
      </c>
      <c r="F280" s="517" t="s">
        <v>116</v>
      </c>
      <c r="G280" s="518">
        <v>2</v>
      </c>
      <c r="H280" s="517" t="s">
        <v>663</v>
      </c>
      <c r="I280" s="517" t="s">
        <v>687</v>
      </c>
      <c r="J280" s="517" t="s">
        <v>709</v>
      </c>
      <c r="K280" s="519" t="s">
        <v>665</v>
      </c>
      <c r="L280" s="517" t="s">
        <v>122</v>
      </c>
      <c r="M280" s="519" t="s">
        <v>264</v>
      </c>
      <c r="N280" s="520">
        <v>72</v>
      </c>
      <c r="O280" s="520">
        <v>96</v>
      </c>
      <c r="P280" s="197" t="s">
        <v>287</v>
      </c>
      <c r="Q280" s="178" t="s">
        <v>284</v>
      </c>
      <c r="R280" s="176" t="s">
        <v>190</v>
      </c>
      <c r="S280" s="179" t="s">
        <v>289</v>
      </c>
      <c r="T280" s="411">
        <v>259.90000000000003</v>
      </c>
      <c r="U280" s="560">
        <f t="shared" si="10"/>
        <v>65.494799999999998</v>
      </c>
      <c r="V280" s="568">
        <v>2761.1</v>
      </c>
      <c r="W280" s="567">
        <v>138.05500000000001</v>
      </c>
      <c r="X280" s="567">
        <v>27.611000000000004</v>
      </c>
      <c r="Y280" s="522">
        <v>110.444</v>
      </c>
      <c r="Z280" s="572">
        <f>(Y280-U280)/Y280</f>
        <v>0.40698634602151318</v>
      </c>
      <c r="AA280" s="412">
        <v>577.1</v>
      </c>
      <c r="AB280" s="560">
        <f t="shared" si="11"/>
        <v>145.42919999999998</v>
      </c>
      <c r="AC280" s="568">
        <v>6759.45</v>
      </c>
      <c r="AD280" s="567">
        <v>337.97249999999997</v>
      </c>
      <c r="AE280" s="567">
        <v>67.594499999999996</v>
      </c>
      <c r="AF280" s="522">
        <v>270.37799999999999</v>
      </c>
      <c r="AG280" s="572">
        <f>(AF280-AB280)/AF280</f>
        <v>0.46212635643432531</v>
      </c>
    </row>
    <row r="281" spans="2:33" x14ac:dyDescent="0.25">
      <c r="B281" s="231">
        <v>30</v>
      </c>
      <c r="C281" s="515">
        <v>1</v>
      </c>
      <c r="D281" s="516" t="s">
        <v>298</v>
      </c>
      <c r="E281" s="517" t="s">
        <v>131</v>
      </c>
      <c r="F281" s="517" t="s">
        <v>116</v>
      </c>
      <c r="G281" s="518">
        <v>2</v>
      </c>
      <c r="H281" s="517" t="s">
        <v>663</v>
      </c>
      <c r="I281" s="517" t="s">
        <v>689</v>
      </c>
      <c r="J281" s="517" t="s">
        <v>709</v>
      </c>
      <c r="K281" s="519" t="s">
        <v>665</v>
      </c>
      <c r="L281" s="517" t="s">
        <v>122</v>
      </c>
      <c r="M281" s="519" t="s">
        <v>264</v>
      </c>
      <c r="N281" s="520">
        <v>72</v>
      </c>
      <c r="O281" s="520">
        <v>96</v>
      </c>
      <c r="P281" s="197" t="s">
        <v>287</v>
      </c>
      <c r="Q281" s="178" t="s">
        <v>284</v>
      </c>
      <c r="R281" s="176" t="s">
        <v>190</v>
      </c>
      <c r="S281" s="179" t="s">
        <v>289</v>
      </c>
      <c r="T281" s="411">
        <v>299.90000000000003</v>
      </c>
      <c r="U281" s="560">
        <f t="shared" si="10"/>
        <v>75.574799999999996</v>
      </c>
      <c r="V281" s="568">
        <v>3073.95</v>
      </c>
      <c r="W281" s="567">
        <v>153.69749999999999</v>
      </c>
      <c r="X281" s="567">
        <v>30.7395</v>
      </c>
      <c r="Y281" s="522">
        <v>122.958</v>
      </c>
      <c r="Z281" s="572">
        <f>(Y281-U281)/Y281</f>
        <v>0.38536085492607236</v>
      </c>
      <c r="AA281" s="412">
        <v>577.1</v>
      </c>
      <c r="AB281" s="560">
        <f t="shared" si="11"/>
        <v>145.42919999999998</v>
      </c>
      <c r="AC281" s="568">
        <v>6759.45</v>
      </c>
      <c r="AD281" s="567">
        <v>337.97249999999997</v>
      </c>
      <c r="AE281" s="567">
        <v>67.594499999999996</v>
      </c>
      <c r="AF281" s="522">
        <v>270.37799999999999</v>
      </c>
      <c r="AG281" s="572">
        <f>(AF281-AB281)/AF281</f>
        <v>0.46212635643432531</v>
      </c>
    </row>
    <row r="282" spans="2:33" x14ac:dyDescent="0.25">
      <c r="B282" s="231">
        <v>31</v>
      </c>
      <c r="C282" s="553">
        <v>1</v>
      </c>
      <c r="D282" s="554" t="s">
        <v>298</v>
      </c>
      <c r="E282" s="555" t="s">
        <v>131</v>
      </c>
      <c r="F282" s="555" t="s">
        <v>116</v>
      </c>
      <c r="G282" s="556">
        <v>2</v>
      </c>
      <c r="H282" s="555" t="s">
        <v>187</v>
      </c>
      <c r="I282" s="555" t="s">
        <v>323</v>
      </c>
      <c r="J282" s="555" t="s">
        <v>709</v>
      </c>
      <c r="K282" s="557" t="s">
        <v>665</v>
      </c>
      <c r="L282" s="555" t="s">
        <v>122</v>
      </c>
      <c r="M282" s="557" t="s">
        <v>264</v>
      </c>
      <c r="N282" s="558">
        <v>98</v>
      </c>
      <c r="O282" s="558">
        <v>96</v>
      </c>
      <c r="P282" s="197" t="s">
        <v>287</v>
      </c>
      <c r="Q282" s="178" t="s">
        <v>284</v>
      </c>
      <c r="R282" s="176" t="s">
        <v>190</v>
      </c>
      <c r="S282" s="179" t="s">
        <v>289</v>
      </c>
      <c r="T282" s="411">
        <v>161.20000000000002</v>
      </c>
      <c r="U282" s="560">
        <f t="shared" si="10"/>
        <v>40.622399999999992</v>
      </c>
      <c r="V282" s="568"/>
      <c r="W282" s="568"/>
      <c r="X282" s="567"/>
      <c r="Y282" s="522"/>
      <c r="Z282" s="522"/>
      <c r="AA282" s="412">
        <v>783.05000000000007</v>
      </c>
      <c r="AB282" s="560">
        <f t="shared" si="11"/>
        <v>197.32859999999997</v>
      </c>
      <c r="AC282" s="568"/>
      <c r="AD282" s="568"/>
      <c r="AE282" s="567"/>
      <c r="AF282" s="522"/>
      <c r="AG282" s="522"/>
    </row>
    <row r="283" spans="2:33" x14ac:dyDescent="0.25">
      <c r="B283" s="231">
        <v>32</v>
      </c>
      <c r="C283" s="509">
        <v>1</v>
      </c>
      <c r="D283" s="510" t="s">
        <v>298</v>
      </c>
      <c r="E283" s="511" t="s">
        <v>131</v>
      </c>
      <c r="F283" s="511" t="s">
        <v>116</v>
      </c>
      <c r="G283" s="512">
        <v>2</v>
      </c>
      <c r="H283" s="511" t="s">
        <v>691</v>
      </c>
      <c r="I283" s="511" t="s">
        <v>323</v>
      </c>
      <c r="J283" s="511" t="s">
        <v>709</v>
      </c>
      <c r="K283" s="513" t="s">
        <v>665</v>
      </c>
      <c r="L283" s="511" t="s">
        <v>122</v>
      </c>
      <c r="M283" s="513" t="s">
        <v>264</v>
      </c>
      <c r="N283" s="514">
        <v>98</v>
      </c>
      <c r="O283" s="514">
        <v>96</v>
      </c>
      <c r="P283" s="197" t="s">
        <v>287</v>
      </c>
      <c r="Q283" s="178" t="s">
        <v>284</v>
      </c>
      <c r="R283" s="176" t="s">
        <v>190</v>
      </c>
      <c r="S283" s="179" t="s">
        <v>289</v>
      </c>
      <c r="T283" s="411">
        <v>288.95</v>
      </c>
      <c r="U283" s="560">
        <f t="shared" si="10"/>
        <v>72.815399999999983</v>
      </c>
      <c r="V283" s="568"/>
      <c r="W283" s="568"/>
      <c r="X283" s="567"/>
      <c r="Y283" s="522"/>
      <c r="Z283" s="573">
        <f>AVERAGE(Z284:Z287)</f>
        <v>0.4356417698402314</v>
      </c>
      <c r="AA283" s="412">
        <v>783.05000000000007</v>
      </c>
      <c r="AB283" s="560">
        <f t="shared" si="11"/>
        <v>197.32859999999997</v>
      </c>
      <c r="AC283" s="568"/>
      <c r="AD283" s="568"/>
      <c r="AE283" s="567"/>
      <c r="AF283" s="522"/>
      <c r="AG283" s="573">
        <f>AVERAGE(AG284:AG287)</f>
        <v>0.29475225911042302</v>
      </c>
    </row>
    <row r="284" spans="2:33" x14ac:dyDescent="0.25">
      <c r="B284" s="231">
        <v>33</v>
      </c>
      <c r="C284" s="515">
        <v>1</v>
      </c>
      <c r="D284" s="516" t="s">
        <v>298</v>
      </c>
      <c r="E284" s="517" t="s">
        <v>131</v>
      </c>
      <c r="F284" s="517" t="s">
        <v>116</v>
      </c>
      <c r="G284" s="518">
        <v>2</v>
      </c>
      <c r="H284" s="517" t="s">
        <v>663</v>
      </c>
      <c r="I284" s="517" t="s">
        <v>681</v>
      </c>
      <c r="J284" s="517" t="s">
        <v>709</v>
      </c>
      <c r="K284" s="519" t="s">
        <v>665</v>
      </c>
      <c r="L284" s="517" t="s">
        <v>122</v>
      </c>
      <c r="M284" s="519" t="s">
        <v>264</v>
      </c>
      <c r="N284" s="520">
        <v>98</v>
      </c>
      <c r="O284" s="520">
        <v>96</v>
      </c>
      <c r="P284" s="197" t="s">
        <v>287</v>
      </c>
      <c r="Q284" s="178" t="s">
        <v>284</v>
      </c>
      <c r="R284" s="176" t="s">
        <v>190</v>
      </c>
      <c r="S284" s="179" t="s">
        <v>289</v>
      </c>
      <c r="T284" s="411">
        <v>238.55</v>
      </c>
      <c r="U284" s="560">
        <f t="shared" si="10"/>
        <v>60.114599999999989</v>
      </c>
      <c r="V284" s="568">
        <v>3127.68</v>
      </c>
      <c r="W284" s="567">
        <v>156.38399999999999</v>
      </c>
      <c r="X284" s="567">
        <v>31.276799999999998</v>
      </c>
      <c r="Y284" s="522">
        <v>125.10719999999999</v>
      </c>
      <c r="Z284" s="572">
        <f>(Y284-U284)/Y284</f>
        <v>0.51949528084714558</v>
      </c>
      <c r="AA284" s="412">
        <v>783.05000000000007</v>
      </c>
      <c r="AB284" s="560">
        <f t="shared" si="11"/>
        <v>197.32859999999997</v>
      </c>
      <c r="AC284" s="568">
        <v>6995.0099999999993</v>
      </c>
      <c r="AD284" s="567">
        <v>349.75049999999999</v>
      </c>
      <c r="AE284" s="567">
        <v>69.950100000000006</v>
      </c>
      <c r="AF284" s="522">
        <v>279.80039999999997</v>
      </c>
      <c r="AG284" s="572">
        <f>(AF284-AB284)/AF284</f>
        <v>0.29475225911042302</v>
      </c>
    </row>
    <row r="285" spans="2:33" x14ac:dyDescent="0.25">
      <c r="B285" s="231">
        <v>34</v>
      </c>
      <c r="C285" s="515">
        <v>1</v>
      </c>
      <c r="D285" s="516" t="s">
        <v>298</v>
      </c>
      <c r="E285" s="517" t="s">
        <v>131</v>
      </c>
      <c r="F285" s="517" t="s">
        <v>116</v>
      </c>
      <c r="G285" s="518">
        <v>2</v>
      </c>
      <c r="H285" s="517" t="s">
        <v>663</v>
      </c>
      <c r="I285" s="517" t="s">
        <v>685</v>
      </c>
      <c r="J285" s="517" t="s">
        <v>709</v>
      </c>
      <c r="K285" s="519" t="s">
        <v>665</v>
      </c>
      <c r="L285" s="517" t="s">
        <v>122</v>
      </c>
      <c r="M285" s="519" t="s">
        <v>264</v>
      </c>
      <c r="N285" s="520">
        <v>98</v>
      </c>
      <c r="O285" s="520">
        <v>96</v>
      </c>
      <c r="P285" s="197" t="s">
        <v>287</v>
      </c>
      <c r="Q285" s="178" t="s">
        <v>284</v>
      </c>
      <c r="R285" s="176" t="s">
        <v>190</v>
      </c>
      <c r="S285" s="179" t="s">
        <v>289</v>
      </c>
      <c r="T285" s="411">
        <v>284.40000000000003</v>
      </c>
      <c r="U285" s="560">
        <f t="shared" si="10"/>
        <v>71.668800000000005</v>
      </c>
      <c r="V285" s="568">
        <v>3459.22</v>
      </c>
      <c r="W285" s="567">
        <v>172.96099999999998</v>
      </c>
      <c r="X285" s="567">
        <v>34.592199999999998</v>
      </c>
      <c r="Y285" s="522">
        <v>138.36879999999999</v>
      </c>
      <c r="Z285" s="572">
        <f>(Y285-U285)/Y285</f>
        <v>0.48204508530824863</v>
      </c>
      <c r="AA285" s="412">
        <v>783.05000000000007</v>
      </c>
      <c r="AB285" s="560">
        <f t="shared" si="11"/>
        <v>197.32859999999997</v>
      </c>
      <c r="AC285" s="568">
        <v>6995.0099999999993</v>
      </c>
      <c r="AD285" s="567">
        <v>349.75049999999999</v>
      </c>
      <c r="AE285" s="567">
        <v>69.950100000000006</v>
      </c>
      <c r="AF285" s="522">
        <v>279.80039999999997</v>
      </c>
      <c r="AG285" s="572">
        <f>(AF285-AB285)/AF285</f>
        <v>0.29475225911042302</v>
      </c>
    </row>
    <row r="286" spans="2:33" x14ac:dyDescent="0.25">
      <c r="B286" s="231">
        <v>35</v>
      </c>
      <c r="C286" s="515">
        <v>1</v>
      </c>
      <c r="D286" s="516" t="s">
        <v>298</v>
      </c>
      <c r="E286" s="517" t="s">
        <v>131</v>
      </c>
      <c r="F286" s="517" t="s">
        <v>116</v>
      </c>
      <c r="G286" s="518">
        <v>2</v>
      </c>
      <c r="H286" s="517" t="s">
        <v>663</v>
      </c>
      <c r="I286" s="517" t="s">
        <v>687</v>
      </c>
      <c r="J286" s="517" t="s">
        <v>709</v>
      </c>
      <c r="K286" s="519" t="s">
        <v>665</v>
      </c>
      <c r="L286" s="517" t="s">
        <v>122</v>
      </c>
      <c r="M286" s="519" t="s">
        <v>264</v>
      </c>
      <c r="N286" s="520">
        <v>98</v>
      </c>
      <c r="O286" s="520">
        <v>96</v>
      </c>
      <c r="P286" s="197" t="s">
        <v>287</v>
      </c>
      <c r="Q286" s="178" t="s">
        <v>284</v>
      </c>
      <c r="R286" s="176" t="s">
        <v>190</v>
      </c>
      <c r="S286" s="179" t="s">
        <v>289</v>
      </c>
      <c r="T286" s="411">
        <v>339.3</v>
      </c>
      <c r="U286" s="560">
        <f t="shared" si="10"/>
        <v>85.503599999999992</v>
      </c>
      <c r="V286" s="568">
        <v>3456.49</v>
      </c>
      <c r="W286" s="567">
        <v>172.8245</v>
      </c>
      <c r="X286" s="567">
        <v>34.564900000000002</v>
      </c>
      <c r="Y286" s="522">
        <v>138.25960000000001</v>
      </c>
      <c r="Z286" s="572">
        <f>(Y286-U286)/Y286</f>
        <v>0.3815720572025379</v>
      </c>
      <c r="AA286" s="412">
        <v>783.05000000000007</v>
      </c>
      <c r="AB286" s="560">
        <f t="shared" si="11"/>
        <v>197.32859999999997</v>
      </c>
      <c r="AC286" s="568">
        <v>6995.0099999999993</v>
      </c>
      <c r="AD286" s="567">
        <v>349.75049999999999</v>
      </c>
      <c r="AE286" s="567">
        <v>69.950100000000006</v>
      </c>
      <c r="AF286" s="522">
        <v>279.80039999999997</v>
      </c>
      <c r="AG286" s="572">
        <f>(AF286-AB286)/AF286</f>
        <v>0.29475225911042302</v>
      </c>
    </row>
    <row r="287" spans="2:33" x14ac:dyDescent="0.25">
      <c r="B287" s="231">
        <v>36</v>
      </c>
      <c r="C287" s="515">
        <v>1</v>
      </c>
      <c r="D287" s="516" t="s">
        <v>298</v>
      </c>
      <c r="E287" s="517" t="s">
        <v>131</v>
      </c>
      <c r="F287" s="517" t="s">
        <v>116</v>
      </c>
      <c r="G287" s="518">
        <v>2</v>
      </c>
      <c r="H287" s="517" t="s">
        <v>663</v>
      </c>
      <c r="I287" s="517" t="s">
        <v>689</v>
      </c>
      <c r="J287" s="517" t="s">
        <v>709</v>
      </c>
      <c r="K287" s="519" t="s">
        <v>665</v>
      </c>
      <c r="L287" s="517" t="s">
        <v>122</v>
      </c>
      <c r="M287" s="519" t="s">
        <v>264</v>
      </c>
      <c r="N287" s="520">
        <v>98</v>
      </c>
      <c r="O287" s="520">
        <v>96</v>
      </c>
      <c r="P287" s="197" t="s">
        <v>287</v>
      </c>
      <c r="Q287" s="178" t="s">
        <v>284</v>
      </c>
      <c r="R287" s="176" t="s">
        <v>190</v>
      </c>
      <c r="S287" s="179" t="s">
        <v>289</v>
      </c>
      <c r="T287" s="411">
        <v>391.3</v>
      </c>
      <c r="U287" s="560">
        <f t="shared" si="10"/>
        <v>98.607599999999977</v>
      </c>
      <c r="V287" s="568">
        <v>3848.58</v>
      </c>
      <c r="W287" s="567">
        <v>192.429</v>
      </c>
      <c r="X287" s="567">
        <v>38.485800000000005</v>
      </c>
      <c r="Y287" s="522">
        <v>153.94319999999999</v>
      </c>
      <c r="Z287" s="572">
        <f>(Y287-U287)/Y287</f>
        <v>0.35945465600299342</v>
      </c>
      <c r="AA287" s="412">
        <v>783.05000000000007</v>
      </c>
      <c r="AB287" s="560">
        <f t="shared" si="11"/>
        <v>197.32859999999997</v>
      </c>
      <c r="AC287" s="568">
        <v>6995.0099999999993</v>
      </c>
      <c r="AD287" s="567">
        <v>349.75049999999999</v>
      </c>
      <c r="AE287" s="567">
        <v>69.950100000000006</v>
      </c>
      <c r="AF287" s="522">
        <v>279.80039999999997</v>
      </c>
      <c r="AG287" s="572">
        <f>(AF287-AB287)/AF287</f>
        <v>0.29475225911042302</v>
      </c>
    </row>
    <row r="288" spans="2:33" x14ac:dyDescent="0.25">
      <c r="B288" s="231">
        <v>37</v>
      </c>
      <c r="C288" s="553">
        <v>1</v>
      </c>
      <c r="D288" s="554" t="s">
        <v>298</v>
      </c>
      <c r="E288" s="555" t="s">
        <v>131</v>
      </c>
      <c r="F288" s="555" t="s">
        <v>116</v>
      </c>
      <c r="G288" s="556">
        <v>2</v>
      </c>
      <c r="H288" s="555" t="s">
        <v>187</v>
      </c>
      <c r="I288" s="555" t="s">
        <v>323</v>
      </c>
      <c r="J288" s="555" t="s">
        <v>709</v>
      </c>
      <c r="K288" s="557" t="s">
        <v>665</v>
      </c>
      <c r="L288" s="555" t="s">
        <v>122</v>
      </c>
      <c r="M288" s="557" t="s">
        <v>264</v>
      </c>
      <c r="N288" s="558">
        <v>124</v>
      </c>
      <c r="O288" s="558">
        <v>96</v>
      </c>
      <c r="P288" s="197" t="s">
        <v>287</v>
      </c>
      <c r="Q288" s="178" t="s">
        <v>284</v>
      </c>
      <c r="R288" s="176" t="s">
        <v>190</v>
      </c>
      <c r="S288" s="179" t="s">
        <v>289</v>
      </c>
      <c r="T288" s="411">
        <v>199.5</v>
      </c>
      <c r="U288" s="560">
        <f t="shared" si="10"/>
        <v>50.273999999999987</v>
      </c>
      <c r="V288" s="568"/>
      <c r="W288" s="568"/>
      <c r="X288" s="567"/>
      <c r="Y288" s="522"/>
      <c r="Z288" s="522"/>
      <c r="AA288" s="412">
        <v>989</v>
      </c>
      <c r="AB288" s="560">
        <f t="shared" si="11"/>
        <v>249.22799999999995</v>
      </c>
      <c r="AC288" s="568"/>
      <c r="AD288" s="568"/>
      <c r="AE288" s="567"/>
      <c r="AF288" s="522"/>
      <c r="AG288" s="522"/>
    </row>
    <row r="289" spans="2:33" x14ac:dyDescent="0.25">
      <c r="B289" s="231">
        <v>38</v>
      </c>
      <c r="C289" s="509">
        <v>1</v>
      </c>
      <c r="D289" s="510" t="s">
        <v>298</v>
      </c>
      <c r="E289" s="511" t="s">
        <v>131</v>
      </c>
      <c r="F289" s="511" t="s">
        <v>116</v>
      </c>
      <c r="G289" s="512">
        <v>2</v>
      </c>
      <c r="H289" s="511" t="s">
        <v>691</v>
      </c>
      <c r="I289" s="511" t="s">
        <v>323</v>
      </c>
      <c r="J289" s="511" t="s">
        <v>709</v>
      </c>
      <c r="K289" s="513" t="s">
        <v>665</v>
      </c>
      <c r="L289" s="511" t="s">
        <v>122</v>
      </c>
      <c r="M289" s="513" t="s">
        <v>264</v>
      </c>
      <c r="N289" s="514">
        <v>124</v>
      </c>
      <c r="O289" s="514">
        <v>96</v>
      </c>
      <c r="P289" s="197" t="s">
        <v>287</v>
      </c>
      <c r="Q289" s="178" t="s">
        <v>284</v>
      </c>
      <c r="R289" s="176" t="s">
        <v>190</v>
      </c>
      <c r="S289" s="179" t="s">
        <v>289</v>
      </c>
      <c r="T289" s="411">
        <v>356.70000000000005</v>
      </c>
      <c r="U289" s="560">
        <f t="shared" si="10"/>
        <v>89.888400000000004</v>
      </c>
      <c r="V289" s="568"/>
      <c r="W289" s="568"/>
      <c r="X289" s="567"/>
      <c r="Y289" s="522"/>
      <c r="Z289" s="573">
        <f>AVERAGE(Z290:Z293)</f>
        <v>0.4200433366337909</v>
      </c>
      <c r="AA289" s="412">
        <v>989</v>
      </c>
      <c r="AB289" s="560">
        <f t="shared" si="11"/>
        <v>249.22799999999995</v>
      </c>
      <c r="AC289" s="568"/>
      <c r="AD289" s="568"/>
      <c r="AE289" s="567"/>
      <c r="AF289" s="522"/>
      <c r="AG289" s="573">
        <f>AVERAGE(AG290:AG293)</f>
        <v>0.15117936030908333</v>
      </c>
    </row>
    <row r="290" spans="2:33" x14ac:dyDescent="0.25">
      <c r="B290" s="231">
        <v>39</v>
      </c>
      <c r="C290" s="515">
        <v>1</v>
      </c>
      <c r="D290" s="516" t="s">
        <v>298</v>
      </c>
      <c r="E290" s="517" t="s">
        <v>131</v>
      </c>
      <c r="F290" s="517" t="s">
        <v>116</v>
      </c>
      <c r="G290" s="518">
        <v>2</v>
      </c>
      <c r="H290" s="517" t="s">
        <v>663</v>
      </c>
      <c r="I290" s="517" t="s">
        <v>681</v>
      </c>
      <c r="J290" s="517" t="s">
        <v>709</v>
      </c>
      <c r="K290" s="519" t="s">
        <v>665</v>
      </c>
      <c r="L290" s="517" t="s">
        <v>122</v>
      </c>
      <c r="M290" s="519" t="s">
        <v>264</v>
      </c>
      <c r="N290" s="520">
        <v>124</v>
      </c>
      <c r="O290" s="520">
        <v>96</v>
      </c>
      <c r="P290" s="197" t="s">
        <v>287</v>
      </c>
      <c r="Q290" s="178" t="s">
        <v>284</v>
      </c>
      <c r="R290" s="176" t="s">
        <v>190</v>
      </c>
      <c r="S290" s="179" t="s">
        <v>289</v>
      </c>
      <c r="T290" s="411">
        <v>294.7</v>
      </c>
      <c r="U290" s="560">
        <f t="shared" si="10"/>
        <v>74.264399999999995</v>
      </c>
      <c r="V290" s="568">
        <v>3757.32</v>
      </c>
      <c r="W290" s="567">
        <v>187.86600000000001</v>
      </c>
      <c r="X290" s="567">
        <v>37.573200000000007</v>
      </c>
      <c r="Y290" s="522">
        <v>150.2928</v>
      </c>
      <c r="Z290" s="572">
        <f>(Y290-U290)/Y290</f>
        <v>0.505868544600939</v>
      </c>
      <c r="AA290" s="412">
        <v>989</v>
      </c>
      <c r="AB290" s="560">
        <f t="shared" si="11"/>
        <v>249.22799999999995</v>
      </c>
      <c r="AC290" s="568">
        <v>7340.42</v>
      </c>
      <c r="AD290" s="567">
        <v>367.02100000000002</v>
      </c>
      <c r="AE290" s="567">
        <v>73.404200000000003</v>
      </c>
      <c r="AF290" s="522">
        <v>293.61680000000001</v>
      </c>
      <c r="AG290" s="572">
        <f>(AF290-AB290)/AF290</f>
        <v>0.15117936030908333</v>
      </c>
    </row>
    <row r="291" spans="2:33" x14ac:dyDescent="0.25">
      <c r="B291" s="231">
        <v>40</v>
      </c>
      <c r="C291" s="515">
        <v>1</v>
      </c>
      <c r="D291" s="516" t="s">
        <v>298</v>
      </c>
      <c r="E291" s="517" t="s">
        <v>131</v>
      </c>
      <c r="F291" s="517" t="s">
        <v>116</v>
      </c>
      <c r="G291" s="518">
        <v>2</v>
      </c>
      <c r="H291" s="517" t="s">
        <v>663</v>
      </c>
      <c r="I291" s="517" t="s">
        <v>685</v>
      </c>
      <c r="J291" s="517" t="s">
        <v>709</v>
      </c>
      <c r="K291" s="519" t="s">
        <v>665</v>
      </c>
      <c r="L291" s="517" t="s">
        <v>122</v>
      </c>
      <c r="M291" s="519" t="s">
        <v>264</v>
      </c>
      <c r="N291" s="520">
        <v>124</v>
      </c>
      <c r="O291" s="520">
        <v>96</v>
      </c>
      <c r="P291" s="197" t="s">
        <v>287</v>
      </c>
      <c r="Q291" s="178" t="s">
        <v>284</v>
      </c>
      <c r="R291" s="176" t="s">
        <v>190</v>
      </c>
      <c r="S291" s="179" t="s">
        <v>289</v>
      </c>
      <c r="T291" s="411">
        <v>351.1</v>
      </c>
      <c r="U291" s="560">
        <f t="shared" si="10"/>
        <v>88.477199999999996</v>
      </c>
      <c r="V291" s="568">
        <v>4154.6099999999997</v>
      </c>
      <c r="W291" s="567">
        <v>207.73049999999998</v>
      </c>
      <c r="X291" s="567">
        <v>41.546099999999996</v>
      </c>
      <c r="Y291" s="522">
        <v>166.18439999999998</v>
      </c>
      <c r="Z291" s="572">
        <f>(Y291-U291)/Y291</f>
        <v>0.4675962364698491</v>
      </c>
      <c r="AA291" s="412">
        <v>989</v>
      </c>
      <c r="AB291" s="560">
        <f t="shared" si="11"/>
        <v>249.22799999999995</v>
      </c>
      <c r="AC291" s="568">
        <v>7340.42</v>
      </c>
      <c r="AD291" s="567">
        <v>367.02100000000002</v>
      </c>
      <c r="AE291" s="567">
        <v>73.404200000000003</v>
      </c>
      <c r="AF291" s="522">
        <v>293.61680000000001</v>
      </c>
      <c r="AG291" s="572">
        <f>(AF291-AB291)/AF291</f>
        <v>0.15117936030908333</v>
      </c>
    </row>
    <row r="292" spans="2:33" x14ac:dyDescent="0.25">
      <c r="B292" s="231">
        <v>41</v>
      </c>
      <c r="C292" s="515">
        <v>1</v>
      </c>
      <c r="D292" s="516" t="s">
        <v>298</v>
      </c>
      <c r="E292" s="517" t="s">
        <v>131</v>
      </c>
      <c r="F292" s="517" t="s">
        <v>116</v>
      </c>
      <c r="G292" s="518">
        <v>2</v>
      </c>
      <c r="H292" s="517" t="s">
        <v>663</v>
      </c>
      <c r="I292" s="517" t="s">
        <v>687</v>
      </c>
      <c r="J292" s="517" t="s">
        <v>709</v>
      </c>
      <c r="K292" s="519" t="s">
        <v>665</v>
      </c>
      <c r="L292" s="517" t="s">
        <v>122</v>
      </c>
      <c r="M292" s="519" t="s">
        <v>264</v>
      </c>
      <c r="N292" s="520">
        <v>124</v>
      </c>
      <c r="O292" s="520">
        <v>96</v>
      </c>
      <c r="P292" s="197" t="s">
        <v>287</v>
      </c>
      <c r="Q292" s="178" t="s">
        <v>284</v>
      </c>
      <c r="R292" s="176" t="s">
        <v>190</v>
      </c>
      <c r="S292" s="179" t="s">
        <v>289</v>
      </c>
      <c r="T292" s="411">
        <v>418.70000000000005</v>
      </c>
      <c r="U292" s="560">
        <f t="shared" si="10"/>
        <v>105.5124</v>
      </c>
      <c r="V292" s="568">
        <v>4151.88</v>
      </c>
      <c r="W292" s="567">
        <v>207.59399999999999</v>
      </c>
      <c r="X292" s="567">
        <v>41.518799999999999</v>
      </c>
      <c r="Y292" s="522">
        <v>166.0752</v>
      </c>
      <c r="Z292" s="572">
        <f>(Y292-U292)/Y292</f>
        <v>0.36467094424694352</v>
      </c>
      <c r="AA292" s="412">
        <v>989</v>
      </c>
      <c r="AB292" s="560">
        <f t="shared" si="11"/>
        <v>249.22799999999995</v>
      </c>
      <c r="AC292" s="568">
        <v>7340.42</v>
      </c>
      <c r="AD292" s="567">
        <v>367.02100000000002</v>
      </c>
      <c r="AE292" s="567">
        <v>73.404200000000003</v>
      </c>
      <c r="AF292" s="522">
        <v>293.61680000000001</v>
      </c>
      <c r="AG292" s="572">
        <f>(AF292-AB292)/AF292</f>
        <v>0.15117936030908333</v>
      </c>
    </row>
    <row r="293" spans="2:33" x14ac:dyDescent="0.25">
      <c r="B293" s="231">
        <v>42</v>
      </c>
      <c r="C293" s="515">
        <v>1</v>
      </c>
      <c r="D293" s="516" t="s">
        <v>298</v>
      </c>
      <c r="E293" s="517" t="s">
        <v>131</v>
      </c>
      <c r="F293" s="517" t="s">
        <v>116</v>
      </c>
      <c r="G293" s="518">
        <v>2</v>
      </c>
      <c r="H293" s="517" t="s">
        <v>663</v>
      </c>
      <c r="I293" s="517" t="s">
        <v>689</v>
      </c>
      <c r="J293" s="517" t="s">
        <v>709</v>
      </c>
      <c r="K293" s="519" t="s">
        <v>665</v>
      </c>
      <c r="L293" s="517" t="s">
        <v>122</v>
      </c>
      <c r="M293" s="519" t="s">
        <v>264</v>
      </c>
      <c r="N293" s="520">
        <v>124</v>
      </c>
      <c r="O293" s="520">
        <v>96</v>
      </c>
      <c r="P293" s="197" t="s">
        <v>287</v>
      </c>
      <c r="Q293" s="178" t="s">
        <v>284</v>
      </c>
      <c r="R293" s="176" t="s">
        <v>190</v>
      </c>
      <c r="S293" s="179" t="s">
        <v>289</v>
      </c>
      <c r="T293" s="411">
        <v>482.70000000000005</v>
      </c>
      <c r="U293" s="560">
        <f t="shared" si="10"/>
        <v>121.64039999999999</v>
      </c>
      <c r="V293" s="568">
        <v>4621.8599999999997</v>
      </c>
      <c r="W293" s="567">
        <v>231.09299999999999</v>
      </c>
      <c r="X293" s="567">
        <v>46.218600000000002</v>
      </c>
      <c r="Y293" s="522">
        <v>184.87439999999998</v>
      </c>
      <c r="Z293" s="572">
        <f>(Y293-U293)/Y293</f>
        <v>0.34203762121743198</v>
      </c>
      <c r="AA293" s="412">
        <v>989</v>
      </c>
      <c r="AB293" s="560">
        <f t="shared" si="11"/>
        <v>249.22799999999995</v>
      </c>
      <c r="AC293" s="568">
        <v>7340.42</v>
      </c>
      <c r="AD293" s="567">
        <v>367.02100000000002</v>
      </c>
      <c r="AE293" s="567">
        <v>73.404200000000003</v>
      </c>
      <c r="AF293" s="522">
        <v>293.61680000000001</v>
      </c>
      <c r="AG293" s="572">
        <f>(AF293-AB293)/AF293</f>
        <v>0.15117936030908333</v>
      </c>
    </row>
    <row r="294" spans="2:33" x14ac:dyDescent="0.25">
      <c r="B294" s="231">
        <v>43</v>
      </c>
      <c r="C294" s="553">
        <v>1</v>
      </c>
      <c r="D294" s="554" t="s">
        <v>298</v>
      </c>
      <c r="E294" s="555" t="s">
        <v>131</v>
      </c>
      <c r="F294" s="555" t="s">
        <v>116</v>
      </c>
      <c r="G294" s="556">
        <v>2</v>
      </c>
      <c r="H294" s="555" t="s">
        <v>187</v>
      </c>
      <c r="I294" s="555" t="s">
        <v>323</v>
      </c>
      <c r="J294" s="555" t="s">
        <v>709</v>
      </c>
      <c r="K294" s="557" t="s">
        <v>665</v>
      </c>
      <c r="L294" s="555" t="s">
        <v>122</v>
      </c>
      <c r="M294" s="557" t="s">
        <v>264</v>
      </c>
      <c r="N294" s="558">
        <v>150</v>
      </c>
      <c r="O294" s="558">
        <v>96</v>
      </c>
      <c r="P294" s="197" t="s">
        <v>287</v>
      </c>
      <c r="Q294" s="178" t="s">
        <v>284</v>
      </c>
      <c r="R294" s="176" t="s">
        <v>190</v>
      </c>
      <c r="S294" s="179" t="s">
        <v>289</v>
      </c>
      <c r="T294" s="411">
        <v>241.8</v>
      </c>
      <c r="U294" s="560">
        <f t="shared" si="10"/>
        <v>60.933599999999998</v>
      </c>
      <c r="V294" s="568"/>
      <c r="W294" s="568"/>
      <c r="X294" s="567"/>
      <c r="Y294" s="522"/>
      <c r="Z294" s="522"/>
      <c r="AA294" s="412">
        <v>1194.95</v>
      </c>
      <c r="AB294" s="560">
        <f t="shared" si="11"/>
        <v>301.12740000000002</v>
      </c>
      <c r="AC294" s="568"/>
      <c r="AD294" s="568"/>
      <c r="AE294" s="567"/>
      <c r="AF294" s="522"/>
      <c r="AG294" s="522"/>
    </row>
    <row r="295" spans="2:33" x14ac:dyDescent="0.25">
      <c r="B295" s="231">
        <v>44</v>
      </c>
      <c r="C295" s="509">
        <v>1</v>
      </c>
      <c r="D295" s="510" t="s">
        <v>298</v>
      </c>
      <c r="E295" s="511" t="s">
        <v>131</v>
      </c>
      <c r="F295" s="511" t="s">
        <v>116</v>
      </c>
      <c r="G295" s="512">
        <v>2</v>
      </c>
      <c r="H295" s="511" t="s">
        <v>691</v>
      </c>
      <c r="I295" s="511" t="s">
        <v>323</v>
      </c>
      <c r="J295" s="511" t="s">
        <v>709</v>
      </c>
      <c r="K295" s="513" t="s">
        <v>665</v>
      </c>
      <c r="L295" s="511" t="s">
        <v>122</v>
      </c>
      <c r="M295" s="513" t="s">
        <v>264</v>
      </c>
      <c r="N295" s="514">
        <v>150</v>
      </c>
      <c r="O295" s="514">
        <v>96</v>
      </c>
      <c r="P295" s="197" t="s">
        <v>287</v>
      </c>
      <c r="Q295" s="178" t="s">
        <v>284</v>
      </c>
      <c r="R295" s="176" t="s">
        <v>190</v>
      </c>
      <c r="S295" s="179" t="s">
        <v>289</v>
      </c>
      <c r="T295" s="411">
        <v>433.40000000000003</v>
      </c>
      <c r="U295" s="560">
        <f t="shared" si="10"/>
        <v>109.21679999999999</v>
      </c>
      <c r="V295" s="568"/>
      <c r="W295" s="568"/>
      <c r="X295" s="567"/>
      <c r="Y295" s="522"/>
      <c r="Z295" s="573">
        <f>AVERAGE(Z296:Z299)</f>
        <v>0.42394968512632569</v>
      </c>
      <c r="AA295" s="412">
        <v>1194.95</v>
      </c>
      <c r="AB295" s="560">
        <f t="shared" si="11"/>
        <v>301.12740000000002</v>
      </c>
      <c r="AC295" s="568"/>
      <c r="AD295" s="568"/>
      <c r="AE295" s="567"/>
      <c r="AF295" s="522"/>
      <c r="AG295" s="573">
        <f>AVERAGE(AG296:AG299)</f>
        <v>3.1539169084114145E-2</v>
      </c>
    </row>
    <row r="296" spans="2:33" x14ac:dyDescent="0.25">
      <c r="B296" s="231">
        <v>45</v>
      </c>
      <c r="C296" s="515">
        <v>1</v>
      </c>
      <c r="D296" s="516" t="s">
        <v>298</v>
      </c>
      <c r="E296" s="517" t="s">
        <v>131</v>
      </c>
      <c r="F296" s="517" t="s">
        <v>116</v>
      </c>
      <c r="G296" s="518">
        <v>2</v>
      </c>
      <c r="H296" s="517" t="s">
        <v>663</v>
      </c>
      <c r="I296" s="517" t="s">
        <v>681</v>
      </c>
      <c r="J296" s="517" t="s">
        <v>709</v>
      </c>
      <c r="K296" s="519" t="s">
        <v>665</v>
      </c>
      <c r="L296" s="517" t="s">
        <v>122</v>
      </c>
      <c r="M296" s="519" t="s">
        <v>264</v>
      </c>
      <c r="N296" s="520">
        <v>150</v>
      </c>
      <c r="O296" s="520">
        <v>96</v>
      </c>
      <c r="P296" s="197" t="s">
        <v>287</v>
      </c>
      <c r="Q296" s="178" t="s">
        <v>284</v>
      </c>
      <c r="R296" s="176" t="s">
        <v>190</v>
      </c>
      <c r="S296" s="179" t="s">
        <v>289</v>
      </c>
      <c r="T296" s="411">
        <v>357.85</v>
      </c>
      <c r="U296" s="560">
        <f t="shared" si="10"/>
        <v>90.17819999999999</v>
      </c>
      <c r="V296" s="568">
        <v>4597.5600000000004</v>
      </c>
      <c r="W296" s="567">
        <v>229.87800000000001</v>
      </c>
      <c r="X296" s="567">
        <v>45.975600000000007</v>
      </c>
      <c r="Y296" s="522">
        <v>183.9024</v>
      </c>
      <c r="Z296" s="572">
        <f>(Y296-U296)/Y296</f>
        <v>0.50964098347819287</v>
      </c>
      <c r="AA296" s="412">
        <v>1194.95</v>
      </c>
      <c r="AB296" s="560">
        <f t="shared" si="11"/>
        <v>301.12740000000002</v>
      </c>
      <c r="AC296" s="568">
        <v>7773.3499999999995</v>
      </c>
      <c r="AD296" s="567">
        <v>388.66749999999996</v>
      </c>
      <c r="AE296" s="567">
        <v>77.733499999999992</v>
      </c>
      <c r="AF296" s="522">
        <v>310.93399999999997</v>
      </c>
      <c r="AG296" s="572">
        <f>(AF296-AB296)/AF296</f>
        <v>3.1539169084114145E-2</v>
      </c>
    </row>
    <row r="297" spans="2:33" x14ac:dyDescent="0.25">
      <c r="B297" s="231">
        <v>46</v>
      </c>
      <c r="C297" s="515">
        <v>1</v>
      </c>
      <c r="D297" s="516" t="s">
        <v>298</v>
      </c>
      <c r="E297" s="517" t="s">
        <v>131</v>
      </c>
      <c r="F297" s="517" t="s">
        <v>116</v>
      </c>
      <c r="G297" s="518">
        <v>2</v>
      </c>
      <c r="H297" s="517" t="s">
        <v>663</v>
      </c>
      <c r="I297" s="517" t="s">
        <v>685</v>
      </c>
      <c r="J297" s="517" t="s">
        <v>709</v>
      </c>
      <c r="K297" s="519" t="s">
        <v>665</v>
      </c>
      <c r="L297" s="517" t="s">
        <v>122</v>
      </c>
      <c r="M297" s="519" t="s">
        <v>264</v>
      </c>
      <c r="N297" s="520">
        <v>150</v>
      </c>
      <c r="O297" s="520">
        <v>96</v>
      </c>
      <c r="P297" s="197" t="s">
        <v>287</v>
      </c>
      <c r="Q297" s="178" t="s">
        <v>284</v>
      </c>
      <c r="R297" s="176" t="s">
        <v>190</v>
      </c>
      <c r="S297" s="179" t="s">
        <v>289</v>
      </c>
      <c r="T297" s="411">
        <v>426.6</v>
      </c>
      <c r="U297" s="560">
        <f t="shared" si="10"/>
        <v>107.50319999999999</v>
      </c>
      <c r="V297" s="568">
        <v>5083.62</v>
      </c>
      <c r="W297" s="567">
        <v>254.18099999999998</v>
      </c>
      <c r="X297" s="567">
        <v>50.836199999999998</v>
      </c>
      <c r="Y297" s="522">
        <v>203.34479999999999</v>
      </c>
      <c r="Z297" s="572">
        <f>(Y297-U297)/Y297</f>
        <v>0.47132555147709704</v>
      </c>
      <c r="AA297" s="412">
        <v>1194.95</v>
      </c>
      <c r="AB297" s="560">
        <f t="shared" si="11"/>
        <v>301.12740000000002</v>
      </c>
      <c r="AC297" s="568">
        <v>7773.3499999999995</v>
      </c>
      <c r="AD297" s="567">
        <v>388.66749999999996</v>
      </c>
      <c r="AE297" s="567">
        <v>77.733499999999992</v>
      </c>
      <c r="AF297" s="522">
        <v>310.93399999999997</v>
      </c>
      <c r="AG297" s="572">
        <f>(AF297-AB297)/AF297</f>
        <v>3.1539169084114145E-2</v>
      </c>
    </row>
    <row r="298" spans="2:33" x14ac:dyDescent="0.25">
      <c r="B298" s="231">
        <v>47</v>
      </c>
      <c r="C298" s="515">
        <v>1</v>
      </c>
      <c r="D298" s="516" t="s">
        <v>298</v>
      </c>
      <c r="E298" s="517" t="s">
        <v>131</v>
      </c>
      <c r="F298" s="517" t="s">
        <v>116</v>
      </c>
      <c r="G298" s="518">
        <v>2</v>
      </c>
      <c r="H298" s="517" t="s">
        <v>663</v>
      </c>
      <c r="I298" s="517" t="s">
        <v>687</v>
      </c>
      <c r="J298" s="517" t="s">
        <v>709</v>
      </c>
      <c r="K298" s="519" t="s">
        <v>665</v>
      </c>
      <c r="L298" s="517" t="s">
        <v>122</v>
      </c>
      <c r="M298" s="519" t="s">
        <v>264</v>
      </c>
      <c r="N298" s="520">
        <v>150</v>
      </c>
      <c r="O298" s="520">
        <v>96</v>
      </c>
      <c r="P298" s="197" t="s">
        <v>287</v>
      </c>
      <c r="Q298" s="178" t="s">
        <v>284</v>
      </c>
      <c r="R298" s="176" t="s">
        <v>190</v>
      </c>
      <c r="S298" s="179" t="s">
        <v>289</v>
      </c>
      <c r="T298" s="411">
        <v>508.95000000000005</v>
      </c>
      <c r="U298" s="560">
        <f t="shared" si="10"/>
        <v>128.25539999999998</v>
      </c>
      <c r="V298" s="568">
        <v>5079.53</v>
      </c>
      <c r="W298" s="567">
        <v>253.97649999999999</v>
      </c>
      <c r="X298" s="567">
        <v>50.795299999999997</v>
      </c>
      <c r="Y298" s="522">
        <v>203.18119999999999</v>
      </c>
      <c r="Z298" s="572">
        <f>(Y298-U298)/Y298</f>
        <v>0.36876344858677879</v>
      </c>
      <c r="AA298" s="412">
        <v>1194.95</v>
      </c>
      <c r="AB298" s="560">
        <f t="shared" si="11"/>
        <v>301.12740000000002</v>
      </c>
      <c r="AC298" s="568">
        <v>7773.3499999999995</v>
      </c>
      <c r="AD298" s="567">
        <v>388.66749999999996</v>
      </c>
      <c r="AE298" s="567">
        <v>77.733499999999992</v>
      </c>
      <c r="AF298" s="522">
        <v>310.93399999999997</v>
      </c>
      <c r="AG298" s="572">
        <f>(AF298-AB298)/AF298</f>
        <v>3.1539169084114145E-2</v>
      </c>
    </row>
    <row r="299" spans="2:33" x14ac:dyDescent="0.25">
      <c r="B299" s="231">
        <v>48</v>
      </c>
      <c r="C299" s="515">
        <v>1</v>
      </c>
      <c r="D299" s="516" t="s">
        <v>298</v>
      </c>
      <c r="E299" s="517" t="s">
        <v>131</v>
      </c>
      <c r="F299" s="517" t="s">
        <v>116</v>
      </c>
      <c r="G299" s="518">
        <v>2</v>
      </c>
      <c r="H299" s="517" t="s">
        <v>663</v>
      </c>
      <c r="I299" s="517" t="s">
        <v>689</v>
      </c>
      <c r="J299" s="517" t="s">
        <v>709</v>
      </c>
      <c r="K299" s="519" t="s">
        <v>665</v>
      </c>
      <c r="L299" s="517" t="s">
        <v>122</v>
      </c>
      <c r="M299" s="519" t="s">
        <v>264</v>
      </c>
      <c r="N299" s="520">
        <v>150</v>
      </c>
      <c r="O299" s="520">
        <v>96</v>
      </c>
      <c r="P299" s="197" t="s">
        <v>287</v>
      </c>
      <c r="Q299" s="178" t="s">
        <v>284</v>
      </c>
      <c r="R299" s="176" t="s">
        <v>190</v>
      </c>
      <c r="S299" s="179" t="s">
        <v>289</v>
      </c>
      <c r="T299" s="411">
        <v>586.95000000000005</v>
      </c>
      <c r="U299" s="560">
        <f t="shared" si="10"/>
        <v>147.91139999999999</v>
      </c>
      <c r="V299" s="568">
        <v>5654.7</v>
      </c>
      <c r="W299" s="567">
        <v>282.73500000000001</v>
      </c>
      <c r="X299" s="567">
        <v>56.547000000000004</v>
      </c>
      <c r="Y299" s="522">
        <v>226.18800000000002</v>
      </c>
      <c r="Z299" s="572">
        <f>(Y299-U299)/Y299</f>
        <v>0.34606875696323425</v>
      </c>
      <c r="AA299" s="412">
        <v>1194.95</v>
      </c>
      <c r="AB299" s="560">
        <f t="shared" si="11"/>
        <v>301.12740000000002</v>
      </c>
      <c r="AC299" s="568">
        <v>7773.3499999999995</v>
      </c>
      <c r="AD299" s="567">
        <v>388.66749999999996</v>
      </c>
      <c r="AE299" s="567">
        <v>77.733499999999992</v>
      </c>
      <c r="AF299" s="522">
        <v>310.93399999999997</v>
      </c>
      <c r="AG299" s="572">
        <f>(AF299-AB299)/AF299</f>
        <v>3.1539169084114145E-2</v>
      </c>
    </row>
  </sheetData>
  <mergeCells count="1">
    <mergeCell ref="P4:S4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E7C94292-7C86-4FDD-9607-C40FF3A67691}">
          <x14:formula1>
            <xm:f>'DROP LIST'!$K$7:$K$14</xm:f>
          </x14:formula1>
          <xm:sqref>G154:G201 G56:G103 G105:G152 G7:G54 G203:G250 G252:G299</xm:sqref>
        </x14:dataValidation>
        <x14:dataValidation type="list" allowBlank="1" showInputMessage="1" showErrorMessage="1" xr:uid="{A4C470A7-F213-4863-AC56-7653813D53BF}">
          <x14:formula1>
            <xm:f>'DROP LIST'!$B$7:$B$13</xm:f>
          </x14:formula1>
          <xm:sqref>D154:D201 D56:D103 D105:D152 D7:D54 D203:D250 D252:D299</xm:sqref>
        </x14:dataValidation>
        <x14:dataValidation type="list" allowBlank="1" showInputMessage="1" showErrorMessage="1" xr:uid="{FAD32793-1FB8-4B48-8DBD-169667C5A1AB}">
          <x14:formula1>
            <xm:f>'DROP LIST'!$H$7:$H$19</xm:f>
          </x14:formula1>
          <xm:sqref>F154:F201 F56:F103 F105:F152 F7:F54 F203:F250 F252:F299</xm:sqref>
        </x14:dataValidation>
        <x14:dataValidation type="list" allowBlank="1" showInputMessage="1" showErrorMessage="1" xr:uid="{3B370A15-BEBB-44B5-9CEF-2C297A472239}">
          <x14:formula1>
            <xm:f>'DROP LIST'!$E$7:$E$15</xm:f>
          </x14:formula1>
          <xm:sqref>E7:E54 E56:E103 E105:E152 E154:E201 E203:E250 E252:E299</xm:sqref>
        </x14:dataValidation>
        <x14:dataValidation type="list" allowBlank="1" showInputMessage="1" showErrorMessage="1" xr:uid="{9964C29D-9439-4D60-880A-4E2D795323EF}">
          <x14:formula1>
            <xm:f>'DROP LIST'!$M$7:$M$10</xm:f>
          </x14:formula1>
          <xm:sqref>H154:H201 H56:H103 H105:H152 H7:H54 H203:H250 H252:H299</xm:sqref>
        </x14:dataValidation>
        <x14:dataValidation type="list" allowBlank="1" showInputMessage="1" showErrorMessage="1" xr:uid="{A5A163DE-BCF2-444D-92DF-3AD7AC2C06ED}">
          <x14:formula1>
            <xm:f>'DROP LIST'!$B$25:$B$31</xm:f>
          </x14:formula1>
          <xm:sqref>L154:L201 L56:L103 L105:L152 L7:L54 L203:L250 L252:L299</xm:sqref>
        </x14:dataValidation>
        <x14:dataValidation type="list" allowBlank="1" showInputMessage="1" showErrorMessage="1" xr:uid="{1E217E28-9E27-4F66-BAD9-EBC58F2ADFE9}">
          <x14:formula1>
            <xm:f>'DROP LIST'!$E$25:$E$27</xm:f>
          </x14:formula1>
          <xm:sqref>P154:P201 P56:P103 P105:P152 P7:P54 P203:P250 P252:P299</xm:sqref>
        </x14:dataValidation>
        <x14:dataValidation type="list" allowBlank="1" showInputMessage="1" showErrorMessage="1" xr:uid="{B8883C4F-0977-4B01-B6DD-2A8213C6AC30}">
          <x14:formula1>
            <xm:f>'DROP LIST'!$M$15:$M$35</xm:f>
          </x14:formula1>
          <xm:sqref>I154:I201 I56:I103 I105:I152 I7:I54 I203:I250 I252:I299</xm:sqref>
        </x14:dataValidation>
        <x14:dataValidation type="list" allowBlank="1" showInputMessage="1" showErrorMessage="1" xr:uid="{6E071573-33B2-4AFC-A108-5D6F683BAA0C}">
          <x14:formula1>
            <xm:f>'DROP LIST'!$H$43:$H$46</xm:f>
          </x14:formula1>
          <xm:sqref>S154:S201 S252:S299 S203:S250 S7:S54 S105:S152 S56:S103</xm:sqref>
        </x14:dataValidation>
        <x14:dataValidation type="list" allowBlank="1" showInputMessage="1" showErrorMessage="1" xr:uid="{E71C3A26-7126-43E0-8837-6A559657E1A2}">
          <x14:formula1>
            <xm:f>'DROP LIST'!$H$25:$H$36</xm:f>
          </x14:formula1>
          <xm:sqref>Q7:Q54 Q56:Q103 Q105:Q152 Q154:Q201 Q203:Q250 Q252:Q299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7CB8E-77B1-44B6-B03A-0F077358C572}">
  <sheetPr codeName="Sheet10">
    <tabColor rgb="FFFFCCFF"/>
  </sheetPr>
  <dimension ref="B1:BX105"/>
  <sheetViews>
    <sheetView topLeftCell="A24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623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564"/>
      <c r="U11" s="224"/>
      <c r="V11" s="564"/>
      <c r="W11" s="569">
        <f>AI4</f>
        <v>20</v>
      </c>
      <c r="X11" s="563">
        <v>0.2</v>
      </c>
      <c r="Y11" s="563"/>
      <c r="Z11" s="563"/>
      <c r="AA11" s="56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 t="s">
        <v>700</v>
      </c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 t="s">
        <v>700</v>
      </c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RIPP-STD HW '!$S$4="INGLES","ITEM","ART.")</f>
        <v>ART.</v>
      </c>
      <c r="C14" s="182" t="str">
        <f>IF('CALC - RIPP-STD HW '!$S$4="INGLES","QTY.","CANT.")</f>
        <v>CANT.</v>
      </c>
      <c r="D14" s="182" t="str">
        <f>IF('CALC - RIPP-STD HW '!$S$4="INGLES","DRAW DIRECTION","DIRECCION DE CORTINA")</f>
        <v>DIRECCION DE CORTINA</v>
      </c>
      <c r="E14" s="182" t="str">
        <f>IF('CALC - RIPP-STD HW '!$S$4="INGLES","DRAPERY STYLE","ESTILO DE CORTINA")</f>
        <v>ESTILO DE CORTINA</v>
      </c>
      <c r="F14" s="182" t="str">
        <f>IF('CALC - RIPP-STD HW '!$S$4="INGLES","DRAPERY TYPE","TIPO DE CORTINA")</f>
        <v>TIPO DE CORTINA</v>
      </c>
      <c r="G14" s="182" t="str">
        <f>IF('CALC - RIPP-STD HW '!$S$4="INGLES","FULLNESS","AMPLITUD")</f>
        <v>AMPLITUD</v>
      </c>
      <c r="H14" s="198" t="str">
        <f>IF('CALC - RIPP-STD HW '!$S$4="INGLES","'STOCK','LINE' or 'C.O.M.'  FABRICS","TELAS 'EN EXISTENCIA', 'POR ORDENAR' ó 'DEL CLIENTE'")</f>
        <v>TELAS 'EN EXISTENCIA', 'POR ORDENAR' ó 'DEL CLIENTE'</v>
      </c>
      <c r="I14" s="182" t="str">
        <f>IF('CALC - RIPP-STD HW '!$S$4="INGLES","FABRIC TYPE","TIPO DE TELA")</f>
        <v>TIPO DE TELA</v>
      </c>
      <c r="J14" s="182" t="str">
        <f>IF('CALC - RIPP-STD HW '!$S$4="INGLES","FABRIC YARDAGE PER QTY. REQUIRED","YARDAGE SEGUN CANTIDAD REQUERIDA")</f>
        <v>YARDAGE SEGUN CANTIDAD REQUERIDA</v>
      </c>
      <c r="K14" s="182" t="str">
        <f>IF('CALC - RIPP-STD HW '!$S$4="INGLES","FABRIC PATTERN AND COLOR NAME","NOMBRE y COLOR DE TELA")</f>
        <v>NOMBRE y COLOR DE TELA</v>
      </c>
      <c r="L14" s="182" t="str">
        <f>IF('CALC - RIPP-STD HW '!$S$4="INGLES","LINING TYPE","TIPO DE LINING")</f>
        <v>TIPO DE LINING</v>
      </c>
      <c r="M14" s="182" t="str">
        <f>IF('CALC - RIPP-STD HW '!$S$4="INGLES","ROOM / AREA NAME","NOMBRE DEL CUARTO ó AREA")</f>
        <v>NOMBRE DEL CUARTO ó AREA</v>
      </c>
      <c r="N14" s="182" t="str">
        <f>IF('CALC - RIPP-STD HW '!$S$4="INGLES","ROD SIZE","ANCHO DE RIEL")</f>
        <v>ANCHO DE RIEL</v>
      </c>
      <c r="O14" s="184" t="str">
        <f>IF('CALC - RIPP-STD HW '!$S$4="INGLES","DRAPERY FINISHED SIZE","ALTURA DE CORTINA")</f>
        <v>ALTURA DE CORTINA</v>
      </c>
      <c r="P14" s="183" t="str">
        <f>IF('CALC - RIPP-STD HW '!$S$4="INGLES","MOUNTING","MONTAJE")</f>
        <v>MONTAJE</v>
      </c>
      <c r="Q14" s="182" t="str">
        <f>IF('CALC - RIPP-STD HW '!$S$4="INGLES","HARDWARE TYPE","TIPO HERRAJE")</f>
        <v>TIPO HERRAJE</v>
      </c>
      <c r="R14" s="185" t="str">
        <f>IF('CALC - RIPP-STD HW '!$S$4="INGLES","HARDWARE COLOR","COLOR HERRAJE")</f>
        <v>COLOR HERRAJE</v>
      </c>
      <c r="S14" s="185" t="str">
        <f>IF('CALC - RIPP-STD HW '!$S$4="INGLES","BATON TYPE (in  the case that applies)","TIPO DE BASTON (en caso de que aplique)")</f>
        <v>TIPO DE BASTON (en caso de que aplique)</v>
      </c>
      <c r="T14" s="183" t="str">
        <f>IF('CALC - RIPP-STD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RIPP-STD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RIPP-STD HW '!$S$4="INGLES","UNIT PRICE.","PRECIO UNITARIO")</f>
        <v>PRECIO UNITARIO</v>
      </c>
      <c r="AI14" s="184" t="str">
        <f>IF('CALC - RIPP-STD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>IF(OR(C15&lt;1,C15=""),"",BL15)</f>
        <v>342.70000000000005</v>
      </c>
      <c r="U15" s="560">
        <f t="shared" ref="U15:U62" si="1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 t="shared" ref="AO15:AO62" si="9">IF(C15="","",N15*G15+AK15+AL15)</f>
        <v>160.1</v>
      </c>
      <c r="AP15" s="307">
        <f t="shared" ref="AP15:AP62" si="10">IF(C15="","",O15+AM15+AN15)</f>
        <v>113</v>
      </c>
      <c r="AQ15" s="307">
        <f t="shared" ref="AQ15:AQ62" si="11">IF(C15="","",IF(OR(F15="SHEER",F15="STAT. SHEER"),118,54))</f>
        <v>54</v>
      </c>
      <c r="AR15" s="308" t="str">
        <f t="shared" ref="AR15:AR62" si="12">IF(C15="","",IF(AQ15&lt;65,"VERTICAL",IF(AP15&gt;AQ15,"VERTICAL","RAILROAD")))</f>
        <v>VERTICAL</v>
      </c>
      <c r="AS15" s="308">
        <f t="shared" ref="AS15:AS62" si="13">IF(C15="","",AO15/AQ15)</f>
        <v>2.9648148148148148</v>
      </c>
      <c r="AT15" s="309">
        <f t="shared" ref="AT15:AT62" si="14">IF(C15="","",IF(AR15="RAILROAD","N/A",IF(AQ15&lt;60,CEILING(AS15,0.5),CEILING(AS15,0.25))))</f>
        <v>3</v>
      </c>
      <c r="AU15" s="309">
        <f t="shared" ref="AU15:AU62" si="15">IF(C15="","",IF(AR15="VERTICAL",AT15*AQ15/54,CEILING(AO15/54,0.5)))</f>
        <v>3</v>
      </c>
      <c r="AV15" s="308">
        <f t="shared" ref="AV15:AV62" si="16">IF(C15="","",IF(AR15="VERTICAL",CEILING(AT15*AP15/36/0.93,0.25),CEILING(AO15/36/0.93,0.25)))</f>
        <v>10.25</v>
      </c>
      <c r="AW15" s="310">
        <f t="shared" ref="AW15:AW62" si="17">IF(C15="","",AV15*C15)</f>
        <v>10.25</v>
      </c>
      <c r="AX15" s="306">
        <f t="shared" ref="AX15:AX62" si="18">IF(C15="","",CEILING(AO15,1))</f>
        <v>161</v>
      </c>
      <c r="AY15" s="308">
        <f t="shared" ref="AY15:AY62" si="19">IF(C15="","",O15+(2*$AM$3)+2+1)</f>
        <v>107</v>
      </c>
      <c r="AZ15" s="308">
        <f t="shared" ref="AZ15:AZ62" si="20">IF(C15="","",IF(OR(L15="3-PASS WW",L15="3-PASS IV-EC"),110,54))</f>
        <v>54</v>
      </c>
      <c r="BA15" s="308" t="str">
        <f t="shared" ref="BA15:BA62" si="21">IF(C15="","",IF(AZ15&gt;AY15,"RAILROAD","VERTICAL"))</f>
        <v>VERTICAL</v>
      </c>
      <c r="BB15" s="308">
        <f t="shared" ref="BB15:BB62" si="22">IF(C15="","",IF(BA15="RAILROAD",CEILING(AX15/36/0.94,0.1),CEILING(CEILING(AX15/AZ15,0.25)*AY15/36/0.94,0.1)))</f>
        <v>9.5</v>
      </c>
      <c r="BC15" s="310">
        <f t="shared" ref="BC15:BC62" si="23">IF(C15="","",BB15*C15)</f>
        <v>9.5</v>
      </c>
      <c r="BD15" s="311">
        <f t="shared" ref="BD15:BD62" si="24">IF(C15="","",N15/12/(1-$BD$13))</f>
        <v>6.5217391304347823</v>
      </c>
      <c r="BE15" s="308">
        <f t="shared" ref="BE15:BE24" si="25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 RIPP-STD HW '!BD15))</f>
        <v>#N/A</v>
      </c>
      <c r="BN15" s="316">
        <f>IF(C15="","",IF(S15="N/A",0,IF(BE15="N/A",0,INDEX('COST - SELL'!$O$70:$S$73,MATCH('CALC - RIPP-STD HW '!S15,'COST - SELL'!$O$70:$O$73,0),MATCH('CALC - RIPP-STD HW 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ref="T16:T62" si="29">IF(OR(C16&lt;1,C16=""),"",BL16)</f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si="9"/>
        <v>160.1</v>
      </c>
      <c r="AP16" s="304">
        <f t="shared" si="10"/>
        <v>113</v>
      </c>
      <c r="AQ16" s="304">
        <f t="shared" si="11"/>
        <v>54</v>
      </c>
      <c r="AR16" s="318" t="str">
        <f t="shared" si="12"/>
        <v>VERTICAL</v>
      </c>
      <c r="AS16" s="318">
        <f t="shared" si="13"/>
        <v>2.9648148148148148</v>
      </c>
      <c r="AT16" s="319">
        <f t="shared" si="14"/>
        <v>3</v>
      </c>
      <c r="AU16" s="319">
        <f t="shared" si="15"/>
        <v>3</v>
      </c>
      <c r="AV16" s="318">
        <f t="shared" si="16"/>
        <v>10.25</v>
      </c>
      <c r="AW16" s="320">
        <f t="shared" si="17"/>
        <v>10.25</v>
      </c>
      <c r="AX16" s="306">
        <f t="shared" si="18"/>
        <v>161</v>
      </c>
      <c r="AY16" s="308">
        <f t="shared" si="19"/>
        <v>107</v>
      </c>
      <c r="AZ16" s="308">
        <f t="shared" si="20"/>
        <v>54</v>
      </c>
      <c r="BA16" s="308" t="str">
        <f t="shared" si="21"/>
        <v>VERTICAL</v>
      </c>
      <c r="BB16" s="308">
        <f t="shared" si="22"/>
        <v>9.5</v>
      </c>
      <c r="BC16" s="310">
        <f t="shared" si="23"/>
        <v>9.5</v>
      </c>
      <c r="BD16" s="321">
        <f t="shared" si="24"/>
        <v>6.5217391304347823</v>
      </c>
      <c r="BE16" s="308">
        <f t="shared" si="25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ref="BG16:BG62" si="30">IF(C16="","",AV16*BF16)</f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 t="shared" ref="BL16:BL62" si="31">IF(C16="","",CEILING(BG16+BI16+BK16,0.05))</f>
        <v>561.55000000000007</v>
      </c>
      <c r="BM16" s="316" t="e">
        <f>IF(C16="","",IF(Q16="N/A",0,VLOOKUP(Q16,'COST - SELL'!$B$80:$I$91,8,0)*'CALC - RIPP-STD HW '!BD16))</f>
        <v>#N/A</v>
      </c>
      <c r="BN16" s="316">
        <f>IF(C16="","",IF(S16="N/A",0,IF(BE16="N/A",0,INDEX('COST - SELL'!$O$70:$S$73,MATCH('CALC - RIPP-STD HW '!S16,'COST - SELL'!$O$70:$O$73,0),MATCH('CALC - RIPP-STD HW '!BE16,'COST - SELL'!$O$70:$S$70,0)))))</f>
        <v>9.25</v>
      </c>
      <c r="BO16" s="316" t="e">
        <f t="shared" ref="BO16:BO62" si="32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3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>IF(OR(C17&lt;1,C17=""),"",BL17)</f>
        <v>335</v>
      </c>
      <c r="U17" s="560">
        <f t="shared" si="1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 t="e">
        <f t="shared" si="2"/>
        <v>#N/A</v>
      </c>
      <c r="AB17" s="560" t="e">
        <f>AA17*0.7*0.6*0.6</f>
        <v>#N/A</v>
      </c>
      <c r="AC17" s="568">
        <f>548.6+332.02</f>
        <v>880.62</v>
      </c>
      <c r="AD17" s="567">
        <f>AC17/$AD$11</f>
        <v>44.030999999999999</v>
      </c>
      <c r="AE17" s="567">
        <f>AD17*$AE$11</f>
        <v>8.8062000000000005</v>
      </c>
      <c r="AF17" s="522">
        <f>AD17-AE17</f>
        <v>35.224800000000002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9"/>
        <v>160.1</v>
      </c>
      <c r="AP17" s="304">
        <f t="shared" si="10"/>
        <v>113</v>
      </c>
      <c r="AQ17" s="304">
        <f t="shared" si="11"/>
        <v>54</v>
      </c>
      <c r="AR17" s="318" t="str">
        <f t="shared" si="12"/>
        <v>VERTICAL</v>
      </c>
      <c r="AS17" s="318">
        <f t="shared" si="13"/>
        <v>2.9648148148148148</v>
      </c>
      <c r="AT17" s="319">
        <f t="shared" si="14"/>
        <v>3</v>
      </c>
      <c r="AU17" s="319">
        <f t="shared" si="15"/>
        <v>3</v>
      </c>
      <c r="AV17" s="318">
        <f t="shared" si="16"/>
        <v>10.25</v>
      </c>
      <c r="AW17" s="320">
        <f t="shared" si="17"/>
        <v>10.25</v>
      </c>
      <c r="AX17" s="306">
        <f t="shared" si="18"/>
        <v>161</v>
      </c>
      <c r="AY17" s="308">
        <f t="shared" si="19"/>
        <v>107</v>
      </c>
      <c r="AZ17" s="308">
        <f t="shared" si="20"/>
        <v>54</v>
      </c>
      <c r="BA17" s="308" t="str">
        <f t="shared" si="21"/>
        <v>VERTICAL</v>
      </c>
      <c r="BB17" s="308">
        <f t="shared" si="22"/>
        <v>9.5</v>
      </c>
      <c r="BC17" s="310">
        <f t="shared" si="23"/>
        <v>9.5</v>
      </c>
      <c r="BD17" s="321">
        <f t="shared" si="24"/>
        <v>6.5217391304347823</v>
      </c>
      <c r="BE17" s="308">
        <f t="shared" si="25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30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>IF(C17="","",CEILING(BG17+BI17+BK17,0.05))</f>
        <v>335</v>
      </c>
      <c r="BM17" s="316" t="e">
        <f>IF(C17="","",IF(Q17="N/A",0,VLOOKUP(Q17,'COST - SELL'!$B$80:$I$91,8,0)*'CALC - RIPP-STD HW '!BD17))</f>
        <v>#N/A</v>
      </c>
      <c r="BN17" s="316">
        <f>IF(C17="","",IF(S17="N/A",0,IF(BE17="N/A",0,INDEX('COST - SELL'!$O$70:$S$73,MATCH('CALC - RIPP-STD HW '!S17,'COST - SELL'!$O$70:$O$73,0),MATCH('CALC - RIPP-STD HW '!BE17,'COST - SELL'!$O$70:$S$70,0)))))</f>
        <v>9.25</v>
      </c>
      <c r="BO17" s="316" t="e">
        <f t="shared" si="32"/>
        <v>#N/A</v>
      </c>
      <c r="BP17" s="316" t="e">
        <f t="shared" si="28"/>
        <v>#N/A</v>
      </c>
    </row>
    <row r="18" spans="2:68" x14ac:dyDescent="0.25">
      <c r="B18" s="231">
        <f t="shared" si="33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29"/>
        <v>470.8</v>
      </c>
      <c r="U18" s="560">
        <f t="shared" si="1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 t="e">
        <f t="shared" si="2"/>
        <v>#N/A</v>
      </c>
      <c r="AB18" s="560" t="e">
        <f t="shared" ref="AB18:AB62" si="34">AA18*0.7*0.6*0.6</f>
        <v>#N/A</v>
      </c>
      <c r="AC18" s="568">
        <f>548.6+332.02</f>
        <v>880.62</v>
      </c>
      <c r="AD18" s="567">
        <f>AC18/$AD$11</f>
        <v>44.030999999999999</v>
      </c>
      <c r="AE18" s="567">
        <f>AD18*$AE$11</f>
        <v>8.8062000000000005</v>
      </c>
      <c r="AF18" s="522">
        <f>AD18-AE18</f>
        <v>35.224800000000002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9"/>
        <v>160.1</v>
      </c>
      <c r="AP18" s="304">
        <f t="shared" si="10"/>
        <v>113</v>
      </c>
      <c r="AQ18" s="304">
        <f t="shared" si="11"/>
        <v>54</v>
      </c>
      <c r="AR18" s="318" t="str">
        <f t="shared" si="12"/>
        <v>VERTICAL</v>
      </c>
      <c r="AS18" s="318">
        <f t="shared" si="13"/>
        <v>2.9648148148148148</v>
      </c>
      <c r="AT18" s="319">
        <f t="shared" si="14"/>
        <v>3</v>
      </c>
      <c r="AU18" s="319">
        <f t="shared" si="15"/>
        <v>3</v>
      </c>
      <c r="AV18" s="318">
        <f t="shared" si="16"/>
        <v>10.25</v>
      </c>
      <c r="AW18" s="320">
        <f t="shared" si="17"/>
        <v>10.25</v>
      </c>
      <c r="AX18" s="306">
        <f t="shared" si="18"/>
        <v>161</v>
      </c>
      <c r="AY18" s="308">
        <f t="shared" si="19"/>
        <v>107</v>
      </c>
      <c r="AZ18" s="308">
        <f t="shared" si="20"/>
        <v>54</v>
      </c>
      <c r="BA18" s="308" t="str">
        <f t="shared" si="21"/>
        <v>VERTICAL</v>
      </c>
      <c r="BB18" s="308">
        <f t="shared" si="22"/>
        <v>9.5</v>
      </c>
      <c r="BC18" s="310">
        <f t="shared" si="23"/>
        <v>9.5</v>
      </c>
      <c r="BD18" s="321">
        <f t="shared" si="24"/>
        <v>6.5217391304347823</v>
      </c>
      <c r="BE18" s="308">
        <f t="shared" si="25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30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1"/>
        <v>470.8</v>
      </c>
      <c r="BM18" s="316" t="e">
        <f>IF(C18="","",IF(Q18="N/A",0,VLOOKUP(Q18,'COST - SELL'!$B$80:$I$91,8,0)*'CALC - RIPP-STD HW '!BD18))</f>
        <v>#N/A</v>
      </c>
      <c r="BN18" s="316">
        <f>IF(C18="","",IF(S18="N/A",0,IF(BE18="N/A",0,INDEX('COST - SELL'!$O$70:$S$73,MATCH('CALC - RIPP-STD HW '!S18,'COST - SELL'!$O$70:$O$73,0),MATCH('CALC - RIPP-STD HW '!BE18,'COST - SELL'!$O$70:$S$70,0)))))</f>
        <v>9.25</v>
      </c>
      <c r="BO18" s="316" t="e">
        <f t="shared" si="32"/>
        <v>#N/A</v>
      </c>
      <c r="BP18" s="316" t="e">
        <f t="shared" si="28"/>
        <v>#N/A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29"/>
        <v>505.15000000000003</v>
      </c>
      <c r="U19" s="560">
        <f t="shared" si="1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 t="e">
        <f t="shared" si="2"/>
        <v>#N/A</v>
      </c>
      <c r="AB19" s="560" t="e">
        <f t="shared" si="34"/>
        <v>#N/A</v>
      </c>
      <c r="AC19" s="568">
        <f>548.6+332.02</f>
        <v>880.62</v>
      </c>
      <c r="AD19" s="567">
        <f>AC19/$AD$11</f>
        <v>44.030999999999999</v>
      </c>
      <c r="AE19" s="567">
        <f>AD19*$AE$11</f>
        <v>8.8062000000000005</v>
      </c>
      <c r="AF19" s="522">
        <f>AD19-AE19</f>
        <v>35.224800000000002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9"/>
        <v>160.1</v>
      </c>
      <c r="AP19" s="304">
        <f t="shared" si="10"/>
        <v>113</v>
      </c>
      <c r="AQ19" s="304">
        <f t="shared" si="11"/>
        <v>54</v>
      </c>
      <c r="AR19" s="318" t="str">
        <f t="shared" si="12"/>
        <v>VERTICAL</v>
      </c>
      <c r="AS19" s="318">
        <f t="shared" si="13"/>
        <v>2.9648148148148148</v>
      </c>
      <c r="AT19" s="319">
        <f t="shared" si="14"/>
        <v>3</v>
      </c>
      <c r="AU19" s="319">
        <f t="shared" si="15"/>
        <v>3</v>
      </c>
      <c r="AV19" s="318">
        <f t="shared" si="16"/>
        <v>10.25</v>
      </c>
      <c r="AW19" s="320">
        <f t="shared" si="17"/>
        <v>10.25</v>
      </c>
      <c r="AX19" s="306">
        <f t="shared" si="18"/>
        <v>161</v>
      </c>
      <c r="AY19" s="308">
        <f t="shared" si="19"/>
        <v>107</v>
      </c>
      <c r="AZ19" s="308">
        <f t="shared" si="20"/>
        <v>54</v>
      </c>
      <c r="BA19" s="308" t="str">
        <f t="shared" si="21"/>
        <v>VERTICAL</v>
      </c>
      <c r="BB19" s="308">
        <f t="shared" si="22"/>
        <v>9.5</v>
      </c>
      <c r="BC19" s="310">
        <f t="shared" si="23"/>
        <v>9.5</v>
      </c>
      <c r="BD19" s="321">
        <f t="shared" si="24"/>
        <v>6.5217391304347823</v>
      </c>
      <c r="BE19" s="308">
        <f t="shared" si="25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30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1"/>
        <v>505.15000000000003</v>
      </c>
      <c r="BM19" s="316" t="e">
        <f>IF(C19="","",IF(Q19="N/A",0,VLOOKUP(Q19,'COST - SELL'!$B$80:$I$91,8,0)*'CALC - RIPP-STD HW '!BD19))</f>
        <v>#N/A</v>
      </c>
      <c r="BN19" s="316">
        <f>IF(C19="","",IF(S19="N/A",0,IF(BE19="N/A",0,INDEX('COST - SELL'!$O$70:$S$73,MATCH('CALC - RIPP-STD HW '!S19,'COST - SELL'!$O$70:$O$73,0),MATCH('CALC - RIPP-STD HW '!BE19,'COST - SELL'!$O$70:$S$70,0)))))</f>
        <v>9.25</v>
      </c>
      <c r="BO19" s="316" t="e">
        <f t="shared" si="32"/>
        <v>#N/A</v>
      </c>
      <c r="BP19" s="316" t="e">
        <f t="shared" si="28"/>
        <v>#N/A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29"/>
        <v>618.40000000000009</v>
      </c>
      <c r="U20" s="560">
        <f t="shared" si="1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 t="e">
        <f t="shared" si="2"/>
        <v>#N/A</v>
      </c>
      <c r="AB20" s="560" t="e">
        <f t="shared" si="34"/>
        <v>#N/A</v>
      </c>
      <c r="AC20" s="568">
        <f>548.6+332.02</f>
        <v>880.62</v>
      </c>
      <c r="AD20" s="567">
        <f>AC20/$AD$11</f>
        <v>44.030999999999999</v>
      </c>
      <c r="AE20" s="567">
        <f>AD20*$AE$11</f>
        <v>8.8062000000000005</v>
      </c>
      <c r="AF20" s="522">
        <f>AD20-AE20</f>
        <v>35.224800000000002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9"/>
        <v>160.1</v>
      </c>
      <c r="AP20" s="304">
        <f t="shared" si="10"/>
        <v>113</v>
      </c>
      <c r="AQ20" s="304">
        <f t="shared" si="11"/>
        <v>54</v>
      </c>
      <c r="AR20" s="318" t="str">
        <f t="shared" si="12"/>
        <v>VERTICAL</v>
      </c>
      <c r="AS20" s="318">
        <f t="shared" si="13"/>
        <v>2.9648148148148148</v>
      </c>
      <c r="AT20" s="319">
        <f t="shared" si="14"/>
        <v>3</v>
      </c>
      <c r="AU20" s="319">
        <f t="shared" si="15"/>
        <v>3</v>
      </c>
      <c r="AV20" s="318">
        <f t="shared" si="16"/>
        <v>10.25</v>
      </c>
      <c r="AW20" s="320">
        <f t="shared" si="17"/>
        <v>10.25</v>
      </c>
      <c r="AX20" s="306">
        <f t="shared" si="18"/>
        <v>161</v>
      </c>
      <c r="AY20" s="308">
        <f t="shared" si="19"/>
        <v>107</v>
      </c>
      <c r="AZ20" s="308">
        <f t="shared" si="20"/>
        <v>54</v>
      </c>
      <c r="BA20" s="308" t="str">
        <f t="shared" si="21"/>
        <v>VERTICAL</v>
      </c>
      <c r="BB20" s="308">
        <f t="shared" si="22"/>
        <v>9.5</v>
      </c>
      <c r="BC20" s="310">
        <f t="shared" si="23"/>
        <v>9.5</v>
      </c>
      <c r="BD20" s="321">
        <f t="shared" si="24"/>
        <v>6.5217391304347823</v>
      </c>
      <c r="BE20" s="308">
        <f t="shared" si="25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30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1"/>
        <v>618.40000000000009</v>
      </c>
      <c r="BM20" s="316" t="e">
        <f>IF(C20="","",IF(Q20="N/A",0,VLOOKUP(Q20,'COST - SELL'!$B$80:$I$91,8,0)*'CALC - RIPP-STD HW '!BD20))</f>
        <v>#N/A</v>
      </c>
      <c r="BN20" s="316">
        <f>IF(C20="","",IF(S20="N/A",0,IF(BE20="N/A",0,INDEX('COST - SELL'!$O$70:$S$73,MATCH('CALC - RIPP-STD HW '!S20,'COST - SELL'!$O$70:$O$73,0),MATCH('CALC - RIPP-STD HW '!BE20,'COST - SELL'!$O$70:$S$70,0)))))</f>
        <v>9.25</v>
      </c>
      <c r="BO20" s="316" t="e">
        <f t="shared" si="32"/>
        <v>#N/A</v>
      </c>
      <c r="BP20" s="316" t="e">
        <f t="shared" si="28"/>
        <v>#N/A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527">
        <f>IF(OR(C21&lt;1,C21=""),"",BL21)</f>
        <v>459.25</v>
      </c>
      <c r="U21" s="560">
        <f t="shared" si="1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9"/>
        <v>213.4</v>
      </c>
      <c r="AP21" s="304">
        <f t="shared" si="10"/>
        <v>113</v>
      </c>
      <c r="AQ21" s="304">
        <f t="shared" si="11"/>
        <v>54</v>
      </c>
      <c r="AR21" s="318" t="str">
        <f t="shared" si="12"/>
        <v>VERTICAL</v>
      </c>
      <c r="AS21" s="318">
        <f t="shared" si="13"/>
        <v>3.9518518518518522</v>
      </c>
      <c r="AT21" s="319">
        <f t="shared" si="14"/>
        <v>4</v>
      </c>
      <c r="AU21" s="319">
        <f t="shared" si="15"/>
        <v>4</v>
      </c>
      <c r="AV21" s="318">
        <f t="shared" si="16"/>
        <v>13.75</v>
      </c>
      <c r="AW21" s="320">
        <f t="shared" si="17"/>
        <v>13.75</v>
      </c>
      <c r="AX21" s="306">
        <f t="shared" si="18"/>
        <v>214</v>
      </c>
      <c r="AY21" s="308">
        <f t="shared" si="19"/>
        <v>107</v>
      </c>
      <c r="AZ21" s="308">
        <f t="shared" si="20"/>
        <v>54</v>
      </c>
      <c r="BA21" s="308" t="str">
        <f t="shared" si="21"/>
        <v>VERTICAL</v>
      </c>
      <c r="BB21" s="308">
        <f t="shared" si="22"/>
        <v>12.700000000000001</v>
      </c>
      <c r="BC21" s="310">
        <f t="shared" si="23"/>
        <v>12.700000000000001</v>
      </c>
      <c r="BD21" s="321">
        <f t="shared" si="24"/>
        <v>8.8768115942028967</v>
      </c>
      <c r="BE21" s="308">
        <f t="shared" si="25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30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 t="shared" si="31"/>
        <v>459.25</v>
      </c>
      <c r="BM21" s="316" t="e">
        <f>IF(C21="","",IF(Q21="N/A",0,VLOOKUP(Q21,'COST - SELL'!$B$80:$I$91,8,0)*'CALC - RIPP-STD HW '!BD21))</f>
        <v>#N/A</v>
      </c>
      <c r="BN21" s="316">
        <f>IF(C21="","",IF(S21="N/A",0,IF(BE21="N/A",0,INDEX('COST - SELL'!$O$70:$S$73,MATCH('CALC - RIPP-STD HW '!S21,'COST - SELL'!$O$70:$O$73,0),MATCH('CALC - RIPP-STD HW '!BE21,'COST - SELL'!$O$70:$S$70,0)))))</f>
        <v>9.25</v>
      </c>
      <c r="BO21" s="316" t="e">
        <f t="shared" si="32"/>
        <v>#N/A</v>
      </c>
      <c r="BP21" s="316" t="e">
        <f t="shared" si="28"/>
        <v>#N/A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29"/>
        <v>752.80000000000007</v>
      </c>
      <c r="U22" s="560">
        <f t="shared" si="1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9"/>
        <v>213.4</v>
      </c>
      <c r="AP22" s="304">
        <f t="shared" si="10"/>
        <v>113</v>
      </c>
      <c r="AQ22" s="304">
        <f t="shared" si="11"/>
        <v>54</v>
      </c>
      <c r="AR22" s="318" t="str">
        <f t="shared" si="12"/>
        <v>VERTICAL</v>
      </c>
      <c r="AS22" s="318">
        <f t="shared" si="13"/>
        <v>3.9518518518518522</v>
      </c>
      <c r="AT22" s="319">
        <f t="shared" si="14"/>
        <v>4</v>
      </c>
      <c r="AU22" s="319">
        <f t="shared" si="15"/>
        <v>4</v>
      </c>
      <c r="AV22" s="318">
        <f t="shared" si="16"/>
        <v>13.75</v>
      </c>
      <c r="AW22" s="320">
        <f t="shared" si="17"/>
        <v>13.75</v>
      </c>
      <c r="AX22" s="306">
        <f t="shared" si="18"/>
        <v>214</v>
      </c>
      <c r="AY22" s="308">
        <f t="shared" si="19"/>
        <v>107</v>
      </c>
      <c r="AZ22" s="308">
        <f t="shared" si="20"/>
        <v>54</v>
      </c>
      <c r="BA22" s="308" t="str">
        <f t="shared" si="21"/>
        <v>VERTICAL</v>
      </c>
      <c r="BB22" s="308">
        <f t="shared" si="22"/>
        <v>12.700000000000001</v>
      </c>
      <c r="BC22" s="310">
        <f t="shared" si="23"/>
        <v>12.700000000000001</v>
      </c>
      <c r="BD22" s="321">
        <f t="shared" si="24"/>
        <v>8.8768115942028967</v>
      </c>
      <c r="BE22" s="308">
        <f t="shared" si="25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30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1"/>
        <v>752.80000000000007</v>
      </c>
      <c r="BM22" s="316" t="e">
        <f>IF(C22="","",IF(Q22="N/A",0,VLOOKUP(Q22,'COST - SELL'!$B$80:$I$91,8,0)*'CALC - RIPP-STD HW '!BD22))</f>
        <v>#N/A</v>
      </c>
      <c r="BN22" s="316">
        <f>IF(C22="","",IF(S22="N/A",0,IF(BE22="N/A",0,INDEX('COST - SELL'!$O$70:$S$73,MATCH('CALC - RIPP-STD HW '!S22,'COST - SELL'!$O$70:$O$73,0),MATCH('CALC - RIPP-STD HW '!BE22,'COST - SELL'!$O$70:$S$70,0)))))</f>
        <v>9.25</v>
      </c>
      <c r="BO22" s="316" t="e">
        <f t="shared" si="32"/>
        <v>#N/A</v>
      </c>
      <c r="BP22" s="316" t="e">
        <f t="shared" si="28"/>
        <v>#N/A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527">
        <f t="shared" si="29"/>
        <v>448.95000000000005</v>
      </c>
      <c r="U23" s="560">
        <f t="shared" si="1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 t="e">
        <f t="shared" si="2"/>
        <v>#N/A</v>
      </c>
      <c r="AB23" s="560" t="e">
        <f t="shared" si="34"/>
        <v>#N/A</v>
      </c>
      <c r="AC23" s="568">
        <f>670.46+332.02</f>
        <v>1002.48</v>
      </c>
      <c r="AD23" s="567">
        <f>AC23/$AD$11</f>
        <v>50.124000000000002</v>
      </c>
      <c r="AE23" s="567">
        <f>AD23*$AE$11</f>
        <v>10.024800000000001</v>
      </c>
      <c r="AF23" s="522">
        <f>AD23-AE23</f>
        <v>40.099200000000003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9"/>
        <v>213.4</v>
      </c>
      <c r="AP23" s="304">
        <f t="shared" si="10"/>
        <v>113</v>
      </c>
      <c r="AQ23" s="304">
        <f t="shared" si="11"/>
        <v>54</v>
      </c>
      <c r="AR23" s="318" t="str">
        <f t="shared" si="12"/>
        <v>VERTICAL</v>
      </c>
      <c r="AS23" s="318">
        <f t="shared" si="13"/>
        <v>3.9518518518518522</v>
      </c>
      <c r="AT23" s="319">
        <f t="shared" si="14"/>
        <v>4</v>
      </c>
      <c r="AU23" s="319">
        <f t="shared" si="15"/>
        <v>4</v>
      </c>
      <c r="AV23" s="318">
        <f t="shared" si="16"/>
        <v>13.75</v>
      </c>
      <c r="AW23" s="320">
        <f t="shared" si="17"/>
        <v>13.75</v>
      </c>
      <c r="AX23" s="306">
        <f t="shared" si="18"/>
        <v>214</v>
      </c>
      <c r="AY23" s="308">
        <f t="shared" si="19"/>
        <v>107</v>
      </c>
      <c r="AZ23" s="308">
        <f t="shared" si="20"/>
        <v>54</v>
      </c>
      <c r="BA23" s="308" t="str">
        <f t="shared" si="21"/>
        <v>VERTICAL</v>
      </c>
      <c r="BB23" s="308">
        <f t="shared" si="22"/>
        <v>12.700000000000001</v>
      </c>
      <c r="BC23" s="310">
        <f t="shared" si="23"/>
        <v>12.700000000000001</v>
      </c>
      <c r="BD23" s="321">
        <f t="shared" si="24"/>
        <v>8.8768115942028967</v>
      </c>
      <c r="BE23" s="308">
        <f t="shared" si="25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30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1"/>
        <v>448.95000000000005</v>
      </c>
      <c r="BM23" s="316" t="e">
        <f>IF(C23="","",IF(Q23="N/A",0,VLOOKUP(Q23,'COST - SELL'!$B$80:$I$91,8,0)*'CALC - RIPP-STD HW '!BD23))</f>
        <v>#N/A</v>
      </c>
      <c r="BN23" s="316">
        <f>IF(C23="","",IF(S23="N/A",0,IF(BE23="N/A",0,INDEX('COST - SELL'!$O$70:$S$73,MATCH('CALC - RIPP-STD HW '!S23,'COST - SELL'!$O$70:$O$73,0),MATCH('CALC - RIPP-STD HW '!BE23,'COST - SELL'!$O$70:$S$70,0)))))</f>
        <v>9.25</v>
      </c>
      <c r="BO23" s="316" t="e">
        <f t="shared" si="32"/>
        <v>#N/A</v>
      </c>
      <c r="BP23" s="316" t="e">
        <f t="shared" si="28"/>
        <v>#N/A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527">
        <f t="shared" si="29"/>
        <v>631.1</v>
      </c>
      <c r="U24" s="560">
        <f t="shared" si="1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 t="e">
        <f t="shared" si="2"/>
        <v>#N/A</v>
      </c>
      <c r="AB24" s="560" t="e">
        <f t="shared" si="34"/>
        <v>#N/A</v>
      </c>
      <c r="AC24" s="568">
        <f>670.46+332.02</f>
        <v>1002.48</v>
      </c>
      <c r="AD24" s="567">
        <f>AC24/$AD$11</f>
        <v>50.124000000000002</v>
      </c>
      <c r="AE24" s="567">
        <f>AD24*$AE$11</f>
        <v>10.024800000000001</v>
      </c>
      <c r="AF24" s="522">
        <f>AD24-AE24</f>
        <v>40.099200000000003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9"/>
        <v>213.4</v>
      </c>
      <c r="AP24" s="304">
        <f t="shared" si="10"/>
        <v>113</v>
      </c>
      <c r="AQ24" s="304">
        <f t="shared" si="11"/>
        <v>54</v>
      </c>
      <c r="AR24" s="318" t="str">
        <f t="shared" si="12"/>
        <v>VERTICAL</v>
      </c>
      <c r="AS24" s="318">
        <f t="shared" si="13"/>
        <v>3.9518518518518522</v>
      </c>
      <c r="AT24" s="319">
        <f t="shared" si="14"/>
        <v>4</v>
      </c>
      <c r="AU24" s="319">
        <f t="shared" si="15"/>
        <v>4</v>
      </c>
      <c r="AV24" s="318">
        <f t="shared" si="16"/>
        <v>13.75</v>
      </c>
      <c r="AW24" s="320">
        <f t="shared" si="17"/>
        <v>13.75</v>
      </c>
      <c r="AX24" s="306">
        <f t="shared" si="18"/>
        <v>214</v>
      </c>
      <c r="AY24" s="308">
        <f t="shared" si="19"/>
        <v>107</v>
      </c>
      <c r="AZ24" s="308">
        <f t="shared" si="20"/>
        <v>54</v>
      </c>
      <c r="BA24" s="308" t="str">
        <f t="shared" si="21"/>
        <v>VERTICAL</v>
      </c>
      <c r="BB24" s="308">
        <f t="shared" si="22"/>
        <v>12.700000000000001</v>
      </c>
      <c r="BC24" s="310">
        <f t="shared" si="23"/>
        <v>12.700000000000001</v>
      </c>
      <c r="BD24" s="321">
        <f t="shared" si="24"/>
        <v>8.8768115942028967</v>
      </c>
      <c r="BE24" s="308">
        <f t="shared" si="25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30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1"/>
        <v>631.1</v>
      </c>
      <c r="BM24" s="316" t="e">
        <f>IF(C24="","",IF(Q24="N/A",0,VLOOKUP(Q24,'COST - SELL'!$B$80:$I$91,8,0)*'CALC - RIPP-STD HW '!BD24))</f>
        <v>#N/A</v>
      </c>
      <c r="BN24" s="316">
        <f>IF(C24="","",IF(S24="N/A",0,IF(BE24="N/A",0,INDEX('COST - SELL'!$O$70:$S$73,MATCH('CALC - RIPP-STD HW '!S24,'COST - SELL'!$O$70:$O$73,0),MATCH('CALC - RIPP-STD HW '!BE24,'COST - SELL'!$O$70:$S$70,0)))))</f>
        <v>9.25</v>
      </c>
      <c r="BO24" s="316" t="e">
        <f t="shared" si="32"/>
        <v>#N/A</v>
      </c>
      <c r="BP24" s="316" t="e">
        <f t="shared" si="28"/>
        <v>#N/A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527">
        <f t="shared" si="29"/>
        <v>677.2</v>
      </c>
      <c r="U25" s="560">
        <f t="shared" si="1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 t="e">
        <f t="shared" si="2"/>
        <v>#N/A</v>
      </c>
      <c r="AB25" s="560" t="e">
        <f t="shared" si="34"/>
        <v>#N/A</v>
      </c>
      <c r="AC25" s="568">
        <f>670.46+332.02</f>
        <v>1002.48</v>
      </c>
      <c r="AD25" s="567">
        <f>AC25/$AD$11</f>
        <v>50.124000000000002</v>
      </c>
      <c r="AE25" s="567">
        <f>AD25*$AE$11</f>
        <v>10.024800000000001</v>
      </c>
      <c r="AF25" s="522">
        <f>AD25-AE25</f>
        <v>40.099200000000003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9"/>
        <v>213.4</v>
      </c>
      <c r="AP25" s="304">
        <f t="shared" si="10"/>
        <v>113</v>
      </c>
      <c r="AQ25" s="304">
        <f t="shared" si="11"/>
        <v>54</v>
      </c>
      <c r="AR25" s="318" t="str">
        <f t="shared" si="12"/>
        <v>VERTICAL</v>
      </c>
      <c r="AS25" s="318">
        <f t="shared" si="13"/>
        <v>3.9518518518518522</v>
      </c>
      <c r="AT25" s="319">
        <f t="shared" si="14"/>
        <v>4</v>
      </c>
      <c r="AU25" s="319">
        <f t="shared" si="15"/>
        <v>4</v>
      </c>
      <c r="AV25" s="318">
        <f t="shared" si="16"/>
        <v>13.75</v>
      </c>
      <c r="AW25" s="320">
        <f t="shared" si="17"/>
        <v>13.75</v>
      </c>
      <c r="AX25" s="306">
        <f t="shared" si="18"/>
        <v>214</v>
      </c>
      <c r="AY25" s="308">
        <f t="shared" si="19"/>
        <v>107</v>
      </c>
      <c r="AZ25" s="308">
        <f t="shared" si="20"/>
        <v>54</v>
      </c>
      <c r="BA25" s="308" t="str">
        <f t="shared" si="21"/>
        <v>VERTICAL</v>
      </c>
      <c r="BB25" s="308">
        <f t="shared" si="22"/>
        <v>12.700000000000001</v>
      </c>
      <c r="BC25" s="310">
        <f t="shared" si="23"/>
        <v>12.700000000000001</v>
      </c>
      <c r="BD25" s="321">
        <f t="shared" si="24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30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1"/>
        <v>677.2</v>
      </c>
      <c r="BM25" s="316" t="e">
        <f>IF(C25="","",IF(Q25="N/A",0,VLOOKUP(Q25,'COST - SELL'!$B$80:$I$91,8,0)*'CALC - RIPP-STD HW '!BD25))</f>
        <v>#N/A</v>
      </c>
      <c r="BN25" s="316">
        <f>IF(C25="","",IF(S25="N/A",0,IF(BE25="N/A",0,INDEX('COST - SELL'!$O$70:$S$73,MATCH('CALC - RIPP-STD HW '!S25,'COST - SELL'!$O$70:$O$73,0),MATCH('CALC - RIPP-STD HW '!BE25,'COST - SELL'!$O$70:$S$70,0)))))</f>
        <v>9.25</v>
      </c>
      <c r="BO25" s="316" t="e">
        <f t="shared" si="32"/>
        <v>#N/A</v>
      </c>
      <c r="BP25" s="316" t="e">
        <f t="shared" si="28"/>
        <v>#N/A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527">
        <f t="shared" si="29"/>
        <v>829.1</v>
      </c>
      <c r="U26" s="560">
        <f t="shared" si="1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 t="e">
        <f t="shared" si="2"/>
        <v>#N/A</v>
      </c>
      <c r="AB26" s="560" t="e">
        <f t="shared" si="34"/>
        <v>#N/A</v>
      </c>
      <c r="AC26" s="568">
        <f>670.46+332.02</f>
        <v>1002.48</v>
      </c>
      <c r="AD26" s="567">
        <f>AC26/$AD$11</f>
        <v>50.124000000000002</v>
      </c>
      <c r="AE26" s="567">
        <f>AD26*$AE$11</f>
        <v>10.024800000000001</v>
      </c>
      <c r="AF26" s="522">
        <f>AD26-AE26</f>
        <v>40.099200000000003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9"/>
        <v>213.4</v>
      </c>
      <c r="AP26" s="304">
        <f t="shared" si="10"/>
        <v>113</v>
      </c>
      <c r="AQ26" s="304">
        <f t="shared" si="11"/>
        <v>54</v>
      </c>
      <c r="AR26" s="318" t="str">
        <f t="shared" si="12"/>
        <v>VERTICAL</v>
      </c>
      <c r="AS26" s="318">
        <f t="shared" si="13"/>
        <v>3.9518518518518522</v>
      </c>
      <c r="AT26" s="319">
        <f t="shared" si="14"/>
        <v>4</v>
      </c>
      <c r="AU26" s="319">
        <f t="shared" si="15"/>
        <v>4</v>
      </c>
      <c r="AV26" s="318">
        <f t="shared" si="16"/>
        <v>13.75</v>
      </c>
      <c r="AW26" s="320">
        <f t="shared" si="17"/>
        <v>13.75</v>
      </c>
      <c r="AX26" s="306">
        <f t="shared" si="18"/>
        <v>214</v>
      </c>
      <c r="AY26" s="308">
        <f t="shared" si="19"/>
        <v>107</v>
      </c>
      <c r="AZ26" s="308">
        <f t="shared" si="20"/>
        <v>54</v>
      </c>
      <c r="BA26" s="308" t="str">
        <f t="shared" si="21"/>
        <v>VERTICAL</v>
      </c>
      <c r="BB26" s="308">
        <f t="shared" si="22"/>
        <v>12.700000000000001</v>
      </c>
      <c r="BC26" s="310">
        <f t="shared" si="23"/>
        <v>12.700000000000001</v>
      </c>
      <c r="BD26" s="321">
        <f t="shared" si="24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30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1"/>
        <v>829.1</v>
      </c>
      <c r="BM26" s="316" t="e">
        <f>IF(C26="","",IF(Q26="N/A",0,VLOOKUP(Q26,'COST - SELL'!$B$80:$I$91,8,0)*'CALC - RIPP-STD HW '!BD26))</f>
        <v>#N/A</v>
      </c>
      <c r="BN26" s="316">
        <f>IF(C26="","",IF(S26="N/A",0,IF(BE26="N/A",0,INDEX('COST - SELL'!$O$70:$S$73,MATCH('CALC - RIPP-STD HW '!S26,'COST - SELL'!$O$70:$O$73,0),MATCH('CALC - RIPP-STD HW '!BE26,'COST - SELL'!$O$70:$S$70,0)))))</f>
        <v>9.25</v>
      </c>
      <c r="BO26" s="316" t="e">
        <f t="shared" si="32"/>
        <v>#N/A</v>
      </c>
      <c r="BP26" s="316" t="e">
        <f t="shared" si="28"/>
        <v>#N/A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29"/>
        <v>568.80000000000007</v>
      </c>
      <c r="U27" s="560">
        <f t="shared" si="1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9"/>
        <v>266.7</v>
      </c>
      <c r="AP27" s="304">
        <f t="shared" si="10"/>
        <v>113</v>
      </c>
      <c r="AQ27" s="304">
        <f t="shared" si="11"/>
        <v>54</v>
      </c>
      <c r="AR27" s="318" t="str">
        <f t="shared" si="12"/>
        <v>VERTICAL</v>
      </c>
      <c r="AS27" s="318">
        <f t="shared" si="13"/>
        <v>4.9388888888888891</v>
      </c>
      <c r="AT27" s="319">
        <f t="shared" si="14"/>
        <v>5</v>
      </c>
      <c r="AU27" s="319">
        <f t="shared" si="15"/>
        <v>5</v>
      </c>
      <c r="AV27" s="318">
        <f t="shared" si="16"/>
        <v>17</v>
      </c>
      <c r="AW27" s="320">
        <f t="shared" si="17"/>
        <v>17</v>
      </c>
      <c r="AX27" s="306">
        <f t="shared" si="18"/>
        <v>267</v>
      </c>
      <c r="AY27" s="308">
        <f t="shared" si="19"/>
        <v>107</v>
      </c>
      <c r="AZ27" s="308">
        <f t="shared" si="20"/>
        <v>54</v>
      </c>
      <c r="BA27" s="308" t="str">
        <f t="shared" si="21"/>
        <v>VERTICAL</v>
      </c>
      <c r="BB27" s="308">
        <f t="shared" si="22"/>
        <v>15.9</v>
      </c>
      <c r="BC27" s="310">
        <f t="shared" si="23"/>
        <v>15.9</v>
      </c>
      <c r="BD27" s="321">
        <f t="shared" si="24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30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1"/>
        <v>568.80000000000007</v>
      </c>
      <c r="BM27" s="316" t="e">
        <f>IF(C27="","",IF(Q27="N/A",0,VLOOKUP(Q27,'COST - SELL'!$B$80:$I$91,8,0)*'CALC - RIPP-STD HW '!BD27))</f>
        <v>#N/A</v>
      </c>
      <c r="BN27" s="316">
        <f>IF(C27="","",IF(S27="N/A",0,IF(BE27="N/A",0,INDEX('COST - SELL'!$O$70:$S$73,MATCH('CALC - RIPP-STD HW '!S27,'COST - SELL'!$O$70:$O$73,0),MATCH('CALC - RIPP-STD HW '!BE27,'COST - SELL'!$O$70:$S$70,0)))))</f>
        <v>9.25</v>
      </c>
      <c r="BO27" s="316" t="e">
        <f t="shared" si="32"/>
        <v>#N/A</v>
      </c>
      <c r="BP27" s="316" t="e">
        <f t="shared" si="28"/>
        <v>#N/A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29"/>
        <v>931.75</v>
      </c>
      <c r="U28" s="560">
        <f t="shared" si="1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9"/>
        <v>266.7</v>
      </c>
      <c r="AP28" s="304">
        <f t="shared" si="10"/>
        <v>113</v>
      </c>
      <c r="AQ28" s="304">
        <f t="shared" si="11"/>
        <v>54</v>
      </c>
      <c r="AR28" s="318" t="str">
        <f t="shared" si="12"/>
        <v>VERTICAL</v>
      </c>
      <c r="AS28" s="318">
        <f t="shared" si="13"/>
        <v>4.9388888888888891</v>
      </c>
      <c r="AT28" s="319">
        <f t="shared" si="14"/>
        <v>5</v>
      </c>
      <c r="AU28" s="319">
        <f t="shared" si="15"/>
        <v>5</v>
      </c>
      <c r="AV28" s="318">
        <f t="shared" si="16"/>
        <v>17</v>
      </c>
      <c r="AW28" s="320">
        <f t="shared" si="17"/>
        <v>17</v>
      </c>
      <c r="AX28" s="306">
        <f t="shared" si="18"/>
        <v>267</v>
      </c>
      <c r="AY28" s="308">
        <f t="shared" si="19"/>
        <v>107</v>
      </c>
      <c r="AZ28" s="308">
        <f t="shared" si="20"/>
        <v>54</v>
      </c>
      <c r="BA28" s="308" t="str">
        <f t="shared" si="21"/>
        <v>VERTICAL</v>
      </c>
      <c r="BB28" s="308">
        <f t="shared" si="22"/>
        <v>15.9</v>
      </c>
      <c r="BC28" s="310">
        <f t="shared" si="23"/>
        <v>15.9</v>
      </c>
      <c r="BD28" s="321">
        <f t="shared" si="24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30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1"/>
        <v>931.75</v>
      </c>
      <c r="BM28" s="316" t="e">
        <f>IF(C28="","",IF(Q28="N/A",0,VLOOKUP(Q28,'COST - SELL'!$B$80:$I$91,8,0)*'CALC - RIPP-STD HW '!BD28))</f>
        <v>#N/A</v>
      </c>
      <c r="BN28" s="316">
        <f>IF(C28="","",IF(S28="N/A",0,IF(BE28="N/A",0,INDEX('COST - SELL'!$O$70:$S$73,MATCH('CALC - RIPP-STD HW '!S28,'COST - SELL'!$O$70:$O$73,0),MATCH('CALC - RIPP-STD HW '!BE28,'COST - SELL'!$O$70:$S$70,0)))))</f>
        <v>9.25</v>
      </c>
      <c r="BO28" s="316" t="e">
        <f t="shared" si="32"/>
        <v>#N/A</v>
      </c>
      <c r="BP28" s="316" t="e">
        <f t="shared" si="28"/>
        <v>#N/A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29"/>
        <v>556.05000000000007</v>
      </c>
      <c r="U29" s="560">
        <f t="shared" si="1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 t="e">
        <f t="shared" si="2"/>
        <v>#N/A</v>
      </c>
      <c r="AB29" s="560" t="e">
        <f t="shared" si="34"/>
        <v>#N/A</v>
      </c>
      <c r="AC29" s="568">
        <f>778.05+332.02</f>
        <v>1110.07</v>
      </c>
      <c r="AD29" s="567">
        <f>AC29/$AD$11</f>
        <v>55.503499999999995</v>
      </c>
      <c r="AE29" s="567">
        <f>AD29*$AE$11</f>
        <v>11.1007</v>
      </c>
      <c r="AF29" s="522">
        <f>AD29-AE29</f>
        <v>44.402799999999999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9"/>
        <v>266.7</v>
      </c>
      <c r="AP29" s="304">
        <f t="shared" si="10"/>
        <v>113</v>
      </c>
      <c r="AQ29" s="304">
        <f t="shared" si="11"/>
        <v>54</v>
      </c>
      <c r="AR29" s="318" t="str">
        <f t="shared" si="12"/>
        <v>VERTICAL</v>
      </c>
      <c r="AS29" s="318">
        <f t="shared" si="13"/>
        <v>4.9388888888888891</v>
      </c>
      <c r="AT29" s="319">
        <f t="shared" si="14"/>
        <v>5</v>
      </c>
      <c r="AU29" s="319">
        <f t="shared" si="15"/>
        <v>5</v>
      </c>
      <c r="AV29" s="318">
        <f t="shared" si="16"/>
        <v>17</v>
      </c>
      <c r="AW29" s="320">
        <f t="shared" si="17"/>
        <v>17</v>
      </c>
      <c r="AX29" s="306">
        <f t="shared" si="18"/>
        <v>267</v>
      </c>
      <c r="AY29" s="308">
        <f t="shared" si="19"/>
        <v>107</v>
      </c>
      <c r="AZ29" s="308">
        <f t="shared" si="20"/>
        <v>54</v>
      </c>
      <c r="BA29" s="308" t="str">
        <f t="shared" si="21"/>
        <v>VERTICAL</v>
      </c>
      <c r="BB29" s="308">
        <f t="shared" si="22"/>
        <v>15.9</v>
      </c>
      <c r="BC29" s="310">
        <f t="shared" si="23"/>
        <v>15.9</v>
      </c>
      <c r="BD29" s="321">
        <f t="shared" si="24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30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1"/>
        <v>556.05000000000007</v>
      </c>
      <c r="BM29" s="316" t="e">
        <f>IF(C29="","",IF(Q29="N/A",0,VLOOKUP(Q29,'COST - SELL'!$B$80:$I$91,8,0)*'CALC - RIPP-STD HW '!BD29))</f>
        <v>#N/A</v>
      </c>
      <c r="BN29" s="316">
        <f>IF(C29="","",IF(S29="N/A",0,IF(BE29="N/A",0,INDEX('COST - SELL'!$O$70:$S$73,MATCH('CALC - RIPP-STD HW '!S29,'COST - SELL'!$O$70:$O$73,0),MATCH('CALC - RIPP-STD HW '!BE29,'COST - SELL'!$O$70:$S$70,0)))))</f>
        <v>9.25</v>
      </c>
      <c r="BO29" s="316" t="e">
        <f t="shared" si="32"/>
        <v>#N/A</v>
      </c>
      <c r="BP29" s="316" t="e">
        <f t="shared" si="28"/>
        <v>#N/A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29"/>
        <v>781.30000000000007</v>
      </c>
      <c r="U30" s="560">
        <f t="shared" si="1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 t="e">
        <f t="shared" si="2"/>
        <v>#N/A</v>
      </c>
      <c r="AB30" s="560" t="e">
        <f t="shared" si="34"/>
        <v>#N/A</v>
      </c>
      <c r="AC30" s="568">
        <f>778.05+332.02</f>
        <v>1110.07</v>
      </c>
      <c r="AD30" s="567">
        <f>AC30/$AD$11</f>
        <v>55.503499999999995</v>
      </c>
      <c r="AE30" s="567">
        <f>AD30*$AE$11</f>
        <v>11.1007</v>
      </c>
      <c r="AF30" s="522">
        <f>AD30-AE30</f>
        <v>44.402799999999999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9"/>
        <v>266.7</v>
      </c>
      <c r="AP30" s="304">
        <f t="shared" si="10"/>
        <v>113</v>
      </c>
      <c r="AQ30" s="304">
        <f t="shared" si="11"/>
        <v>54</v>
      </c>
      <c r="AR30" s="318" t="str">
        <f t="shared" si="12"/>
        <v>VERTICAL</v>
      </c>
      <c r="AS30" s="318">
        <f t="shared" si="13"/>
        <v>4.9388888888888891</v>
      </c>
      <c r="AT30" s="319">
        <f t="shared" si="14"/>
        <v>5</v>
      </c>
      <c r="AU30" s="319">
        <f t="shared" si="15"/>
        <v>5</v>
      </c>
      <c r="AV30" s="318">
        <f t="shared" si="16"/>
        <v>17</v>
      </c>
      <c r="AW30" s="320">
        <f t="shared" si="17"/>
        <v>17</v>
      </c>
      <c r="AX30" s="306">
        <f t="shared" si="18"/>
        <v>267</v>
      </c>
      <c r="AY30" s="308">
        <f t="shared" si="19"/>
        <v>107</v>
      </c>
      <c r="AZ30" s="308">
        <f t="shared" si="20"/>
        <v>54</v>
      </c>
      <c r="BA30" s="308" t="str">
        <f t="shared" si="21"/>
        <v>VERTICAL</v>
      </c>
      <c r="BB30" s="308">
        <f t="shared" si="22"/>
        <v>15.9</v>
      </c>
      <c r="BC30" s="310">
        <f t="shared" si="23"/>
        <v>15.9</v>
      </c>
      <c r="BD30" s="321">
        <f t="shared" si="24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30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1"/>
        <v>781.30000000000007</v>
      </c>
      <c r="BM30" s="316" t="e">
        <f>IF(C30="","",IF(Q30="N/A",0,VLOOKUP(Q30,'COST - SELL'!$B$80:$I$91,8,0)*'CALC - RIPP-STD HW '!BD30))</f>
        <v>#N/A</v>
      </c>
      <c r="BN30" s="316">
        <f>IF(C30="","",IF(S30="N/A",0,IF(BE30="N/A",0,INDEX('COST - SELL'!$O$70:$S$73,MATCH('CALC - RIPP-STD HW '!S30,'COST - SELL'!$O$70:$O$73,0),MATCH('CALC - RIPP-STD HW '!BE30,'COST - SELL'!$O$70:$S$70,0)))))</f>
        <v>9.25</v>
      </c>
      <c r="BO30" s="316" t="e">
        <f t="shared" si="32"/>
        <v>#N/A</v>
      </c>
      <c r="BP30" s="316" t="e">
        <f t="shared" si="28"/>
        <v>#N/A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29"/>
        <v>838.25</v>
      </c>
      <c r="U31" s="560">
        <f t="shared" si="1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 t="e">
        <f t="shared" si="2"/>
        <v>#N/A</v>
      </c>
      <c r="AB31" s="560" t="e">
        <f t="shared" si="34"/>
        <v>#N/A</v>
      </c>
      <c r="AC31" s="568">
        <f>778.05+332.02</f>
        <v>1110.07</v>
      </c>
      <c r="AD31" s="567">
        <f>AC31/$AD$11</f>
        <v>55.503499999999995</v>
      </c>
      <c r="AE31" s="567">
        <f>AD31*$AE$11</f>
        <v>11.1007</v>
      </c>
      <c r="AF31" s="522">
        <f>AD31-AE31</f>
        <v>44.402799999999999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9"/>
        <v>266.7</v>
      </c>
      <c r="AP31" s="304">
        <f t="shared" si="10"/>
        <v>113</v>
      </c>
      <c r="AQ31" s="304">
        <f t="shared" si="11"/>
        <v>54</v>
      </c>
      <c r="AR31" s="318" t="str">
        <f t="shared" si="12"/>
        <v>VERTICAL</v>
      </c>
      <c r="AS31" s="318">
        <f t="shared" si="13"/>
        <v>4.9388888888888891</v>
      </c>
      <c r="AT31" s="319">
        <f t="shared" si="14"/>
        <v>5</v>
      </c>
      <c r="AU31" s="319">
        <f t="shared" si="15"/>
        <v>5</v>
      </c>
      <c r="AV31" s="318">
        <f t="shared" si="16"/>
        <v>17</v>
      </c>
      <c r="AW31" s="320">
        <f t="shared" si="17"/>
        <v>17</v>
      </c>
      <c r="AX31" s="306">
        <f t="shared" si="18"/>
        <v>267</v>
      </c>
      <c r="AY31" s="308">
        <f t="shared" si="19"/>
        <v>107</v>
      </c>
      <c r="AZ31" s="308">
        <f t="shared" si="20"/>
        <v>54</v>
      </c>
      <c r="BA31" s="308" t="str">
        <f t="shared" si="21"/>
        <v>VERTICAL</v>
      </c>
      <c r="BB31" s="308">
        <f t="shared" si="22"/>
        <v>15.9</v>
      </c>
      <c r="BC31" s="310">
        <f t="shared" si="23"/>
        <v>15.9</v>
      </c>
      <c r="BD31" s="321">
        <f t="shared" si="24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30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1"/>
        <v>838.25</v>
      </c>
      <c r="BM31" s="316" t="e">
        <f>IF(C31="","",IF(Q31="N/A",0,VLOOKUP(Q31,'COST - SELL'!$B$80:$I$91,8,0)*'CALC - RIPP-STD HW '!BD31))</f>
        <v>#N/A</v>
      </c>
      <c r="BN31" s="316">
        <f>IF(C31="","",IF(S31="N/A",0,IF(BE31="N/A",0,INDEX('COST - SELL'!$O$70:$S$73,MATCH('CALC - RIPP-STD HW '!S31,'COST - SELL'!$O$70:$O$73,0),MATCH('CALC - RIPP-STD HW '!BE31,'COST - SELL'!$O$70:$S$70,0)))))</f>
        <v>9.25</v>
      </c>
      <c r="BO31" s="316" t="e">
        <f t="shared" si="32"/>
        <v>#N/A</v>
      </c>
      <c r="BP31" s="316" t="e">
        <f t="shared" si="28"/>
        <v>#N/A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29"/>
        <v>1026.1000000000001</v>
      </c>
      <c r="U32" s="560">
        <f t="shared" si="1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 t="e">
        <f t="shared" si="2"/>
        <v>#N/A</v>
      </c>
      <c r="AB32" s="560" t="e">
        <f t="shared" si="34"/>
        <v>#N/A</v>
      </c>
      <c r="AC32" s="568">
        <f>778.05+332.02</f>
        <v>1110.07</v>
      </c>
      <c r="AD32" s="567">
        <f>AC32/$AD$11</f>
        <v>55.503499999999995</v>
      </c>
      <c r="AE32" s="567">
        <f>AD32*$AE$11</f>
        <v>11.1007</v>
      </c>
      <c r="AF32" s="522">
        <f>AD32-AE32</f>
        <v>44.402799999999999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9"/>
        <v>266.7</v>
      </c>
      <c r="AP32" s="304">
        <f t="shared" si="10"/>
        <v>113</v>
      </c>
      <c r="AQ32" s="304">
        <f t="shared" si="11"/>
        <v>54</v>
      </c>
      <c r="AR32" s="318" t="str">
        <f t="shared" si="12"/>
        <v>VERTICAL</v>
      </c>
      <c r="AS32" s="318">
        <f t="shared" si="13"/>
        <v>4.9388888888888891</v>
      </c>
      <c r="AT32" s="319">
        <f t="shared" si="14"/>
        <v>5</v>
      </c>
      <c r="AU32" s="319">
        <f t="shared" si="15"/>
        <v>5</v>
      </c>
      <c r="AV32" s="318">
        <f t="shared" si="16"/>
        <v>17</v>
      </c>
      <c r="AW32" s="320">
        <f t="shared" si="17"/>
        <v>17</v>
      </c>
      <c r="AX32" s="306">
        <f t="shared" si="18"/>
        <v>267</v>
      </c>
      <c r="AY32" s="308">
        <f t="shared" si="19"/>
        <v>107</v>
      </c>
      <c r="AZ32" s="308">
        <f t="shared" si="20"/>
        <v>54</v>
      </c>
      <c r="BA32" s="308" t="str">
        <f t="shared" si="21"/>
        <v>VERTICAL</v>
      </c>
      <c r="BB32" s="308">
        <f t="shared" si="22"/>
        <v>15.9</v>
      </c>
      <c r="BC32" s="310">
        <f t="shared" si="23"/>
        <v>15.9</v>
      </c>
      <c r="BD32" s="321">
        <f t="shared" si="24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30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1"/>
        <v>1026.1000000000001</v>
      </c>
      <c r="BM32" s="316" t="e">
        <f>IF(C32="","",IF(Q32="N/A",0,VLOOKUP(Q32,'COST - SELL'!$B$80:$I$91,8,0)*'CALC - RIPP-STD HW '!BD32))</f>
        <v>#N/A</v>
      </c>
      <c r="BN32" s="316">
        <f>IF(C32="","",IF(S32="N/A",0,IF(BE32="N/A",0,INDEX('COST - SELL'!$O$70:$S$73,MATCH('CALC - RIPP-STD HW '!S32,'COST - SELL'!$O$70:$O$73,0),MATCH('CALC - RIPP-STD HW '!BE32,'COST - SELL'!$O$70:$S$70,0)))))</f>
        <v>9.25</v>
      </c>
      <c r="BO32" s="316" t="e">
        <f t="shared" si="32"/>
        <v>#N/A</v>
      </c>
      <c r="BP32" s="316" t="e">
        <f t="shared" si="28"/>
        <v>#N/A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29"/>
        <v>685.35</v>
      </c>
      <c r="U33" s="560">
        <f t="shared" si="1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9"/>
        <v>320</v>
      </c>
      <c r="AP33" s="304">
        <f t="shared" si="10"/>
        <v>113</v>
      </c>
      <c r="AQ33" s="304">
        <f t="shared" si="11"/>
        <v>54</v>
      </c>
      <c r="AR33" s="318" t="str">
        <f t="shared" si="12"/>
        <v>VERTICAL</v>
      </c>
      <c r="AS33" s="318">
        <f t="shared" si="13"/>
        <v>5.9259259259259256</v>
      </c>
      <c r="AT33" s="319">
        <f t="shared" si="14"/>
        <v>6</v>
      </c>
      <c r="AU33" s="319">
        <f t="shared" si="15"/>
        <v>6</v>
      </c>
      <c r="AV33" s="318">
        <f t="shared" si="16"/>
        <v>20.5</v>
      </c>
      <c r="AW33" s="320">
        <f t="shared" si="17"/>
        <v>20.5</v>
      </c>
      <c r="AX33" s="306">
        <f t="shared" si="18"/>
        <v>320</v>
      </c>
      <c r="AY33" s="308">
        <f t="shared" si="19"/>
        <v>107</v>
      </c>
      <c r="AZ33" s="308">
        <f t="shared" si="20"/>
        <v>54</v>
      </c>
      <c r="BA33" s="308" t="str">
        <f t="shared" si="21"/>
        <v>VERTICAL</v>
      </c>
      <c r="BB33" s="308">
        <f t="shared" si="22"/>
        <v>19</v>
      </c>
      <c r="BC33" s="310">
        <f t="shared" si="23"/>
        <v>19</v>
      </c>
      <c r="BD33" s="321">
        <f t="shared" si="24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30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1"/>
        <v>685.35</v>
      </c>
      <c r="BM33" s="316" t="e">
        <f>IF(C33="","",IF(Q33="N/A",0,VLOOKUP(Q33,'COST - SELL'!$B$80:$I$91,8,0)*'CALC - RIPP-STD HW '!BD33))</f>
        <v>#N/A</v>
      </c>
      <c r="BN33" s="316">
        <f>IF(C33="","",IF(S33="N/A",0,IF(BE33="N/A",0,INDEX('COST - SELL'!$O$70:$S$73,MATCH('CALC - RIPP-STD HW '!S33,'COST - SELL'!$O$70:$O$73,0),MATCH('CALC - RIPP-STD HW '!BE33,'COST - SELL'!$O$70:$S$70,0)))))</f>
        <v>9.25</v>
      </c>
      <c r="BO33" s="316" t="e">
        <f t="shared" si="32"/>
        <v>#N/A</v>
      </c>
      <c r="BP33" s="316" t="e">
        <f t="shared" si="28"/>
        <v>#N/A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29"/>
        <v>1123.05</v>
      </c>
      <c r="U34" s="560">
        <f t="shared" si="1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9"/>
        <v>320</v>
      </c>
      <c r="AP34" s="304">
        <f t="shared" si="10"/>
        <v>113</v>
      </c>
      <c r="AQ34" s="304">
        <f t="shared" si="11"/>
        <v>54</v>
      </c>
      <c r="AR34" s="318" t="str">
        <f t="shared" si="12"/>
        <v>VERTICAL</v>
      </c>
      <c r="AS34" s="318">
        <f t="shared" si="13"/>
        <v>5.9259259259259256</v>
      </c>
      <c r="AT34" s="319">
        <f t="shared" si="14"/>
        <v>6</v>
      </c>
      <c r="AU34" s="319">
        <f t="shared" si="15"/>
        <v>6</v>
      </c>
      <c r="AV34" s="318">
        <f t="shared" si="16"/>
        <v>20.5</v>
      </c>
      <c r="AW34" s="320">
        <f t="shared" si="17"/>
        <v>20.5</v>
      </c>
      <c r="AX34" s="306">
        <f t="shared" si="18"/>
        <v>320</v>
      </c>
      <c r="AY34" s="308">
        <f t="shared" si="19"/>
        <v>107</v>
      </c>
      <c r="AZ34" s="308">
        <f t="shared" si="20"/>
        <v>54</v>
      </c>
      <c r="BA34" s="308" t="str">
        <f t="shared" si="21"/>
        <v>VERTICAL</v>
      </c>
      <c r="BB34" s="308">
        <f t="shared" si="22"/>
        <v>19</v>
      </c>
      <c r="BC34" s="310">
        <f t="shared" si="23"/>
        <v>19</v>
      </c>
      <c r="BD34" s="321">
        <f t="shared" si="24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30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1"/>
        <v>1123.05</v>
      </c>
      <c r="BM34" s="316" t="e">
        <f>IF(C34="","",IF(Q34="N/A",0,VLOOKUP(Q34,'COST - SELL'!$B$80:$I$91,8,0)*'CALC - RIPP-STD HW '!BD34))</f>
        <v>#N/A</v>
      </c>
      <c r="BN34" s="316">
        <f>IF(C34="","",IF(S34="N/A",0,IF(BE34="N/A",0,INDEX('COST - SELL'!$O$70:$S$73,MATCH('CALC - RIPP-STD HW '!S34,'COST - SELL'!$O$70:$O$73,0),MATCH('CALC - RIPP-STD HW '!BE34,'COST - SELL'!$O$70:$S$70,0)))))</f>
        <v>9.25</v>
      </c>
      <c r="BO34" s="316" t="e">
        <f t="shared" si="32"/>
        <v>#N/A</v>
      </c>
      <c r="BP34" s="316" t="e">
        <f t="shared" si="28"/>
        <v>#N/A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29"/>
        <v>670</v>
      </c>
      <c r="U35" s="560">
        <f t="shared" si="1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 t="e">
        <f t="shared" si="2"/>
        <v>#N/A</v>
      </c>
      <c r="AB35" s="560" t="e">
        <f t="shared" si="34"/>
        <v>#N/A</v>
      </c>
      <c r="AC35" s="568">
        <f>933.88+332.02</f>
        <v>1265.9000000000001</v>
      </c>
      <c r="AD35" s="567">
        <f>AC35/$AD$11</f>
        <v>63.295000000000002</v>
      </c>
      <c r="AE35" s="567">
        <f>AD35*$AE$11</f>
        <v>12.659000000000001</v>
      </c>
      <c r="AF35" s="522">
        <f>AD35-AE35</f>
        <v>50.636000000000003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9"/>
        <v>320</v>
      </c>
      <c r="AP35" s="304">
        <f t="shared" si="10"/>
        <v>113</v>
      </c>
      <c r="AQ35" s="304">
        <f t="shared" si="11"/>
        <v>54</v>
      </c>
      <c r="AR35" s="318" t="str">
        <f t="shared" si="12"/>
        <v>VERTICAL</v>
      </c>
      <c r="AS35" s="318">
        <f t="shared" si="13"/>
        <v>5.9259259259259256</v>
      </c>
      <c r="AT35" s="319">
        <f t="shared" si="14"/>
        <v>6</v>
      </c>
      <c r="AU35" s="319">
        <f t="shared" si="15"/>
        <v>6</v>
      </c>
      <c r="AV35" s="318">
        <f t="shared" si="16"/>
        <v>20.5</v>
      </c>
      <c r="AW35" s="320">
        <f t="shared" si="17"/>
        <v>20.5</v>
      </c>
      <c r="AX35" s="306">
        <f t="shared" si="18"/>
        <v>320</v>
      </c>
      <c r="AY35" s="308">
        <f t="shared" si="19"/>
        <v>107</v>
      </c>
      <c r="AZ35" s="308">
        <f t="shared" si="20"/>
        <v>54</v>
      </c>
      <c r="BA35" s="308" t="str">
        <f t="shared" si="21"/>
        <v>VERTICAL</v>
      </c>
      <c r="BB35" s="308">
        <f t="shared" si="22"/>
        <v>19</v>
      </c>
      <c r="BC35" s="310">
        <f t="shared" si="23"/>
        <v>19</v>
      </c>
      <c r="BD35" s="321">
        <f t="shared" si="24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30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1"/>
        <v>670</v>
      </c>
      <c r="BM35" s="316" t="e">
        <f>IF(C35="","",IF(Q35="N/A",0,VLOOKUP(Q35,'COST - SELL'!$B$80:$I$91,8,0)*'CALC - RIPP-STD HW '!BD35))</f>
        <v>#N/A</v>
      </c>
      <c r="BN35" s="316">
        <f>IF(C35="","",IF(S35="N/A",0,IF(BE35="N/A",0,INDEX('COST - SELL'!$O$70:$S$73,MATCH('CALC - RIPP-STD HW '!S35,'COST - SELL'!$O$70:$O$73,0),MATCH('CALC - RIPP-STD HW '!BE35,'COST - SELL'!$O$70:$S$70,0)))))</f>
        <v>9.25</v>
      </c>
      <c r="BO35" s="316" t="e">
        <f t="shared" si="32"/>
        <v>#N/A</v>
      </c>
      <c r="BP35" s="316" t="e">
        <f t="shared" si="28"/>
        <v>#N/A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29"/>
        <v>941.6</v>
      </c>
      <c r="U36" s="560">
        <f t="shared" si="1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 t="e">
        <f t="shared" si="2"/>
        <v>#N/A</v>
      </c>
      <c r="AB36" s="560" t="e">
        <f t="shared" si="34"/>
        <v>#N/A</v>
      </c>
      <c r="AC36" s="568">
        <f>933.88+332.02</f>
        <v>1265.9000000000001</v>
      </c>
      <c r="AD36" s="567">
        <f>AC36/$AD$11</f>
        <v>63.295000000000002</v>
      </c>
      <c r="AE36" s="567">
        <f>AD36*$AE$11</f>
        <v>12.659000000000001</v>
      </c>
      <c r="AF36" s="522">
        <f>AD36-AE36</f>
        <v>50.636000000000003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9"/>
        <v>320</v>
      </c>
      <c r="AP36" s="304">
        <f t="shared" si="10"/>
        <v>113</v>
      </c>
      <c r="AQ36" s="304">
        <f t="shared" si="11"/>
        <v>54</v>
      </c>
      <c r="AR36" s="318" t="str">
        <f t="shared" si="12"/>
        <v>VERTICAL</v>
      </c>
      <c r="AS36" s="318">
        <f t="shared" si="13"/>
        <v>5.9259259259259256</v>
      </c>
      <c r="AT36" s="319">
        <f t="shared" si="14"/>
        <v>6</v>
      </c>
      <c r="AU36" s="319">
        <f t="shared" si="15"/>
        <v>6</v>
      </c>
      <c r="AV36" s="318">
        <f t="shared" si="16"/>
        <v>20.5</v>
      </c>
      <c r="AW36" s="320">
        <f t="shared" si="17"/>
        <v>20.5</v>
      </c>
      <c r="AX36" s="306">
        <f t="shared" si="18"/>
        <v>320</v>
      </c>
      <c r="AY36" s="308">
        <f t="shared" si="19"/>
        <v>107</v>
      </c>
      <c r="AZ36" s="308">
        <f t="shared" si="20"/>
        <v>54</v>
      </c>
      <c r="BA36" s="308" t="str">
        <f t="shared" si="21"/>
        <v>VERTICAL</v>
      </c>
      <c r="BB36" s="308">
        <f t="shared" si="22"/>
        <v>19</v>
      </c>
      <c r="BC36" s="310">
        <f t="shared" si="23"/>
        <v>19</v>
      </c>
      <c r="BD36" s="321">
        <f t="shared" si="24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30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1"/>
        <v>941.6</v>
      </c>
      <c r="BM36" s="316" t="e">
        <f>IF(C36="","",IF(Q36="N/A",0,VLOOKUP(Q36,'COST - SELL'!$B$80:$I$91,8,0)*'CALC - RIPP-STD HW '!BD36))</f>
        <v>#N/A</v>
      </c>
      <c r="BN36" s="316">
        <f>IF(C36="","",IF(S36="N/A",0,IF(BE36="N/A",0,INDEX('COST - SELL'!$O$70:$S$73,MATCH('CALC - RIPP-STD HW '!S36,'COST - SELL'!$O$70:$O$73,0),MATCH('CALC - RIPP-STD HW '!BE36,'COST - SELL'!$O$70:$S$70,0)))))</f>
        <v>9.25</v>
      </c>
      <c r="BO36" s="316" t="e">
        <f t="shared" si="32"/>
        <v>#N/A</v>
      </c>
      <c r="BP36" s="316" t="e">
        <f t="shared" si="28"/>
        <v>#N/A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29"/>
        <v>1010.3000000000001</v>
      </c>
      <c r="U37" s="560">
        <f t="shared" si="1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 t="e">
        <f t="shared" si="2"/>
        <v>#N/A</v>
      </c>
      <c r="AB37" s="560" t="e">
        <f t="shared" si="34"/>
        <v>#N/A</v>
      </c>
      <c r="AC37" s="568">
        <f>933.88+332.02</f>
        <v>1265.9000000000001</v>
      </c>
      <c r="AD37" s="567">
        <f>AC37/$AD$11</f>
        <v>63.295000000000002</v>
      </c>
      <c r="AE37" s="567">
        <f>AD37*$AE$11</f>
        <v>12.659000000000001</v>
      </c>
      <c r="AF37" s="522">
        <f>AD37-AE37</f>
        <v>50.636000000000003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9"/>
        <v>320</v>
      </c>
      <c r="AP37" s="304">
        <f t="shared" si="10"/>
        <v>113</v>
      </c>
      <c r="AQ37" s="304">
        <f t="shared" si="11"/>
        <v>54</v>
      </c>
      <c r="AR37" s="318" t="str">
        <f t="shared" si="12"/>
        <v>VERTICAL</v>
      </c>
      <c r="AS37" s="318">
        <f t="shared" si="13"/>
        <v>5.9259259259259256</v>
      </c>
      <c r="AT37" s="319">
        <f t="shared" si="14"/>
        <v>6</v>
      </c>
      <c r="AU37" s="319">
        <f t="shared" si="15"/>
        <v>6</v>
      </c>
      <c r="AV37" s="318">
        <f t="shared" si="16"/>
        <v>20.5</v>
      </c>
      <c r="AW37" s="320">
        <f t="shared" si="17"/>
        <v>20.5</v>
      </c>
      <c r="AX37" s="306">
        <f t="shared" si="18"/>
        <v>320</v>
      </c>
      <c r="AY37" s="308">
        <f t="shared" si="19"/>
        <v>107</v>
      </c>
      <c r="AZ37" s="308">
        <f t="shared" si="20"/>
        <v>54</v>
      </c>
      <c r="BA37" s="308" t="str">
        <f t="shared" si="21"/>
        <v>VERTICAL</v>
      </c>
      <c r="BB37" s="308">
        <f t="shared" si="22"/>
        <v>19</v>
      </c>
      <c r="BC37" s="310">
        <f t="shared" si="23"/>
        <v>19</v>
      </c>
      <c r="BD37" s="321">
        <f t="shared" si="24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30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1"/>
        <v>1010.3000000000001</v>
      </c>
      <c r="BM37" s="316" t="e">
        <f>IF(C37="","",IF(Q37="N/A",0,VLOOKUP(Q37,'COST - SELL'!$B$80:$I$91,8,0)*'CALC - RIPP-STD HW '!BD37))</f>
        <v>#N/A</v>
      </c>
      <c r="BN37" s="316">
        <f>IF(C37="","",IF(S37="N/A",0,IF(BE37="N/A",0,INDEX('COST - SELL'!$O$70:$S$73,MATCH('CALC - RIPP-STD HW '!S37,'COST - SELL'!$O$70:$O$73,0),MATCH('CALC - RIPP-STD HW '!BE37,'COST - SELL'!$O$70:$S$70,0)))))</f>
        <v>9.25</v>
      </c>
      <c r="BO37" s="316" t="e">
        <f t="shared" si="32"/>
        <v>#N/A</v>
      </c>
      <c r="BP37" s="316" t="e">
        <f t="shared" si="28"/>
        <v>#N/A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29"/>
        <v>1236.8000000000002</v>
      </c>
      <c r="U38" s="560">
        <f t="shared" si="1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 t="e">
        <f t="shared" si="2"/>
        <v>#N/A</v>
      </c>
      <c r="AB38" s="560" t="e">
        <f t="shared" si="34"/>
        <v>#N/A</v>
      </c>
      <c r="AC38" s="568">
        <f>933.88+332.02</f>
        <v>1265.9000000000001</v>
      </c>
      <c r="AD38" s="567">
        <f>AC38/$AD$11</f>
        <v>63.295000000000002</v>
      </c>
      <c r="AE38" s="567">
        <f>AD38*$AE$11</f>
        <v>12.659000000000001</v>
      </c>
      <c r="AF38" s="522">
        <f>AD38-AE38</f>
        <v>50.636000000000003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9"/>
        <v>320</v>
      </c>
      <c r="AP38" s="304">
        <f t="shared" si="10"/>
        <v>113</v>
      </c>
      <c r="AQ38" s="304">
        <f t="shared" si="11"/>
        <v>54</v>
      </c>
      <c r="AR38" s="318" t="str">
        <f t="shared" si="12"/>
        <v>VERTICAL</v>
      </c>
      <c r="AS38" s="318">
        <f t="shared" si="13"/>
        <v>5.9259259259259256</v>
      </c>
      <c r="AT38" s="319">
        <f t="shared" si="14"/>
        <v>6</v>
      </c>
      <c r="AU38" s="319">
        <f t="shared" si="15"/>
        <v>6</v>
      </c>
      <c r="AV38" s="318">
        <f t="shared" si="16"/>
        <v>20.5</v>
      </c>
      <c r="AW38" s="320">
        <f t="shared" si="17"/>
        <v>20.5</v>
      </c>
      <c r="AX38" s="306">
        <f t="shared" si="18"/>
        <v>320</v>
      </c>
      <c r="AY38" s="308">
        <f t="shared" si="19"/>
        <v>107</v>
      </c>
      <c r="AZ38" s="308">
        <f t="shared" si="20"/>
        <v>54</v>
      </c>
      <c r="BA38" s="308" t="str">
        <f t="shared" si="21"/>
        <v>VERTICAL</v>
      </c>
      <c r="BB38" s="308">
        <f t="shared" si="22"/>
        <v>19</v>
      </c>
      <c r="BC38" s="310">
        <f t="shared" si="23"/>
        <v>19</v>
      </c>
      <c r="BD38" s="321">
        <f t="shared" si="24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30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1"/>
        <v>1236.8000000000002</v>
      </c>
      <c r="BM38" s="316" t="e">
        <f>IF(C38="","",IF(Q38="N/A",0,VLOOKUP(Q38,'COST - SELL'!$B$80:$I$91,8,0)*'CALC - RIPP-STD HW '!BD38))</f>
        <v>#N/A</v>
      </c>
      <c r="BN38" s="316">
        <f>IF(C38="","",IF(S38="N/A",0,IF(BE38="N/A",0,INDEX('COST - SELL'!$O$70:$S$73,MATCH('CALC - RIPP-STD HW '!S38,'COST - SELL'!$O$70:$O$73,0),MATCH('CALC - RIPP-STD HW '!BE38,'COST - SELL'!$O$70:$S$70,0)))))</f>
        <v>9.25</v>
      </c>
      <c r="BO38" s="316" t="e">
        <f t="shared" si="32"/>
        <v>#N/A</v>
      </c>
      <c r="BP38" s="316" t="e">
        <f t="shared" si="28"/>
        <v>#N/A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29"/>
        <v>207.75</v>
      </c>
      <c r="U39" s="560">
        <f t="shared" si="1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9"/>
        <v>160.1</v>
      </c>
      <c r="AP39" s="304">
        <f t="shared" si="10"/>
        <v>113</v>
      </c>
      <c r="AQ39" s="304">
        <f t="shared" si="11"/>
        <v>118</v>
      </c>
      <c r="AR39" s="318" t="str">
        <f t="shared" si="12"/>
        <v>RAILROAD</v>
      </c>
      <c r="AS39" s="318">
        <f t="shared" si="13"/>
        <v>1.3567796610169491</v>
      </c>
      <c r="AT39" s="319" t="str">
        <f t="shared" si="14"/>
        <v>N/A</v>
      </c>
      <c r="AU39" s="319">
        <f t="shared" si="15"/>
        <v>3</v>
      </c>
      <c r="AV39" s="318">
        <f t="shared" si="16"/>
        <v>5</v>
      </c>
      <c r="AW39" s="320">
        <f t="shared" si="17"/>
        <v>5</v>
      </c>
      <c r="AX39" s="306">
        <f t="shared" si="18"/>
        <v>161</v>
      </c>
      <c r="AY39" s="308">
        <f t="shared" si="19"/>
        <v>107</v>
      </c>
      <c r="AZ39" s="308">
        <f t="shared" si="20"/>
        <v>54</v>
      </c>
      <c r="BA39" s="308" t="str">
        <f t="shared" si="21"/>
        <v>VERTICAL</v>
      </c>
      <c r="BB39" s="308">
        <f t="shared" si="22"/>
        <v>9.5</v>
      </c>
      <c r="BC39" s="310">
        <f t="shared" si="23"/>
        <v>9.5</v>
      </c>
      <c r="BD39" s="321">
        <f t="shared" si="24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30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1"/>
        <v>207.75</v>
      </c>
      <c r="BM39" s="316" t="e">
        <f>IF(C39="","",IF(Q39="N/A",0,VLOOKUP(Q39,'COST - SELL'!$B$80:$I$91,8,0)*'CALC - RIPP-STD HW '!BD39))</f>
        <v>#N/A</v>
      </c>
      <c r="BN39" s="316">
        <f>IF(C39="","",IF(S39="N/A",0,IF(BE39="N/A",0,INDEX('COST - SELL'!$O$70:$S$73,MATCH('CALC - RIPP-STD HW '!S39,'COST - SELL'!$O$70:$O$73,0),MATCH('CALC - RIPP-STD HW '!BE39,'COST - SELL'!$O$70:$S$70,0)))))</f>
        <v>9.25</v>
      </c>
      <c r="BO39" s="316" t="e">
        <f t="shared" si="32"/>
        <v>#N/A</v>
      </c>
      <c r="BP39" s="316" t="e">
        <f t="shared" si="28"/>
        <v>#N/A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29"/>
        <v>315.75</v>
      </c>
      <c r="U40" s="560">
        <f t="shared" si="1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9"/>
        <v>160.1</v>
      </c>
      <c r="AP40" s="304">
        <f t="shared" si="10"/>
        <v>113</v>
      </c>
      <c r="AQ40" s="304">
        <f t="shared" si="11"/>
        <v>118</v>
      </c>
      <c r="AR40" s="318" t="str">
        <f t="shared" si="12"/>
        <v>RAILROAD</v>
      </c>
      <c r="AS40" s="318">
        <f t="shared" si="13"/>
        <v>1.3567796610169491</v>
      </c>
      <c r="AT40" s="319" t="str">
        <f t="shared" si="14"/>
        <v>N/A</v>
      </c>
      <c r="AU40" s="319">
        <f t="shared" si="15"/>
        <v>3</v>
      </c>
      <c r="AV40" s="318">
        <f t="shared" si="16"/>
        <v>5</v>
      </c>
      <c r="AW40" s="320">
        <f t="shared" si="17"/>
        <v>5</v>
      </c>
      <c r="AX40" s="306">
        <f t="shared" si="18"/>
        <v>161</v>
      </c>
      <c r="AY40" s="308">
        <f t="shared" si="19"/>
        <v>107</v>
      </c>
      <c r="AZ40" s="308">
        <f t="shared" si="20"/>
        <v>54</v>
      </c>
      <c r="BA40" s="308" t="str">
        <f t="shared" si="21"/>
        <v>VERTICAL</v>
      </c>
      <c r="BB40" s="308">
        <f t="shared" si="22"/>
        <v>9.5</v>
      </c>
      <c r="BC40" s="310">
        <f t="shared" si="23"/>
        <v>9.5</v>
      </c>
      <c r="BD40" s="321">
        <f t="shared" si="24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30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1"/>
        <v>315.75</v>
      </c>
      <c r="BM40" s="316" t="e">
        <f>IF(C40="","",IF(Q40="N/A",0,VLOOKUP(Q40,'COST - SELL'!$B$80:$I$91,8,0)*'CALC - RIPP-STD HW '!BD40))</f>
        <v>#N/A</v>
      </c>
      <c r="BN40" s="316">
        <f>IF(C40="","",IF(S40="N/A",0,IF(BE40="N/A",0,INDEX('COST - SELL'!$O$70:$S$73,MATCH('CALC - RIPP-STD HW '!S40,'COST - SELL'!$O$70:$O$73,0),MATCH('CALC - RIPP-STD HW '!BE40,'COST - SELL'!$O$70:$S$70,0)))))</f>
        <v>9.25</v>
      </c>
      <c r="BO40" s="316" t="e">
        <f t="shared" si="32"/>
        <v>#N/A</v>
      </c>
      <c r="BP40" s="316" t="e">
        <f t="shared" si="28"/>
        <v>#N/A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29"/>
        <v>265.75</v>
      </c>
      <c r="U41" s="560">
        <f t="shared" si="1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 t="e">
        <f t="shared" si="2"/>
        <v>#N/A</v>
      </c>
      <c r="AB41" s="560" t="e">
        <f t="shared" si="34"/>
        <v>#N/A</v>
      </c>
      <c r="AC41" s="568">
        <f>548.6+332.02</f>
        <v>880.62</v>
      </c>
      <c r="AD41" s="567">
        <f>AC41/$AD$11</f>
        <v>44.030999999999999</v>
      </c>
      <c r="AE41" s="567">
        <f>AD41*$AE$11</f>
        <v>8.8062000000000005</v>
      </c>
      <c r="AF41" s="522">
        <f>AD41-AE41</f>
        <v>35.224800000000002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9"/>
        <v>160.1</v>
      </c>
      <c r="AP41" s="304">
        <f t="shared" si="10"/>
        <v>113</v>
      </c>
      <c r="AQ41" s="304">
        <f t="shared" si="11"/>
        <v>118</v>
      </c>
      <c r="AR41" s="318" t="str">
        <f t="shared" si="12"/>
        <v>RAILROAD</v>
      </c>
      <c r="AS41" s="318">
        <f t="shared" si="13"/>
        <v>1.3567796610169491</v>
      </c>
      <c r="AT41" s="319" t="str">
        <f t="shared" si="14"/>
        <v>N/A</v>
      </c>
      <c r="AU41" s="319">
        <f t="shared" si="15"/>
        <v>3</v>
      </c>
      <c r="AV41" s="318">
        <f t="shared" si="16"/>
        <v>5</v>
      </c>
      <c r="AW41" s="320">
        <f t="shared" si="17"/>
        <v>5</v>
      </c>
      <c r="AX41" s="306">
        <f t="shared" si="18"/>
        <v>161</v>
      </c>
      <c r="AY41" s="308">
        <f t="shared" si="19"/>
        <v>107</v>
      </c>
      <c r="AZ41" s="308">
        <f t="shared" si="20"/>
        <v>54</v>
      </c>
      <c r="BA41" s="308" t="str">
        <f t="shared" si="21"/>
        <v>VERTICAL</v>
      </c>
      <c r="BB41" s="308">
        <f t="shared" si="22"/>
        <v>9.5</v>
      </c>
      <c r="BC41" s="310">
        <f t="shared" si="23"/>
        <v>9.5</v>
      </c>
      <c r="BD41" s="321">
        <f t="shared" si="24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30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1"/>
        <v>265.75</v>
      </c>
      <c r="BM41" s="316" t="e">
        <f>IF(C41="","",IF(Q41="N/A",0,VLOOKUP(Q41,'COST - SELL'!$B$80:$I$91,8,0)*'CALC - RIPP-STD HW '!BD41))</f>
        <v>#N/A</v>
      </c>
      <c r="BN41" s="316">
        <f>IF(C41="","",IF(S41="N/A",0,IF(BE41="N/A",0,INDEX('COST - SELL'!$O$70:$S$73,MATCH('CALC - RIPP-STD HW '!S41,'COST - SELL'!$O$70:$O$73,0),MATCH('CALC - RIPP-STD HW '!BE41,'COST - SELL'!$O$70:$S$70,0)))))</f>
        <v>9.25</v>
      </c>
      <c r="BO41" s="316" t="e">
        <f t="shared" si="32"/>
        <v>#N/A</v>
      </c>
      <c r="BP41" s="316" t="e">
        <f t="shared" si="28"/>
        <v>#N/A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29"/>
        <v>321</v>
      </c>
      <c r="U42" s="560">
        <f t="shared" si="1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 t="e">
        <f t="shared" si="2"/>
        <v>#N/A</v>
      </c>
      <c r="AB42" s="560" t="e">
        <f t="shared" si="34"/>
        <v>#N/A</v>
      </c>
      <c r="AC42" s="568">
        <f>548.6+332.02</f>
        <v>880.62</v>
      </c>
      <c r="AD42" s="567">
        <f>AC42/$AD$11</f>
        <v>44.030999999999999</v>
      </c>
      <c r="AE42" s="567">
        <f>AD42*$AE$11</f>
        <v>8.8062000000000005</v>
      </c>
      <c r="AF42" s="522">
        <f>AD42-AE42</f>
        <v>35.224800000000002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9"/>
        <v>160.1</v>
      </c>
      <c r="AP42" s="304">
        <f t="shared" si="10"/>
        <v>113</v>
      </c>
      <c r="AQ42" s="304">
        <f t="shared" si="11"/>
        <v>118</v>
      </c>
      <c r="AR42" s="318" t="str">
        <f t="shared" si="12"/>
        <v>RAILROAD</v>
      </c>
      <c r="AS42" s="318">
        <f t="shared" si="13"/>
        <v>1.3567796610169491</v>
      </c>
      <c r="AT42" s="319" t="str">
        <f t="shared" si="14"/>
        <v>N/A</v>
      </c>
      <c r="AU42" s="319">
        <f t="shared" si="15"/>
        <v>3</v>
      </c>
      <c r="AV42" s="318">
        <f t="shared" si="16"/>
        <v>5</v>
      </c>
      <c r="AW42" s="320">
        <f t="shared" si="17"/>
        <v>5</v>
      </c>
      <c r="AX42" s="306">
        <f t="shared" si="18"/>
        <v>161</v>
      </c>
      <c r="AY42" s="308">
        <f t="shared" si="19"/>
        <v>107</v>
      </c>
      <c r="AZ42" s="308">
        <f t="shared" si="20"/>
        <v>54</v>
      </c>
      <c r="BA42" s="308" t="str">
        <f t="shared" si="21"/>
        <v>VERTICAL</v>
      </c>
      <c r="BB42" s="308">
        <f t="shared" si="22"/>
        <v>9.5</v>
      </c>
      <c r="BC42" s="310">
        <f t="shared" si="23"/>
        <v>9.5</v>
      </c>
      <c r="BD42" s="321">
        <f t="shared" si="24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30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1"/>
        <v>321</v>
      </c>
      <c r="BM42" s="316" t="e">
        <f>IF(C42="","",IF(Q42="N/A",0,VLOOKUP(Q42,'COST - SELL'!$B$80:$I$91,8,0)*'CALC - RIPP-STD HW '!BD42))</f>
        <v>#N/A</v>
      </c>
      <c r="BN42" s="316">
        <f>IF(C42="","",IF(S42="N/A",0,IF(BE42="N/A",0,INDEX('COST - SELL'!$O$70:$S$73,MATCH('CALC - RIPP-STD HW '!S42,'COST - SELL'!$O$70:$O$73,0),MATCH('CALC - RIPP-STD HW '!BE42,'COST - SELL'!$O$70:$S$70,0)))))</f>
        <v>9.25</v>
      </c>
      <c r="BO42" s="316" t="e">
        <f t="shared" si="32"/>
        <v>#N/A</v>
      </c>
      <c r="BP42" s="316" t="e">
        <f t="shared" si="28"/>
        <v>#N/A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29"/>
        <v>386.25</v>
      </c>
      <c r="U43" s="560">
        <f t="shared" si="1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 t="e">
        <f t="shared" si="2"/>
        <v>#N/A</v>
      </c>
      <c r="AB43" s="560" t="e">
        <f t="shared" si="34"/>
        <v>#N/A</v>
      </c>
      <c r="AC43" s="568">
        <f>548.6+332.02</f>
        <v>880.62</v>
      </c>
      <c r="AD43" s="567">
        <f>AC43/$AD$11</f>
        <v>44.030999999999999</v>
      </c>
      <c r="AE43" s="567">
        <f>AD43*$AE$11</f>
        <v>8.8062000000000005</v>
      </c>
      <c r="AF43" s="522">
        <f>AD43-AE43</f>
        <v>35.224800000000002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9"/>
        <v>160.1</v>
      </c>
      <c r="AP43" s="304">
        <f t="shared" si="10"/>
        <v>113</v>
      </c>
      <c r="AQ43" s="304">
        <f t="shared" si="11"/>
        <v>118</v>
      </c>
      <c r="AR43" s="318" t="str">
        <f t="shared" si="12"/>
        <v>RAILROAD</v>
      </c>
      <c r="AS43" s="318">
        <f t="shared" si="13"/>
        <v>1.3567796610169491</v>
      </c>
      <c r="AT43" s="319" t="str">
        <f t="shared" si="14"/>
        <v>N/A</v>
      </c>
      <c r="AU43" s="319">
        <f t="shared" si="15"/>
        <v>3</v>
      </c>
      <c r="AV43" s="318">
        <f t="shared" si="16"/>
        <v>5</v>
      </c>
      <c r="AW43" s="320">
        <f t="shared" si="17"/>
        <v>5</v>
      </c>
      <c r="AX43" s="306">
        <f t="shared" si="18"/>
        <v>161</v>
      </c>
      <c r="AY43" s="308">
        <f t="shared" si="19"/>
        <v>107</v>
      </c>
      <c r="AZ43" s="308">
        <f t="shared" si="20"/>
        <v>54</v>
      </c>
      <c r="BA43" s="308" t="str">
        <f t="shared" si="21"/>
        <v>VERTICAL</v>
      </c>
      <c r="BB43" s="308">
        <f t="shared" si="22"/>
        <v>9.5</v>
      </c>
      <c r="BC43" s="310">
        <f t="shared" si="23"/>
        <v>9.5</v>
      </c>
      <c r="BD43" s="321">
        <f t="shared" si="24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30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1"/>
        <v>386.25</v>
      </c>
      <c r="BM43" s="316" t="e">
        <f>IF(C43="","",IF(Q43="N/A",0,VLOOKUP(Q43,'COST - SELL'!$B$80:$I$91,8,0)*'CALC - RIPP-STD HW '!BD43))</f>
        <v>#N/A</v>
      </c>
      <c r="BN43" s="316">
        <f>IF(C43="","",IF(S43="N/A",0,IF(BE43="N/A",0,INDEX('COST - SELL'!$O$70:$S$73,MATCH('CALC - RIPP-STD HW '!S43,'COST - SELL'!$O$70:$O$73,0),MATCH('CALC - RIPP-STD HW '!BE43,'COST - SELL'!$O$70:$S$70,0)))))</f>
        <v>9.25</v>
      </c>
      <c r="BO43" s="316" t="e">
        <f t="shared" si="32"/>
        <v>#N/A</v>
      </c>
      <c r="BP43" s="316" t="e">
        <f t="shared" si="28"/>
        <v>#N/A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29"/>
        <v>448.75</v>
      </c>
      <c r="U44" s="560">
        <f t="shared" si="1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 t="e">
        <f t="shared" si="2"/>
        <v>#N/A</v>
      </c>
      <c r="AB44" s="560" t="e">
        <f t="shared" si="34"/>
        <v>#N/A</v>
      </c>
      <c r="AC44" s="568">
        <f>548.6+332.02</f>
        <v>880.62</v>
      </c>
      <c r="AD44" s="567">
        <f>AC44/$AD$11</f>
        <v>44.030999999999999</v>
      </c>
      <c r="AE44" s="567">
        <f>AD44*$AE$11</f>
        <v>8.8062000000000005</v>
      </c>
      <c r="AF44" s="522">
        <f>AD44-AE44</f>
        <v>35.224800000000002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9"/>
        <v>160.1</v>
      </c>
      <c r="AP44" s="304">
        <f t="shared" si="10"/>
        <v>113</v>
      </c>
      <c r="AQ44" s="304">
        <f t="shared" si="11"/>
        <v>118</v>
      </c>
      <c r="AR44" s="318" t="str">
        <f t="shared" si="12"/>
        <v>RAILROAD</v>
      </c>
      <c r="AS44" s="318">
        <f t="shared" si="13"/>
        <v>1.3567796610169491</v>
      </c>
      <c r="AT44" s="319" t="str">
        <f t="shared" si="14"/>
        <v>N/A</v>
      </c>
      <c r="AU44" s="319">
        <f t="shared" si="15"/>
        <v>3</v>
      </c>
      <c r="AV44" s="318">
        <f t="shared" si="16"/>
        <v>5</v>
      </c>
      <c r="AW44" s="320">
        <f t="shared" si="17"/>
        <v>5</v>
      </c>
      <c r="AX44" s="306">
        <f t="shared" si="18"/>
        <v>161</v>
      </c>
      <c r="AY44" s="308">
        <f t="shared" si="19"/>
        <v>107</v>
      </c>
      <c r="AZ44" s="308">
        <f t="shared" si="20"/>
        <v>54</v>
      </c>
      <c r="BA44" s="308" t="str">
        <f t="shared" si="21"/>
        <v>VERTICAL</v>
      </c>
      <c r="BB44" s="308">
        <f t="shared" si="22"/>
        <v>9.5</v>
      </c>
      <c r="BC44" s="310">
        <f t="shared" si="23"/>
        <v>9.5</v>
      </c>
      <c r="BD44" s="321">
        <f t="shared" si="24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30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1"/>
        <v>448.75</v>
      </c>
      <c r="BM44" s="316" t="e">
        <f>IF(C44="","",IF(Q44="N/A",0,VLOOKUP(Q44,'COST - SELL'!$B$80:$I$91,8,0)*'CALC - RIPP-STD HW '!BD44))</f>
        <v>#N/A</v>
      </c>
      <c r="BN44" s="316">
        <f>IF(C44="","",IF(S44="N/A",0,IF(BE44="N/A",0,INDEX('COST - SELL'!$O$70:$S$73,MATCH('CALC - RIPP-STD HW '!S44,'COST - SELL'!$O$70:$O$73,0),MATCH('CALC - RIPP-STD HW '!BE44,'COST - SELL'!$O$70:$S$70,0)))))</f>
        <v>9.25</v>
      </c>
      <c r="BO44" s="316" t="e">
        <f t="shared" si="32"/>
        <v>#N/A</v>
      </c>
      <c r="BP44" s="316" t="e">
        <f t="shared" si="28"/>
        <v>#N/A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29"/>
        <v>271.7</v>
      </c>
      <c r="U45" s="560">
        <f t="shared" si="1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9"/>
        <v>213.4</v>
      </c>
      <c r="AP45" s="304">
        <f t="shared" si="10"/>
        <v>113</v>
      </c>
      <c r="AQ45" s="304">
        <f t="shared" si="11"/>
        <v>118</v>
      </c>
      <c r="AR45" s="318" t="str">
        <f t="shared" si="12"/>
        <v>RAILROAD</v>
      </c>
      <c r="AS45" s="318">
        <f t="shared" si="13"/>
        <v>1.8084745762711865</v>
      </c>
      <c r="AT45" s="319" t="str">
        <f t="shared" si="14"/>
        <v>N/A</v>
      </c>
      <c r="AU45" s="319">
        <f t="shared" si="15"/>
        <v>4</v>
      </c>
      <c r="AV45" s="318">
        <f t="shared" si="16"/>
        <v>6.5</v>
      </c>
      <c r="AW45" s="320">
        <f t="shared" si="17"/>
        <v>6.5</v>
      </c>
      <c r="AX45" s="306">
        <f t="shared" si="18"/>
        <v>214</v>
      </c>
      <c r="AY45" s="308">
        <f t="shared" si="19"/>
        <v>107</v>
      </c>
      <c r="AZ45" s="308">
        <f t="shared" si="20"/>
        <v>54</v>
      </c>
      <c r="BA45" s="308" t="str">
        <f t="shared" si="21"/>
        <v>VERTICAL</v>
      </c>
      <c r="BB45" s="308">
        <f t="shared" si="22"/>
        <v>12.700000000000001</v>
      </c>
      <c r="BC45" s="310">
        <f t="shared" si="23"/>
        <v>12.700000000000001</v>
      </c>
      <c r="BD45" s="321">
        <f t="shared" si="24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30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1"/>
        <v>271.7</v>
      </c>
      <c r="BM45" s="316" t="e">
        <f>IF(C45="","",IF(Q45="N/A",0,VLOOKUP(Q45,'COST - SELL'!$B$80:$I$91,8,0)*'CALC - RIPP-STD HW '!BD45))</f>
        <v>#N/A</v>
      </c>
      <c r="BN45" s="316">
        <f>IF(C45="","",IF(S45="N/A",0,IF(BE45="N/A",0,INDEX('COST - SELL'!$O$70:$S$73,MATCH('CALC - RIPP-STD HW '!S45,'COST - SELL'!$O$70:$O$73,0),MATCH('CALC - RIPP-STD HW '!BE45,'COST - SELL'!$O$70:$S$70,0)))))</f>
        <v>9.25</v>
      </c>
      <c r="BO45" s="316" t="e">
        <f t="shared" si="32"/>
        <v>#N/A</v>
      </c>
      <c r="BP45" s="316" t="e">
        <f t="shared" si="28"/>
        <v>#N/A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29"/>
        <v>412.1</v>
      </c>
      <c r="U46" s="560">
        <f t="shared" si="1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9"/>
        <v>213.4</v>
      </c>
      <c r="AP46" s="304">
        <f t="shared" si="10"/>
        <v>113</v>
      </c>
      <c r="AQ46" s="304">
        <f t="shared" si="11"/>
        <v>118</v>
      </c>
      <c r="AR46" s="318" t="str">
        <f t="shared" si="12"/>
        <v>RAILROAD</v>
      </c>
      <c r="AS46" s="318">
        <f t="shared" si="13"/>
        <v>1.8084745762711865</v>
      </c>
      <c r="AT46" s="319" t="str">
        <f t="shared" si="14"/>
        <v>N/A</v>
      </c>
      <c r="AU46" s="319">
        <f t="shared" si="15"/>
        <v>4</v>
      </c>
      <c r="AV46" s="318">
        <f t="shared" si="16"/>
        <v>6.5</v>
      </c>
      <c r="AW46" s="320">
        <f t="shared" si="17"/>
        <v>6.5</v>
      </c>
      <c r="AX46" s="306">
        <f t="shared" si="18"/>
        <v>214</v>
      </c>
      <c r="AY46" s="308">
        <f t="shared" si="19"/>
        <v>107</v>
      </c>
      <c r="AZ46" s="308">
        <f t="shared" si="20"/>
        <v>54</v>
      </c>
      <c r="BA46" s="308" t="str">
        <f t="shared" si="21"/>
        <v>VERTICAL</v>
      </c>
      <c r="BB46" s="308">
        <f t="shared" si="22"/>
        <v>12.700000000000001</v>
      </c>
      <c r="BC46" s="310">
        <f t="shared" si="23"/>
        <v>12.700000000000001</v>
      </c>
      <c r="BD46" s="321">
        <f t="shared" si="24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30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1"/>
        <v>412.1</v>
      </c>
      <c r="BM46" s="316" t="e">
        <f>IF(C46="","",IF(Q46="N/A",0,VLOOKUP(Q46,'COST - SELL'!$B$80:$I$91,8,0)*'CALC - RIPP-STD HW '!BD46))</f>
        <v>#N/A</v>
      </c>
      <c r="BN46" s="316">
        <f>IF(C46="","",IF(S46="N/A",0,IF(BE46="N/A",0,INDEX('COST - SELL'!$O$70:$S$73,MATCH('CALC - RIPP-STD HW '!S46,'COST - SELL'!$O$70:$O$73,0),MATCH('CALC - RIPP-STD HW '!BE46,'COST - SELL'!$O$70:$S$70,0)))))</f>
        <v>9.25</v>
      </c>
      <c r="BO46" s="316" t="e">
        <f t="shared" si="32"/>
        <v>#N/A</v>
      </c>
      <c r="BP46" s="316" t="e">
        <f t="shared" si="28"/>
        <v>#N/A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29"/>
        <v>347.1</v>
      </c>
      <c r="U47" s="560">
        <f t="shared" si="1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 t="e">
        <f t="shared" si="2"/>
        <v>#N/A</v>
      </c>
      <c r="AB47" s="560" t="e">
        <f t="shared" si="34"/>
        <v>#N/A</v>
      </c>
      <c r="AC47" s="568">
        <f>670.46+332.02</f>
        <v>1002.48</v>
      </c>
      <c r="AD47" s="567">
        <f>AC47/$AD$11</f>
        <v>50.124000000000002</v>
      </c>
      <c r="AE47" s="567">
        <f>AD47*$AE$11</f>
        <v>10.024800000000001</v>
      </c>
      <c r="AF47" s="522">
        <f>AD47-AE47</f>
        <v>40.099200000000003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9"/>
        <v>213.4</v>
      </c>
      <c r="AP47" s="304">
        <f t="shared" si="10"/>
        <v>113</v>
      </c>
      <c r="AQ47" s="304">
        <f t="shared" si="11"/>
        <v>118</v>
      </c>
      <c r="AR47" s="318" t="str">
        <f t="shared" si="12"/>
        <v>RAILROAD</v>
      </c>
      <c r="AS47" s="318">
        <f t="shared" si="13"/>
        <v>1.8084745762711865</v>
      </c>
      <c r="AT47" s="319" t="str">
        <f t="shared" si="14"/>
        <v>N/A</v>
      </c>
      <c r="AU47" s="319">
        <f t="shared" si="15"/>
        <v>4</v>
      </c>
      <c r="AV47" s="318">
        <f t="shared" si="16"/>
        <v>6.5</v>
      </c>
      <c r="AW47" s="320">
        <f t="shared" si="17"/>
        <v>6.5</v>
      </c>
      <c r="AX47" s="306">
        <f t="shared" si="18"/>
        <v>214</v>
      </c>
      <c r="AY47" s="308">
        <f t="shared" si="19"/>
        <v>107</v>
      </c>
      <c r="AZ47" s="308">
        <f t="shared" si="20"/>
        <v>54</v>
      </c>
      <c r="BA47" s="308" t="str">
        <f t="shared" si="21"/>
        <v>VERTICAL</v>
      </c>
      <c r="BB47" s="308">
        <f t="shared" si="22"/>
        <v>12.700000000000001</v>
      </c>
      <c r="BC47" s="310">
        <f t="shared" si="23"/>
        <v>12.700000000000001</v>
      </c>
      <c r="BD47" s="321">
        <f t="shared" si="24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30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1"/>
        <v>347.1</v>
      </c>
      <c r="BM47" s="316" t="e">
        <f>IF(C47="","",IF(Q47="N/A",0,VLOOKUP(Q47,'COST - SELL'!$B$80:$I$91,8,0)*'CALC - RIPP-STD HW '!BD47))</f>
        <v>#N/A</v>
      </c>
      <c r="BN47" s="316">
        <f>IF(C47="","",IF(S47="N/A",0,IF(BE47="N/A",0,INDEX('COST - SELL'!$O$70:$S$73,MATCH('CALC - RIPP-STD HW '!S47,'COST - SELL'!$O$70:$O$73,0),MATCH('CALC - RIPP-STD HW '!BE47,'COST - SELL'!$O$70:$S$70,0)))))</f>
        <v>9.25</v>
      </c>
      <c r="BO47" s="316" t="e">
        <f t="shared" si="32"/>
        <v>#N/A</v>
      </c>
      <c r="BP47" s="316" t="e">
        <f t="shared" si="28"/>
        <v>#N/A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29"/>
        <v>418.95000000000005</v>
      </c>
      <c r="U48" s="560">
        <f t="shared" si="1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 t="e">
        <f t="shared" si="2"/>
        <v>#N/A</v>
      </c>
      <c r="AB48" s="560" t="e">
        <f t="shared" si="34"/>
        <v>#N/A</v>
      </c>
      <c r="AC48" s="568">
        <f>670.46+332.02</f>
        <v>1002.48</v>
      </c>
      <c r="AD48" s="567">
        <f>AC48/$AD$11</f>
        <v>50.124000000000002</v>
      </c>
      <c r="AE48" s="567">
        <f>AD48*$AE$11</f>
        <v>10.024800000000001</v>
      </c>
      <c r="AF48" s="522">
        <f>AD48-AE48</f>
        <v>40.099200000000003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9"/>
        <v>213.4</v>
      </c>
      <c r="AP48" s="304">
        <f t="shared" si="10"/>
        <v>113</v>
      </c>
      <c r="AQ48" s="304">
        <f t="shared" si="11"/>
        <v>118</v>
      </c>
      <c r="AR48" s="318" t="str">
        <f t="shared" si="12"/>
        <v>RAILROAD</v>
      </c>
      <c r="AS48" s="318">
        <f t="shared" si="13"/>
        <v>1.8084745762711865</v>
      </c>
      <c r="AT48" s="319" t="str">
        <f t="shared" si="14"/>
        <v>N/A</v>
      </c>
      <c r="AU48" s="319">
        <f t="shared" si="15"/>
        <v>4</v>
      </c>
      <c r="AV48" s="318">
        <f t="shared" si="16"/>
        <v>6.5</v>
      </c>
      <c r="AW48" s="320">
        <f t="shared" si="17"/>
        <v>6.5</v>
      </c>
      <c r="AX48" s="306">
        <f t="shared" si="18"/>
        <v>214</v>
      </c>
      <c r="AY48" s="308">
        <f t="shared" si="19"/>
        <v>107</v>
      </c>
      <c r="AZ48" s="308">
        <f t="shared" si="20"/>
        <v>54</v>
      </c>
      <c r="BA48" s="308" t="str">
        <f t="shared" si="21"/>
        <v>VERTICAL</v>
      </c>
      <c r="BB48" s="308">
        <f t="shared" si="22"/>
        <v>12.700000000000001</v>
      </c>
      <c r="BC48" s="310">
        <f t="shared" si="23"/>
        <v>12.700000000000001</v>
      </c>
      <c r="BD48" s="321">
        <f t="shared" si="24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30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1"/>
        <v>418.95000000000005</v>
      </c>
      <c r="BM48" s="316" t="e">
        <f>IF(C48="","",IF(Q48="N/A",0,VLOOKUP(Q48,'COST - SELL'!$B$80:$I$91,8,0)*'CALC - RIPP-STD HW '!BD48))</f>
        <v>#N/A</v>
      </c>
      <c r="BN48" s="316">
        <f>IF(C48="","",IF(S48="N/A",0,IF(BE48="N/A",0,INDEX('COST - SELL'!$O$70:$S$73,MATCH('CALC - RIPP-STD HW '!S48,'COST - SELL'!$O$70:$O$73,0),MATCH('CALC - RIPP-STD HW '!BE48,'COST - SELL'!$O$70:$S$70,0)))))</f>
        <v>9.25</v>
      </c>
      <c r="BO48" s="316" t="e">
        <f t="shared" si="32"/>
        <v>#N/A</v>
      </c>
      <c r="BP48" s="316" t="e">
        <f t="shared" si="28"/>
        <v>#N/A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29"/>
        <v>503.75</v>
      </c>
      <c r="U49" s="560">
        <f t="shared" si="1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 t="e">
        <f t="shared" si="2"/>
        <v>#N/A</v>
      </c>
      <c r="AB49" s="560" t="e">
        <f t="shared" si="34"/>
        <v>#N/A</v>
      </c>
      <c r="AC49" s="568">
        <f>670.46+332.02</f>
        <v>1002.48</v>
      </c>
      <c r="AD49" s="567">
        <f>AC49/$AD$11</f>
        <v>50.124000000000002</v>
      </c>
      <c r="AE49" s="567">
        <f>AD49*$AE$11</f>
        <v>10.024800000000001</v>
      </c>
      <c r="AF49" s="522">
        <f>AD49-AE49</f>
        <v>40.099200000000003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9"/>
        <v>213.4</v>
      </c>
      <c r="AP49" s="304">
        <f t="shared" si="10"/>
        <v>113</v>
      </c>
      <c r="AQ49" s="304">
        <f t="shared" si="11"/>
        <v>118</v>
      </c>
      <c r="AR49" s="318" t="str">
        <f t="shared" si="12"/>
        <v>RAILROAD</v>
      </c>
      <c r="AS49" s="318">
        <f t="shared" si="13"/>
        <v>1.8084745762711865</v>
      </c>
      <c r="AT49" s="319" t="str">
        <f t="shared" si="14"/>
        <v>N/A</v>
      </c>
      <c r="AU49" s="319">
        <f t="shared" si="15"/>
        <v>4</v>
      </c>
      <c r="AV49" s="318">
        <f t="shared" si="16"/>
        <v>6.5</v>
      </c>
      <c r="AW49" s="320">
        <f t="shared" si="17"/>
        <v>6.5</v>
      </c>
      <c r="AX49" s="306">
        <f t="shared" si="18"/>
        <v>214</v>
      </c>
      <c r="AY49" s="308">
        <f t="shared" si="19"/>
        <v>107</v>
      </c>
      <c r="AZ49" s="308">
        <f t="shared" si="20"/>
        <v>54</v>
      </c>
      <c r="BA49" s="308" t="str">
        <f t="shared" si="21"/>
        <v>VERTICAL</v>
      </c>
      <c r="BB49" s="308">
        <f t="shared" si="22"/>
        <v>12.700000000000001</v>
      </c>
      <c r="BC49" s="310">
        <f t="shared" si="23"/>
        <v>12.700000000000001</v>
      </c>
      <c r="BD49" s="321">
        <f t="shared" si="24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30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1"/>
        <v>503.75</v>
      </c>
      <c r="BM49" s="316" t="e">
        <f>IF(C49="","",IF(Q49="N/A",0,VLOOKUP(Q49,'COST - SELL'!$B$80:$I$91,8,0)*'CALC - RIPP-STD HW '!BD49))</f>
        <v>#N/A</v>
      </c>
      <c r="BN49" s="316">
        <f>IF(C49="","",IF(S49="N/A",0,IF(BE49="N/A",0,INDEX('COST - SELL'!$O$70:$S$73,MATCH('CALC - RIPP-STD HW '!S49,'COST - SELL'!$O$70:$O$73,0),MATCH('CALC - RIPP-STD HW '!BE49,'COST - SELL'!$O$70:$S$70,0)))))</f>
        <v>9.25</v>
      </c>
      <c r="BO49" s="316" t="e">
        <f t="shared" si="32"/>
        <v>#N/A</v>
      </c>
      <c r="BP49" s="316" t="e">
        <f t="shared" si="28"/>
        <v>#N/A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29"/>
        <v>585</v>
      </c>
      <c r="U50" s="560">
        <f t="shared" si="1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 t="e">
        <f t="shared" si="2"/>
        <v>#N/A</v>
      </c>
      <c r="AB50" s="560" t="e">
        <f t="shared" si="34"/>
        <v>#N/A</v>
      </c>
      <c r="AC50" s="568">
        <f>670.46+332.02</f>
        <v>1002.48</v>
      </c>
      <c r="AD50" s="567">
        <f>AC50/$AD$11</f>
        <v>50.124000000000002</v>
      </c>
      <c r="AE50" s="567">
        <f>AD50*$AE$11</f>
        <v>10.024800000000001</v>
      </c>
      <c r="AF50" s="522">
        <f>AD50-AE50</f>
        <v>40.099200000000003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9"/>
        <v>213.4</v>
      </c>
      <c r="AP50" s="304">
        <f t="shared" si="10"/>
        <v>113</v>
      </c>
      <c r="AQ50" s="304">
        <f t="shared" si="11"/>
        <v>118</v>
      </c>
      <c r="AR50" s="318" t="str">
        <f t="shared" si="12"/>
        <v>RAILROAD</v>
      </c>
      <c r="AS50" s="318">
        <f t="shared" si="13"/>
        <v>1.8084745762711865</v>
      </c>
      <c r="AT50" s="319" t="str">
        <f t="shared" si="14"/>
        <v>N/A</v>
      </c>
      <c r="AU50" s="319">
        <f t="shared" si="15"/>
        <v>4</v>
      </c>
      <c r="AV50" s="318">
        <f t="shared" si="16"/>
        <v>6.5</v>
      </c>
      <c r="AW50" s="320">
        <f t="shared" si="17"/>
        <v>6.5</v>
      </c>
      <c r="AX50" s="306">
        <f t="shared" si="18"/>
        <v>214</v>
      </c>
      <c r="AY50" s="308">
        <f t="shared" si="19"/>
        <v>107</v>
      </c>
      <c r="AZ50" s="308">
        <f t="shared" si="20"/>
        <v>54</v>
      </c>
      <c r="BA50" s="308" t="str">
        <f t="shared" si="21"/>
        <v>VERTICAL</v>
      </c>
      <c r="BB50" s="308">
        <f t="shared" si="22"/>
        <v>12.700000000000001</v>
      </c>
      <c r="BC50" s="310">
        <f t="shared" si="23"/>
        <v>12.700000000000001</v>
      </c>
      <c r="BD50" s="321">
        <f t="shared" si="24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30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1"/>
        <v>585</v>
      </c>
      <c r="BM50" s="316" t="e">
        <f>IF(C50="","",IF(Q50="N/A",0,VLOOKUP(Q50,'COST - SELL'!$B$80:$I$91,8,0)*'CALC - RIPP-STD HW '!BD50))</f>
        <v>#N/A</v>
      </c>
      <c r="BN50" s="316">
        <f>IF(C50="","",IF(S50="N/A",0,IF(BE50="N/A",0,INDEX('COST - SELL'!$O$70:$S$73,MATCH('CALC - RIPP-STD HW '!S50,'COST - SELL'!$O$70:$O$73,0),MATCH('CALC - RIPP-STD HW '!BE50,'COST - SELL'!$O$70:$S$70,0)))))</f>
        <v>9.25</v>
      </c>
      <c r="BO50" s="316" t="e">
        <f t="shared" si="32"/>
        <v>#N/A</v>
      </c>
      <c r="BP50" s="316" t="e">
        <f t="shared" si="28"/>
        <v>#N/A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29"/>
        <v>335.65000000000003</v>
      </c>
      <c r="U51" s="560">
        <f t="shared" si="1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9"/>
        <v>266.7</v>
      </c>
      <c r="AP51" s="304">
        <f t="shared" si="10"/>
        <v>113</v>
      </c>
      <c r="AQ51" s="304">
        <f t="shared" si="11"/>
        <v>118</v>
      </c>
      <c r="AR51" s="318" t="str">
        <f t="shared" si="12"/>
        <v>RAILROAD</v>
      </c>
      <c r="AS51" s="318">
        <f t="shared" si="13"/>
        <v>2.2601694915254238</v>
      </c>
      <c r="AT51" s="319" t="str">
        <f t="shared" si="14"/>
        <v>N/A</v>
      </c>
      <c r="AU51" s="319">
        <f t="shared" si="15"/>
        <v>5</v>
      </c>
      <c r="AV51" s="318">
        <f t="shared" si="16"/>
        <v>8</v>
      </c>
      <c r="AW51" s="320">
        <f t="shared" si="17"/>
        <v>8</v>
      </c>
      <c r="AX51" s="306">
        <f t="shared" si="18"/>
        <v>267</v>
      </c>
      <c r="AY51" s="308">
        <f t="shared" si="19"/>
        <v>107</v>
      </c>
      <c r="AZ51" s="308">
        <f t="shared" si="20"/>
        <v>54</v>
      </c>
      <c r="BA51" s="308" t="str">
        <f t="shared" si="21"/>
        <v>VERTICAL</v>
      </c>
      <c r="BB51" s="308">
        <f t="shared" si="22"/>
        <v>15.9</v>
      </c>
      <c r="BC51" s="310">
        <f t="shared" si="23"/>
        <v>15.9</v>
      </c>
      <c r="BD51" s="321">
        <f t="shared" si="24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30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1"/>
        <v>335.65000000000003</v>
      </c>
      <c r="BM51" s="316" t="e">
        <f>IF(C51="","",IF(Q51="N/A",0,VLOOKUP(Q51,'COST - SELL'!$B$80:$I$91,8,0)*'CALC - RIPP-STD HW '!BD51))</f>
        <v>#N/A</v>
      </c>
      <c r="BN51" s="316">
        <f>IF(C51="","",IF(S51="N/A",0,IF(BE51="N/A",0,INDEX('COST - SELL'!$O$70:$S$73,MATCH('CALC - RIPP-STD HW '!S51,'COST - SELL'!$O$70:$O$73,0),MATCH('CALC - RIPP-STD HW '!BE51,'COST - SELL'!$O$70:$S$70,0)))))</f>
        <v>9.25</v>
      </c>
      <c r="BO51" s="316" t="e">
        <f t="shared" si="32"/>
        <v>#N/A</v>
      </c>
      <c r="BP51" s="316" t="e">
        <f t="shared" si="28"/>
        <v>#N/A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29"/>
        <v>508.45000000000005</v>
      </c>
      <c r="U52" s="560">
        <f t="shared" si="1"/>
        <v>128.1294</v>
      </c>
      <c r="V52" s="568"/>
      <c r="W52" s="568"/>
      <c r="X52" s="567"/>
      <c r="Y52" s="522"/>
      <c r="Z52" s="573">
        <f>AVERAGE(Z53:Z56)</f>
        <v>0.14301474264129896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9"/>
        <v>266.7</v>
      </c>
      <c r="AP52" s="304">
        <f t="shared" si="10"/>
        <v>113</v>
      </c>
      <c r="AQ52" s="304">
        <f t="shared" si="11"/>
        <v>118</v>
      </c>
      <c r="AR52" s="318" t="str">
        <f t="shared" si="12"/>
        <v>RAILROAD</v>
      </c>
      <c r="AS52" s="318">
        <f t="shared" si="13"/>
        <v>2.2601694915254238</v>
      </c>
      <c r="AT52" s="319" t="str">
        <f t="shared" si="14"/>
        <v>N/A</v>
      </c>
      <c r="AU52" s="319">
        <f t="shared" si="15"/>
        <v>5</v>
      </c>
      <c r="AV52" s="318">
        <f t="shared" si="16"/>
        <v>8</v>
      </c>
      <c r="AW52" s="320">
        <f t="shared" si="17"/>
        <v>8</v>
      </c>
      <c r="AX52" s="306">
        <f t="shared" si="18"/>
        <v>267</v>
      </c>
      <c r="AY52" s="308">
        <f t="shared" si="19"/>
        <v>107</v>
      </c>
      <c r="AZ52" s="308">
        <f t="shared" si="20"/>
        <v>54</v>
      </c>
      <c r="BA52" s="308" t="str">
        <f t="shared" si="21"/>
        <v>VERTICAL</v>
      </c>
      <c r="BB52" s="308">
        <f t="shared" si="22"/>
        <v>15.9</v>
      </c>
      <c r="BC52" s="310">
        <f t="shared" si="23"/>
        <v>15.9</v>
      </c>
      <c r="BD52" s="321">
        <f t="shared" si="24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30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1"/>
        <v>508.45000000000005</v>
      </c>
      <c r="BM52" s="316" t="e">
        <f>IF(C52="","",IF(Q52="N/A",0,VLOOKUP(Q52,'COST - SELL'!$B$80:$I$91,8,0)*'CALC - RIPP-STD HW '!BD52))</f>
        <v>#N/A</v>
      </c>
      <c r="BN52" s="316">
        <f>IF(C52="","",IF(S52="N/A",0,IF(BE52="N/A",0,INDEX('COST - SELL'!$O$70:$S$73,MATCH('CALC - RIPP-STD HW '!S52,'COST - SELL'!$O$70:$O$73,0),MATCH('CALC - RIPP-STD HW '!BE52,'COST - SELL'!$O$70:$S$70,0)))))</f>
        <v>9.25</v>
      </c>
      <c r="BO52" s="316" t="e">
        <f t="shared" si="32"/>
        <v>#N/A</v>
      </c>
      <c r="BP52" s="316" t="e">
        <f t="shared" si="28"/>
        <v>#N/A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29"/>
        <v>428.45000000000005</v>
      </c>
      <c r="U53" s="560">
        <f t="shared" si="1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 t="e">
        <f t="shared" si="2"/>
        <v>#N/A</v>
      </c>
      <c r="AB53" s="560" t="e">
        <f t="shared" si="34"/>
        <v>#N/A</v>
      </c>
      <c r="AC53" s="568">
        <f>778.05+332.02</f>
        <v>1110.07</v>
      </c>
      <c r="AD53" s="567">
        <f>AC53/$AD$11</f>
        <v>55.503499999999995</v>
      </c>
      <c r="AE53" s="567">
        <f>AD53*$AE$11</f>
        <v>11.1007</v>
      </c>
      <c r="AF53" s="522">
        <f>AD53-AE53</f>
        <v>44.402799999999999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9"/>
        <v>266.7</v>
      </c>
      <c r="AP53" s="304">
        <f t="shared" si="10"/>
        <v>113</v>
      </c>
      <c r="AQ53" s="304">
        <f t="shared" si="11"/>
        <v>118</v>
      </c>
      <c r="AR53" s="318" t="str">
        <f t="shared" si="12"/>
        <v>RAILROAD</v>
      </c>
      <c r="AS53" s="318">
        <f t="shared" si="13"/>
        <v>2.2601694915254238</v>
      </c>
      <c r="AT53" s="319" t="str">
        <f t="shared" si="14"/>
        <v>N/A</v>
      </c>
      <c r="AU53" s="319">
        <f t="shared" si="15"/>
        <v>5</v>
      </c>
      <c r="AV53" s="318">
        <f t="shared" si="16"/>
        <v>8</v>
      </c>
      <c r="AW53" s="320">
        <f t="shared" si="17"/>
        <v>8</v>
      </c>
      <c r="AX53" s="306">
        <f t="shared" si="18"/>
        <v>267</v>
      </c>
      <c r="AY53" s="308">
        <f t="shared" si="19"/>
        <v>107</v>
      </c>
      <c r="AZ53" s="308">
        <f t="shared" si="20"/>
        <v>54</v>
      </c>
      <c r="BA53" s="308" t="str">
        <f t="shared" si="21"/>
        <v>VERTICAL</v>
      </c>
      <c r="BB53" s="308">
        <f t="shared" si="22"/>
        <v>15.9</v>
      </c>
      <c r="BC53" s="310">
        <f t="shared" si="23"/>
        <v>15.9</v>
      </c>
      <c r="BD53" s="321">
        <f t="shared" si="24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30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1"/>
        <v>428.45000000000005</v>
      </c>
      <c r="BM53" s="316" t="e">
        <f>IF(C53="","",IF(Q53="N/A",0,VLOOKUP(Q53,'COST - SELL'!$B$80:$I$91,8,0)*'CALC - RIPP-STD HW '!BD53))</f>
        <v>#N/A</v>
      </c>
      <c r="BN53" s="316">
        <f>IF(C53="","",IF(S53="N/A",0,IF(BE53="N/A",0,INDEX('COST - SELL'!$O$70:$S$73,MATCH('CALC - RIPP-STD HW '!S53,'COST - SELL'!$O$70:$O$73,0),MATCH('CALC - RIPP-STD HW '!BE53,'COST - SELL'!$O$70:$S$70,0)))))</f>
        <v>9.25</v>
      </c>
      <c r="BO53" s="316" t="e">
        <f t="shared" si="32"/>
        <v>#N/A</v>
      </c>
      <c r="BP53" s="316" t="e">
        <f t="shared" si="28"/>
        <v>#N/A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29"/>
        <v>516.85</v>
      </c>
      <c r="U54" s="560">
        <f t="shared" si="1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 t="e">
        <f t="shared" si="2"/>
        <v>#N/A</v>
      </c>
      <c r="AB54" s="560" t="e">
        <f t="shared" si="34"/>
        <v>#N/A</v>
      </c>
      <c r="AC54" s="568">
        <f>778.05+332.02</f>
        <v>1110.07</v>
      </c>
      <c r="AD54" s="567">
        <f>AC54/$AD$11</f>
        <v>55.503499999999995</v>
      </c>
      <c r="AE54" s="567">
        <f>AD54*$AE$11</f>
        <v>11.1007</v>
      </c>
      <c r="AF54" s="522">
        <f>AD54-AE54</f>
        <v>44.402799999999999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9"/>
        <v>266.7</v>
      </c>
      <c r="AP54" s="304">
        <f t="shared" si="10"/>
        <v>113</v>
      </c>
      <c r="AQ54" s="304">
        <f t="shared" si="11"/>
        <v>118</v>
      </c>
      <c r="AR54" s="318" t="str">
        <f t="shared" si="12"/>
        <v>RAILROAD</v>
      </c>
      <c r="AS54" s="318">
        <f t="shared" si="13"/>
        <v>2.2601694915254238</v>
      </c>
      <c r="AT54" s="319" t="str">
        <f t="shared" si="14"/>
        <v>N/A</v>
      </c>
      <c r="AU54" s="319">
        <f t="shared" si="15"/>
        <v>5</v>
      </c>
      <c r="AV54" s="318">
        <f t="shared" si="16"/>
        <v>8</v>
      </c>
      <c r="AW54" s="320">
        <f t="shared" si="17"/>
        <v>8</v>
      </c>
      <c r="AX54" s="306">
        <f t="shared" si="18"/>
        <v>267</v>
      </c>
      <c r="AY54" s="308">
        <f t="shared" si="19"/>
        <v>107</v>
      </c>
      <c r="AZ54" s="308">
        <f t="shared" si="20"/>
        <v>54</v>
      </c>
      <c r="BA54" s="308" t="str">
        <f t="shared" si="21"/>
        <v>VERTICAL</v>
      </c>
      <c r="BB54" s="308">
        <f t="shared" si="22"/>
        <v>15.9</v>
      </c>
      <c r="BC54" s="310">
        <f t="shared" si="23"/>
        <v>15.9</v>
      </c>
      <c r="BD54" s="321">
        <f t="shared" si="24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30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1"/>
        <v>516.85</v>
      </c>
      <c r="BM54" s="316" t="e">
        <f>IF(C54="","",IF(Q54="N/A",0,VLOOKUP(Q54,'COST - SELL'!$B$80:$I$91,8,0)*'CALC - RIPP-STD HW '!BD54))</f>
        <v>#N/A</v>
      </c>
      <c r="BN54" s="316">
        <f>IF(C54="","",IF(S54="N/A",0,IF(BE54="N/A",0,INDEX('COST - SELL'!$O$70:$S$73,MATCH('CALC - RIPP-STD HW '!S54,'COST - SELL'!$O$70:$O$73,0),MATCH('CALC - RIPP-STD HW '!BE54,'COST - SELL'!$O$70:$S$70,0)))))</f>
        <v>9.25</v>
      </c>
      <c r="BO54" s="316" t="e">
        <f t="shared" si="32"/>
        <v>#N/A</v>
      </c>
      <c r="BP54" s="316" t="e">
        <f t="shared" si="28"/>
        <v>#N/A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29"/>
        <v>621.25</v>
      </c>
      <c r="U55" s="560">
        <f t="shared" si="1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 t="e">
        <f t="shared" si="2"/>
        <v>#N/A</v>
      </c>
      <c r="AB55" s="560" t="e">
        <f t="shared" si="34"/>
        <v>#N/A</v>
      </c>
      <c r="AC55" s="568">
        <f>778.05+332.02</f>
        <v>1110.07</v>
      </c>
      <c r="AD55" s="567">
        <f>AC55/$AD$11</f>
        <v>55.503499999999995</v>
      </c>
      <c r="AE55" s="567">
        <f>AD55*$AE$11</f>
        <v>11.1007</v>
      </c>
      <c r="AF55" s="522">
        <f>AD55-AE55</f>
        <v>44.402799999999999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9"/>
        <v>266.7</v>
      </c>
      <c r="AP55" s="304">
        <f t="shared" si="10"/>
        <v>113</v>
      </c>
      <c r="AQ55" s="304">
        <f t="shared" si="11"/>
        <v>118</v>
      </c>
      <c r="AR55" s="318" t="str">
        <f t="shared" si="12"/>
        <v>RAILROAD</v>
      </c>
      <c r="AS55" s="318">
        <f t="shared" si="13"/>
        <v>2.2601694915254238</v>
      </c>
      <c r="AT55" s="319" t="str">
        <f t="shared" si="14"/>
        <v>N/A</v>
      </c>
      <c r="AU55" s="319">
        <f t="shared" si="15"/>
        <v>5</v>
      </c>
      <c r="AV55" s="318">
        <f t="shared" si="16"/>
        <v>8</v>
      </c>
      <c r="AW55" s="320">
        <f t="shared" si="17"/>
        <v>8</v>
      </c>
      <c r="AX55" s="306">
        <f t="shared" si="18"/>
        <v>267</v>
      </c>
      <c r="AY55" s="308">
        <f t="shared" si="19"/>
        <v>107</v>
      </c>
      <c r="AZ55" s="308">
        <f t="shared" si="20"/>
        <v>54</v>
      </c>
      <c r="BA55" s="308" t="str">
        <f t="shared" si="21"/>
        <v>VERTICAL</v>
      </c>
      <c r="BB55" s="308">
        <f t="shared" si="22"/>
        <v>15.9</v>
      </c>
      <c r="BC55" s="310">
        <f t="shared" si="23"/>
        <v>15.9</v>
      </c>
      <c r="BD55" s="321">
        <f t="shared" si="24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30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1"/>
        <v>621.25</v>
      </c>
      <c r="BM55" s="316" t="e">
        <f>IF(C55="","",IF(Q55="N/A",0,VLOOKUP(Q55,'COST - SELL'!$B$80:$I$91,8,0)*'CALC - RIPP-STD HW '!BD55))</f>
        <v>#N/A</v>
      </c>
      <c r="BN55" s="316">
        <f>IF(C55="","",IF(S55="N/A",0,IF(BE55="N/A",0,INDEX('COST - SELL'!$O$70:$S$73,MATCH('CALC - RIPP-STD HW '!S55,'COST - SELL'!$O$70:$O$73,0),MATCH('CALC - RIPP-STD HW '!BE55,'COST - SELL'!$O$70:$S$70,0)))))</f>
        <v>9.25</v>
      </c>
      <c r="BO55" s="316" t="e">
        <f t="shared" si="32"/>
        <v>#N/A</v>
      </c>
      <c r="BP55" s="316" t="e">
        <f t="shared" si="28"/>
        <v>#N/A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29"/>
        <v>721.25</v>
      </c>
      <c r="U56" s="560">
        <f t="shared" si="1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 t="e">
        <f t="shared" si="2"/>
        <v>#N/A</v>
      </c>
      <c r="AB56" s="560" t="e">
        <f t="shared" si="34"/>
        <v>#N/A</v>
      </c>
      <c r="AC56" s="568">
        <f>778.05+332.02</f>
        <v>1110.07</v>
      </c>
      <c r="AD56" s="567">
        <f>AC56/$AD$11</f>
        <v>55.503499999999995</v>
      </c>
      <c r="AE56" s="567">
        <f>AD56*$AE$11</f>
        <v>11.1007</v>
      </c>
      <c r="AF56" s="522">
        <f>AD56-AE56</f>
        <v>44.402799999999999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9"/>
        <v>266.7</v>
      </c>
      <c r="AP56" s="304">
        <f t="shared" si="10"/>
        <v>113</v>
      </c>
      <c r="AQ56" s="304">
        <f t="shared" si="11"/>
        <v>118</v>
      </c>
      <c r="AR56" s="318" t="str">
        <f t="shared" si="12"/>
        <v>RAILROAD</v>
      </c>
      <c r="AS56" s="318">
        <f t="shared" si="13"/>
        <v>2.2601694915254238</v>
      </c>
      <c r="AT56" s="319" t="str">
        <f t="shared" si="14"/>
        <v>N/A</v>
      </c>
      <c r="AU56" s="319">
        <f t="shared" si="15"/>
        <v>5</v>
      </c>
      <c r="AV56" s="318">
        <f t="shared" si="16"/>
        <v>8</v>
      </c>
      <c r="AW56" s="320">
        <f t="shared" si="17"/>
        <v>8</v>
      </c>
      <c r="AX56" s="306">
        <f t="shared" si="18"/>
        <v>267</v>
      </c>
      <c r="AY56" s="308">
        <f t="shared" si="19"/>
        <v>107</v>
      </c>
      <c r="AZ56" s="308">
        <f t="shared" si="20"/>
        <v>54</v>
      </c>
      <c r="BA56" s="308" t="str">
        <f t="shared" si="21"/>
        <v>VERTICAL</v>
      </c>
      <c r="BB56" s="308">
        <f t="shared" si="22"/>
        <v>15.9</v>
      </c>
      <c r="BC56" s="310">
        <f t="shared" si="23"/>
        <v>15.9</v>
      </c>
      <c r="BD56" s="321">
        <f t="shared" si="24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30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1"/>
        <v>721.25</v>
      </c>
      <c r="BM56" s="316" t="e">
        <f>IF(C56="","",IF(Q56="N/A",0,VLOOKUP(Q56,'COST - SELL'!$B$80:$I$91,8,0)*'CALC - RIPP-STD HW '!BD56))</f>
        <v>#N/A</v>
      </c>
      <c r="BN56" s="316">
        <f>IF(C56="","",IF(S56="N/A",0,IF(BE56="N/A",0,INDEX('COST - SELL'!$O$70:$S$73,MATCH('CALC - RIPP-STD HW '!S56,'COST - SELL'!$O$70:$O$73,0),MATCH('CALC - RIPP-STD HW '!BE56,'COST - SELL'!$O$70:$S$70,0)))))</f>
        <v>9.25</v>
      </c>
      <c r="BO56" s="316" t="e">
        <f t="shared" si="32"/>
        <v>#N/A</v>
      </c>
      <c r="BP56" s="316" t="e">
        <f t="shared" si="28"/>
        <v>#N/A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29"/>
        <v>407.55</v>
      </c>
      <c r="U57" s="560">
        <f t="shared" si="1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9"/>
        <v>320</v>
      </c>
      <c r="AP57" s="304">
        <f t="shared" si="10"/>
        <v>113</v>
      </c>
      <c r="AQ57" s="304">
        <f t="shared" si="11"/>
        <v>118</v>
      </c>
      <c r="AR57" s="318" t="str">
        <f t="shared" si="12"/>
        <v>RAILROAD</v>
      </c>
      <c r="AS57" s="318">
        <f t="shared" si="13"/>
        <v>2.7118644067796609</v>
      </c>
      <c r="AT57" s="319" t="str">
        <f t="shared" si="14"/>
        <v>N/A</v>
      </c>
      <c r="AU57" s="319">
        <f t="shared" si="15"/>
        <v>6</v>
      </c>
      <c r="AV57" s="318">
        <f t="shared" si="16"/>
        <v>9.75</v>
      </c>
      <c r="AW57" s="320">
        <f t="shared" si="17"/>
        <v>9.75</v>
      </c>
      <c r="AX57" s="306">
        <f t="shared" si="18"/>
        <v>320</v>
      </c>
      <c r="AY57" s="308">
        <f t="shared" si="19"/>
        <v>107</v>
      </c>
      <c r="AZ57" s="308">
        <f t="shared" si="20"/>
        <v>54</v>
      </c>
      <c r="BA57" s="308" t="str">
        <f t="shared" si="21"/>
        <v>VERTICAL</v>
      </c>
      <c r="BB57" s="308">
        <f t="shared" si="22"/>
        <v>19</v>
      </c>
      <c r="BC57" s="310">
        <f t="shared" si="23"/>
        <v>19</v>
      </c>
      <c r="BD57" s="321">
        <f t="shared" si="24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30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1"/>
        <v>407.55</v>
      </c>
      <c r="BM57" s="316" t="e">
        <f>IF(C57="","",IF(Q57="N/A",0,VLOOKUP(Q57,'COST - SELL'!$B$80:$I$91,8,0)*'CALC - RIPP-STD HW '!BD57))</f>
        <v>#N/A</v>
      </c>
      <c r="BN57" s="316">
        <f>IF(C57="","",IF(S57="N/A",0,IF(BE57="N/A",0,INDEX('COST - SELL'!$O$70:$S$73,MATCH('CALC - RIPP-STD HW '!S57,'COST - SELL'!$O$70:$O$73,0),MATCH('CALC - RIPP-STD HW '!BE57,'COST - SELL'!$O$70:$S$70,0)))))</f>
        <v>9.25</v>
      </c>
      <c r="BO57" s="316" t="e">
        <f t="shared" si="32"/>
        <v>#N/A</v>
      </c>
      <c r="BP57" s="316" t="e">
        <f t="shared" si="28"/>
        <v>#N/A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29"/>
        <v>618.15000000000009</v>
      </c>
      <c r="U58" s="560">
        <f t="shared" si="1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9"/>
        <v>320</v>
      </c>
      <c r="AP58" s="304">
        <f t="shared" si="10"/>
        <v>113</v>
      </c>
      <c r="AQ58" s="304">
        <f t="shared" si="11"/>
        <v>118</v>
      </c>
      <c r="AR58" s="318" t="str">
        <f t="shared" si="12"/>
        <v>RAILROAD</v>
      </c>
      <c r="AS58" s="318">
        <f t="shared" si="13"/>
        <v>2.7118644067796609</v>
      </c>
      <c r="AT58" s="319" t="str">
        <f t="shared" si="14"/>
        <v>N/A</v>
      </c>
      <c r="AU58" s="319">
        <f t="shared" si="15"/>
        <v>6</v>
      </c>
      <c r="AV58" s="318">
        <f t="shared" si="16"/>
        <v>9.75</v>
      </c>
      <c r="AW58" s="320">
        <f t="shared" si="17"/>
        <v>9.75</v>
      </c>
      <c r="AX58" s="306">
        <f t="shared" si="18"/>
        <v>320</v>
      </c>
      <c r="AY58" s="308">
        <f t="shared" si="19"/>
        <v>107</v>
      </c>
      <c r="AZ58" s="308">
        <f t="shared" si="20"/>
        <v>54</v>
      </c>
      <c r="BA58" s="308" t="str">
        <f t="shared" si="21"/>
        <v>VERTICAL</v>
      </c>
      <c r="BB58" s="308">
        <f t="shared" si="22"/>
        <v>19</v>
      </c>
      <c r="BC58" s="310">
        <f t="shared" si="23"/>
        <v>19</v>
      </c>
      <c r="BD58" s="321">
        <f t="shared" si="24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30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1"/>
        <v>618.15000000000009</v>
      </c>
      <c r="BM58" s="316" t="e">
        <f>IF(C58="","",IF(Q58="N/A",0,VLOOKUP(Q58,'COST - SELL'!$B$80:$I$91,8,0)*'CALC - RIPP-STD HW '!BD58))</f>
        <v>#N/A</v>
      </c>
      <c r="BN58" s="316">
        <f>IF(C58="","",IF(S58="N/A",0,IF(BE58="N/A",0,INDEX('COST - SELL'!$O$70:$S$73,MATCH('CALC - RIPP-STD HW '!S58,'COST - SELL'!$O$70:$O$73,0),MATCH('CALC - RIPP-STD HW '!BE58,'COST - SELL'!$O$70:$S$70,0)))))</f>
        <v>9.25</v>
      </c>
      <c r="BO58" s="316" t="e">
        <f t="shared" si="32"/>
        <v>#N/A</v>
      </c>
      <c r="BP58" s="316" t="e">
        <f t="shared" si="28"/>
        <v>#N/A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29"/>
        <v>520.65</v>
      </c>
      <c r="U59" s="560">
        <f t="shared" si="1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 t="e">
        <f t="shared" si="2"/>
        <v>#N/A</v>
      </c>
      <c r="AB59" s="560" t="e">
        <f t="shared" si="34"/>
        <v>#N/A</v>
      </c>
      <c r="AC59" s="568">
        <f>933.88+332.02</f>
        <v>1265.9000000000001</v>
      </c>
      <c r="AD59" s="567">
        <f>AC59/$AD$11</f>
        <v>63.295000000000002</v>
      </c>
      <c r="AE59" s="567">
        <f>AD59*$AE$11</f>
        <v>12.659000000000001</v>
      </c>
      <c r="AF59" s="522">
        <f>AD59-AE59</f>
        <v>50.636000000000003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9"/>
        <v>320</v>
      </c>
      <c r="AP59" s="304">
        <f t="shared" si="10"/>
        <v>113</v>
      </c>
      <c r="AQ59" s="304">
        <f t="shared" si="11"/>
        <v>118</v>
      </c>
      <c r="AR59" s="318" t="str">
        <f t="shared" si="12"/>
        <v>RAILROAD</v>
      </c>
      <c r="AS59" s="318">
        <f t="shared" si="13"/>
        <v>2.7118644067796609</v>
      </c>
      <c r="AT59" s="319" t="str">
        <f t="shared" si="14"/>
        <v>N/A</v>
      </c>
      <c r="AU59" s="319">
        <f t="shared" si="15"/>
        <v>6</v>
      </c>
      <c r="AV59" s="318">
        <f t="shared" si="16"/>
        <v>9.75</v>
      </c>
      <c r="AW59" s="320">
        <f t="shared" si="17"/>
        <v>9.75</v>
      </c>
      <c r="AX59" s="306">
        <f t="shared" si="18"/>
        <v>320</v>
      </c>
      <c r="AY59" s="308">
        <f t="shared" si="19"/>
        <v>107</v>
      </c>
      <c r="AZ59" s="308">
        <f t="shared" si="20"/>
        <v>54</v>
      </c>
      <c r="BA59" s="308" t="str">
        <f t="shared" si="21"/>
        <v>VERTICAL</v>
      </c>
      <c r="BB59" s="308">
        <f t="shared" si="22"/>
        <v>19</v>
      </c>
      <c r="BC59" s="310">
        <f t="shared" si="23"/>
        <v>19</v>
      </c>
      <c r="BD59" s="321">
        <f t="shared" si="24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30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1"/>
        <v>520.65</v>
      </c>
      <c r="BM59" s="316" t="e">
        <f>IF(C59="","",IF(Q59="N/A",0,VLOOKUP(Q59,'COST - SELL'!$B$80:$I$91,8,0)*'CALC - RIPP-STD HW '!BD59))</f>
        <v>#N/A</v>
      </c>
      <c r="BN59" s="316">
        <f>IF(C59="","",IF(S59="N/A",0,IF(BE59="N/A",0,INDEX('COST - SELL'!$O$70:$S$73,MATCH('CALC - RIPP-STD HW '!S59,'COST - SELL'!$O$70:$O$73,0),MATCH('CALC - RIPP-STD HW '!BE59,'COST - SELL'!$O$70:$S$70,0)))))</f>
        <v>9.25</v>
      </c>
      <c r="BO59" s="316" t="e">
        <f t="shared" si="32"/>
        <v>#N/A</v>
      </c>
      <c r="BP59" s="316" t="e">
        <f t="shared" si="28"/>
        <v>#N/A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29"/>
        <v>628.40000000000009</v>
      </c>
      <c r="U60" s="560">
        <f t="shared" si="1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 t="e">
        <f t="shared" si="2"/>
        <v>#N/A</v>
      </c>
      <c r="AB60" s="560" t="e">
        <f t="shared" si="34"/>
        <v>#N/A</v>
      </c>
      <c r="AC60" s="568">
        <f>933.88+332.02</f>
        <v>1265.9000000000001</v>
      </c>
      <c r="AD60" s="567">
        <f>AC60/$AD$11</f>
        <v>63.295000000000002</v>
      </c>
      <c r="AE60" s="567">
        <f>AD60*$AE$11</f>
        <v>12.659000000000001</v>
      </c>
      <c r="AF60" s="522">
        <f>AD60-AE60</f>
        <v>50.636000000000003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9"/>
        <v>320</v>
      </c>
      <c r="AP60" s="304">
        <f t="shared" si="10"/>
        <v>113</v>
      </c>
      <c r="AQ60" s="304">
        <f t="shared" si="11"/>
        <v>118</v>
      </c>
      <c r="AR60" s="318" t="str">
        <f t="shared" si="12"/>
        <v>RAILROAD</v>
      </c>
      <c r="AS60" s="318">
        <f t="shared" si="13"/>
        <v>2.7118644067796609</v>
      </c>
      <c r="AT60" s="319" t="str">
        <f t="shared" si="14"/>
        <v>N/A</v>
      </c>
      <c r="AU60" s="319">
        <f t="shared" si="15"/>
        <v>6</v>
      </c>
      <c r="AV60" s="318">
        <f t="shared" si="16"/>
        <v>9.75</v>
      </c>
      <c r="AW60" s="320">
        <f t="shared" si="17"/>
        <v>9.75</v>
      </c>
      <c r="AX60" s="306">
        <f t="shared" si="18"/>
        <v>320</v>
      </c>
      <c r="AY60" s="308">
        <f t="shared" si="19"/>
        <v>107</v>
      </c>
      <c r="AZ60" s="308">
        <f t="shared" si="20"/>
        <v>54</v>
      </c>
      <c r="BA60" s="308" t="str">
        <f t="shared" si="21"/>
        <v>VERTICAL</v>
      </c>
      <c r="BB60" s="308">
        <f t="shared" si="22"/>
        <v>19</v>
      </c>
      <c r="BC60" s="310">
        <f t="shared" si="23"/>
        <v>19</v>
      </c>
      <c r="BD60" s="321">
        <f t="shared" si="24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30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1"/>
        <v>628.40000000000009</v>
      </c>
      <c r="BM60" s="316" t="e">
        <f>IF(C60="","",IF(Q60="N/A",0,VLOOKUP(Q60,'COST - SELL'!$B$80:$I$91,8,0)*'CALC - RIPP-STD HW '!BD60))</f>
        <v>#N/A</v>
      </c>
      <c r="BN60" s="316">
        <f>IF(C60="","",IF(S60="N/A",0,IF(BE60="N/A",0,INDEX('COST - SELL'!$O$70:$S$73,MATCH('CALC - RIPP-STD HW '!S60,'COST - SELL'!$O$70:$O$73,0),MATCH('CALC - RIPP-STD HW '!BE60,'COST - SELL'!$O$70:$S$70,0)))))</f>
        <v>9.25</v>
      </c>
      <c r="BO60" s="316" t="e">
        <f t="shared" si="32"/>
        <v>#N/A</v>
      </c>
      <c r="BP60" s="316" t="e">
        <f t="shared" si="28"/>
        <v>#N/A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29"/>
        <v>755.65000000000009</v>
      </c>
      <c r="U61" s="560">
        <f t="shared" si="1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 t="e">
        <f t="shared" si="2"/>
        <v>#N/A</v>
      </c>
      <c r="AB61" s="560" t="e">
        <f t="shared" si="34"/>
        <v>#N/A</v>
      </c>
      <c r="AC61" s="568">
        <f>933.88+332.02</f>
        <v>1265.9000000000001</v>
      </c>
      <c r="AD61" s="567">
        <f>AC61/$AD$11</f>
        <v>63.295000000000002</v>
      </c>
      <c r="AE61" s="567">
        <f>AD61*$AE$11</f>
        <v>12.659000000000001</v>
      </c>
      <c r="AF61" s="522">
        <f>AD61-AE61</f>
        <v>50.636000000000003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9"/>
        <v>320</v>
      </c>
      <c r="AP61" s="304">
        <f t="shared" si="10"/>
        <v>113</v>
      </c>
      <c r="AQ61" s="304">
        <f t="shared" si="11"/>
        <v>118</v>
      </c>
      <c r="AR61" s="318" t="str">
        <f t="shared" si="12"/>
        <v>RAILROAD</v>
      </c>
      <c r="AS61" s="318">
        <f t="shared" si="13"/>
        <v>2.7118644067796609</v>
      </c>
      <c r="AT61" s="319" t="str">
        <f t="shared" si="14"/>
        <v>N/A</v>
      </c>
      <c r="AU61" s="319">
        <f t="shared" si="15"/>
        <v>6</v>
      </c>
      <c r="AV61" s="318">
        <f t="shared" si="16"/>
        <v>9.75</v>
      </c>
      <c r="AW61" s="320">
        <f t="shared" si="17"/>
        <v>9.75</v>
      </c>
      <c r="AX61" s="306">
        <f t="shared" si="18"/>
        <v>320</v>
      </c>
      <c r="AY61" s="308">
        <f t="shared" si="19"/>
        <v>107</v>
      </c>
      <c r="AZ61" s="308">
        <f t="shared" si="20"/>
        <v>54</v>
      </c>
      <c r="BA61" s="308" t="str">
        <f t="shared" si="21"/>
        <v>VERTICAL</v>
      </c>
      <c r="BB61" s="308">
        <f t="shared" si="22"/>
        <v>19</v>
      </c>
      <c r="BC61" s="310">
        <f t="shared" si="23"/>
        <v>19</v>
      </c>
      <c r="BD61" s="321">
        <f t="shared" si="24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30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1"/>
        <v>755.65000000000009</v>
      </c>
      <c r="BM61" s="316" t="e">
        <f>IF(C61="","",IF(Q61="N/A",0,VLOOKUP(Q61,'COST - SELL'!$B$80:$I$91,8,0)*'CALC - RIPP-STD HW '!BD61))</f>
        <v>#N/A</v>
      </c>
      <c r="BN61" s="316">
        <f>IF(C61="","",IF(S61="N/A",0,IF(BE61="N/A",0,INDEX('COST - SELL'!$O$70:$S$73,MATCH('CALC - RIPP-STD HW '!S61,'COST - SELL'!$O$70:$O$73,0),MATCH('CALC - RIPP-STD HW '!BE61,'COST - SELL'!$O$70:$S$70,0)))))</f>
        <v>9.25</v>
      </c>
      <c r="BO61" s="316" t="e">
        <f t="shared" si="32"/>
        <v>#N/A</v>
      </c>
      <c r="BP61" s="316" t="e">
        <f t="shared" si="28"/>
        <v>#N/A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29"/>
        <v>877.5</v>
      </c>
      <c r="U62" s="560">
        <f t="shared" si="1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 t="e">
        <f t="shared" si="2"/>
        <v>#N/A</v>
      </c>
      <c r="AB62" s="560" t="e">
        <f t="shared" si="34"/>
        <v>#N/A</v>
      </c>
      <c r="AC62" s="568">
        <f>933.88+332.02</f>
        <v>1265.9000000000001</v>
      </c>
      <c r="AD62" s="567">
        <f>AC62/$AD$11</f>
        <v>63.295000000000002</v>
      </c>
      <c r="AE62" s="567">
        <f>AD62*$AE$11</f>
        <v>12.659000000000001</v>
      </c>
      <c r="AF62" s="522">
        <f>AD62-AE62</f>
        <v>50.636000000000003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9"/>
        <v>320</v>
      </c>
      <c r="AP62" s="304">
        <f t="shared" si="10"/>
        <v>113</v>
      </c>
      <c r="AQ62" s="304">
        <f t="shared" si="11"/>
        <v>118</v>
      </c>
      <c r="AR62" s="318" t="str">
        <f t="shared" si="12"/>
        <v>RAILROAD</v>
      </c>
      <c r="AS62" s="318">
        <f t="shared" si="13"/>
        <v>2.7118644067796609</v>
      </c>
      <c r="AT62" s="319" t="str">
        <f t="shared" si="14"/>
        <v>N/A</v>
      </c>
      <c r="AU62" s="319">
        <f t="shared" si="15"/>
        <v>6</v>
      </c>
      <c r="AV62" s="318">
        <f t="shared" si="16"/>
        <v>9.75</v>
      </c>
      <c r="AW62" s="320">
        <f t="shared" si="17"/>
        <v>9.75</v>
      </c>
      <c r="AX62" s="306">
        <f t="shared" si="18"/>
        <v>320</v>
      </c>
      <c r="AY62" s="308">
        <f t="shared" si="19"/>
        <v>107</v>
      </c>
      <c r="AZ62" s="308">
        <f t="shared" si="20"/>
        <v>54</v>
      </c>
      <c r="BA62" s="308" t="str">
        <f t="shared" si="21"/>
        <v>VERTICAL</v>
      </c>
      <c r="BB62" s="308">
        <f t="shared" si="22"/>
        <v>19</v>
      </c>
      <c r="BC62" s="310">
        <f t="shared" si="23"/>
        <v>19</v>
      </c>
      <c r="BD62" s="321">
        <f t="shared" si="24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30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1"/>
        <v>877.5</v>
      </c>
      <c r="BM62" s="316" t="e">
        <f>IF(C62="","",IF(Q62="N/A",0,VLOOKUP(Q62,'COST - SELL'!$B$80:$I$91,8,0)*'CALC - RIPP-STD HW '!BD62))</f>
        <v>#N/A</v>
      </c>
      <c r="BN62" s="316">
        <f>IF(C62="","",IF(S62="N/A",0,IF(BE62="N/A",0,INDEX('COST - SELL'!$O$70:$S$73,MATCH('CALC - RIPP-STD HW '!S62,'COST - SELL'!$O$70:$O$73,0),MATCH('CALC - RIPP-STD HW '!BE62,'COST - SELL'!$O$70:$S$70,0)))))</f>
        <v>9.25</v>
      </c>
      <c r="BO62" s="316" t="e">
        <f t="shared" si="32"/>
        <v>#N/A</v>
      </c>
      <c r="BP62" s="316" t="e">
        <f t="shared" si="28"/>
        <v>#N/A</v>
      </c>
    </row>
    <row r="63" spans="2:68" ht="15.75" thickBot="1" x14ac:dyDescent="0.3">
      <c r="B63" s="232" t="str">
        <f>IF('CALC - RIPP-STD HW '!S4="INGLES","ITEM","ART.")</f>
        <v>ART.</v>
      </c>
      <c r="C63" s="410" t="str">
        <f>IF('CALC - RIPP-STD HW '!S4="INGLES","QTY.","CANT.")</f>
        <v>CANT.</v>
      </c>
      <c r="D63" s="914" t="str">
        <f>IF('CALC - RIPP-STD HW 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BB2ADDF5-AF56-483A-B034-A14FDF2C4C85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3119327F-71B7-4665-9415-8C3EA876FD9A}">
          <x14:formula1>
            <xm:f>'DROP LIST'!$P$11:$P$12</xm:f>
          </x14:formula1>
          <xm:sqref>AA4:AG4</xm:sqref>
        </x14:dataValidation>
        <x14:dataValidation type="list" allowBlank="1" showInputMessage="1" showErrorMessage="1" xr:uid="{57AACCCF-4E7D-4477-B9A9-F0EC751271AB}">
          <x14:formula1>
            <xm:f>'DROP LIST'!$M$15:$M$35</xm:f>
          </x14:formula1>
          <xm:sqref>I15:I62</xm:sqref>
        </x14:dataValidation>
        <x14:dataValidation type="list" allowBlank="1" showInputMessage="1" showErrorMessage="1" xr:uid="{E0D0AA24-661F-4E28-9EBB-586C651268DB}">
          <x14:formula1>
            <xm:f>'DROP LIST'!$P$7:$P$8</xm:f>
          </x14:formula1>
          <xm:sqref>S4</xm:sqref>
        </x14:dataValidation>
        <x14:dataValidation type="list" allowBlank="1" showInputMessage="1" showErrorMessage="1" xr:uid="{038D0734-1A9E-432D-98BB-E34CF2A10A82}">
          <x14:formula1>
            <xm:f>'DROP LIST'!$E$25:$E$27</xm:f>
          </x14:formula1>
          <xm:sqref>P15:P62</xm:sqref>
        </x14:dataValidation>
        <x14:dataValidation type="list" allowBlank="1" showInputMessage="1" showErrorMessage="1" xr:uid="{674C065B-08EC-42D9-9D97-C1E8BED046A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F545C622-44A1-40E8-A2DE-2FCFE49FB0B5}">
          <x14:formula1>
            <xm:f>'DROP LIST'!$M$7:$M$10</xm:f>
          </x14:formula1>
          <xm:sqref>H15:H62</xm:sqref>
        </x14:dataValidation>
        <x14:dataValidation type="list" allowBlank="1" showInputMessage="1" showErrorMessage="1" xr:uid="{FF50A4BD-454E-473E-900E-A18D1CF3444B}">
          <x14:formula1>
            <xm:f>'DROP LIST'!$E$7:$E$15</xm:f>
          </x14:formula1>
          <xm:sqref>E15:E62</xm:sqref>
        </x14:dataValidation>
        <x14:dataValidation type="list" allowBlank="1" showInputMessage="1" showErrorMessage="1" xr:uid="{3AA39A76-9758-4450-BFC9-B9C1E744229D}">
          <x14:formula1>
            <xm:f>'DROP LIST'!$H$7:$H$19</xm:f>
          </x14:formula1>
          <xm:sqref>F15:F62</xm:sqref>
        </x14:dataValidation>
        <x14:dataValidation type="list" allowBlank="1" showInputMessage="1" showErrorMessage="1" xr:uid="{744F3BEC-177C-444A-B902-7174D42FFEB2}">
          <x14:formula1>
            <xm:f>'DROP LIST'!$B$7:$B$13</xm:f>
          </x14:formula1>
          <xm:sqref>D15:D62</xm:sqref>
        </x14:dataValidation>
        <x14:dataValidation type="list" allowBlank="1" showInputMessage="1" showErrorMessage="1" xr:uid="{A23D2D33-1DC7-47E3-BF4A-04211F943355}">
          <x14:formula1>
            <xm:f>'DROP LIST'!$K$7:$K$14</xm:f>
          </x14:formula1>
          <xm:sqref>G15:G62</xm:sqref>
        </x14:dataValidation>
        <x14:dataValidation type="list" allowBlank="1" showInputMessage="1" showErrorMessage="1" xr:uid="{B2B7593E-205F-47E7-9360-8CF43732A8A5}">
          <x14:formula1>
            <xm:f>'DROP LIST'!$P$16:$P$25</xm:f>
          </x14:formula1>
          <xm:sqref>AI70</xm:sqref>
        </x14:dataValidation>
        <x14:dataValidation type="list" allowBlank="1" showInputMessage="1" showErrorMessage="1" xr:uid="{5B0C8A68-A6CC-4554-A50A-1D20C586514E}">
          <x14:formula1>
            <xm:f>'DROP LIST'!$H$43:$H$46</xm:f>
          </x14:formula1>
          <xm:sqref>S15:S62</xm:sqref>
        </x14:dataValidation>
        <x14:dataValidation type="list" allowBlank="1" showInputMessage="1" showErrorMessage="1" xr:uid="{183E83A7-4AA6-4B91-B965-C9F4AA2EBEB6}">
          <x14:formula1>
            <xm:f>'DROP LIST'!$H$25:$H$36</xm:f>
          </x14:formula1>
          <xm:sqref>Q15:Q62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>
    <tabColor rgb="FFFFCCFF"/>
  </sheetPr>
  <dimension ref="B1:BX105"/>
  <sheetViews>
    <sheetView topLeftCell="A22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20.8554687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0.140625" style="175" customWidth="1"/>
    <col min="18" max="18" width="19.28515625" style="175" hidden="1" customWidth="1"/>
    <col min="19" max="19" width="18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STD HW'!$S$4="INGLES","ITEM","ART.")</f>
        <v>ART.</v>
      </c>
      <c r="C14" s="182" t="str">
        <f>IF('CALC -P.P. - STD HW'!$S$4="INGLES","QTY.","CANT.")</f>
        <v>CANT.</v>
      </c>
      <c r="D14" s="182" t="str">
        <f>IF('CALC -P.P. - STD HW'!$S$4="INGLES","DRAW DIRECTION","DIRECCION DE CORTINA")</f>
        <v>DIRECCION DE CORTINA</v>
      </c>
      <c r="E14" s="182" t="str">
        <f>IF('CALC -P.P. - STD HW'!$S$4="INGLES","DRAPERY STYLE","ESTILO DE CORTINA")</f>
        <v>ESTILO DE CORTINA</v>
      </c>
      <c r="F14" s="182" t="str">
        <f>IF('CALC -P.P. - STD HW'!$S$4="INGLES","DRAPERY TYPE","TIPO DE CORTINA")</f>
        <v>TIPO DE CORTINA</v>
      </c>
      <c r="G14" s="182" t="str">
        <f>IF('CALC -P.P. - STD HW'!$S$4="INGLES","FULLNESS","AMPLITUD")</f>
        <v>AMPLITUD</v>
      </c>
      <c r="H14" s="198" t="str">
        <f>IF('CALC -P.P. - STD HW'!$S$4="INGLES","'STOCK','LINE' or 'C.O.M.'  FABRICS","TELAS 'EN EXISTENCIA', 'POR ORDENAR' ó 'DEL CLIENTE'")</f>
        <v>TELAS 'EN EXISTENCIA', 'POR ORDENAR' ó 'DEL CLIENTE'</v>
      </c>
      <c r="I14" s="182" t="str">
        <f>IF('CALC -P.P. - STD HW'!$S$4="INGLES","FABRIC TYPE","TIPO DE TELA")</f>
        <v>TIPO DE TELA</v>
      </c>
      <c r="J14" s="182" t="str">
        <f>IF('CALC -P.P. - STD HW'!$S$4="INGLES","FABRIC YARDAGE PER QTY. REQUIRED","YARDAGE SEGUN CANTIDAD REQUERIDA")</f>
        <v>YARDAGE SEGUN CANTIDAD REQUERIDA</v>
      </c>
      <c r="K14" s="182" t="str">
        <f>IF('CALC -P.P. - STD HW'!$S$4="INGLES","FABRIC PATTERN AND COLOR NAME","NOMBRE y COLOR DE TELA")</f>
        <v>NOMBRE y COLOR DE TELA</v>
      </c>
      <c r="L14" s="182" t="str">
        <f>IF('CALC -P.P. - STD HW'!$S$4="INGLES","LINING TYPE","TIPO DE LINING")</f>
        <v>TIPO DE LINING</v>
      </c>
      <c r="M14" s="182" t="str">
        <f>IF('CALC -P.P. - STD HW'!$S$4="INGLES","ROOM / AREA NAME","NOMBRE DEL CUARTO ó AREA")</f>
        <v>NOMBRE DEL CUARTO ó AREA</v>
      </c>
      <c r="N14" s="182" t="str">
        <f>IF('CALC -P.P. - STD HW'!$S$4="INGLES","ROD SIZE","ANCHO DE RIEL")</f>
        <v>ANCHO DE RIEL</v>
      </c>
      <c r="O14" s="184" t="str">
        <f>IF('CALC -P.P. - STD HW'!$S$4="INGLES","DRAPERY FINISHED SIZE","ALTURA DE CORTINA")</f>
        <v>ALTURA DE CORTINA</v>
      </c>
      <c r="P14" s="183" t="str">
        <f>IF('CALC -P.P. - STD HW'!$S$4="INGLES","MOUNTING","MONTAJE")</f>
        <v>MONTAJE</v>
      </c>
      <c r="Q14" s="182" t="str">
        <f>IF('CALC -P.P. - STD HW'!$S$4="INGLES","HARDWARE TYPE","TIPO HERRAJE")</f>
        <v>TIPO HERRAJE</v>
      </c>
      <c r="R14" s="185" t="str">
        <f>IF('CALC -P.P. - STD HW'!$S$4="INGLES","HARDWARE COLOR","COLOR HERRAJE")</f>
        <v>COLOR HERRAJE</v>
      </c>
      <c r="S14" s="185" t="str">
        <f>IF('CALC -P.P. - STD HW'!$S$4="INGLES","BATON TYPE (in  the case that applies)","TIPO DE BASTON (en caso de que aplique)")</f>
        <v>TIPO DE BASTON (en caso de que aplique)</v>
      </c>
      <c r="T14" s="183" t="str">
        <f>IF('CALC -P.P. - STD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STD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STD HW'!$S$4="INGLES","UNIT PRICE.","PRECIO UNITARIO")</f>
        <v>PRECIO UNITARIO</v>
      </c>
      <c r="AI14" s="184" t="str">
        <f>IF('CALC -P.P. - STD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-P.P. - STD HW'!BD15))</f>
        <v>#N/A</v>
      </c>
      <c r="BN15" s="316">
        <f>IF(C15="","",IF(S15="N/A",0,IF(BE15="N/A",0,INDEX('COST - SELL'!$O$70:$S$73,MATCH('CALC -P.P. - STD HW'!S15,'COST - SELL'!$O$70:$O$73,0),MATCH('CALC -P.P. - STD HW'!BE15,'COST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 t="e">
        <f>IF(C16="","",IF(Q16="N/A",0,VLOOKUP(Q16,'COST - SELL'!$B$80:$I$91,8,0)*'CALC -P.P. - STD HW'!BD16))</f>
        <v>#N/A</v>
      </c>
      <c r="BN16" s="316">
        <f>IF(C16="","",IF(S16="N/A",0,IF(BE16="N/A",0,INDEX('COST - SELL'!$O$70:$S$73,MATCH('CALC -P.P. - STD HW'!S16,'COST - SELL'!$O$70:$O$73,0),MATCH('CALC -P.P. - STD HW'!BE16,'COST - SELL'!$O$70:$S$70,0)))))</f>
        <v>9.25</v>
      </c>
      <c r="BO16" s="316" t="e">
        <f t="shared" ref="BO16:BO62" si="31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 t="e">
        <f t="shared" si="2"/>
        <v>#N/A</v>
      </c>
      <c r="AB17" s="560" t="e">
        <f>AA17*0.7*0.6*0.6</f>
        <v>#N/A</v>
      </c>
      <c r="AC17" s="568">
        <f>524.8+332.02</f>
        <v>856.81999999999994</v>
      </c>
      <c r="AD17" s="567">
        <f>AC17/$AD$11</f>
        <v>42.840999999999994</v>
      </c>
      <c r="AE17" s="567">
        <f>AD17*$AE$11</f>
        <v>8.5681999999999992</v>
      </c>
      <c r="AF17" s="522">
        <f>AD17-AE17</f>
        <v>34.272799999999997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 t="e">
        <f>IF(C17="","",IF(Q17="N/A",0,VLOOKUP(Q17,'COST - SELL'!$B$80:$I$91,8,0)*'CALC -P.P. - STD HW'!BD17))</f>
        <v>#N/A</v>
      </c>
      <c r="BN17" s="316">
        <f>IF(C17="","",IF(S17="N/A",0,IF(BE17="N/A",0,INDEX('COST - SELL'!$O$70:$S$73,MATCH('CALC -P.P. - STD HW'!S17,'COST - SELL'!$O$70:$O$73,0),MATCH('CALC -P.P. - STD HW'!BE17,'COST - SELL'!$O$70:$S$70,0)))))</f>
        <v>9.25</v>
      </c>
      <c r="BO17" s="316" t="e">
        <f t="shared" si="31"/>
        <v>#N/A</v>
      </c>
      <c r="BP17" s="316" t="e">
        <f t="shared" si="28"/>
        <v>#N/A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 t="e">
        <f>IF(OR(C18&lt;1,C18=""),"",BO18)</f>
        <v>#N/A</v>
      </c>
      <c r="AB18" s="560" t="e">
        <f t="shared" ref="AB18:AB62" si="34">AA18*0.7*0.6*0.6</f>
        <v>#N/A</v>
      </c>
      <c r="AC18" s="568">
        <f>524.8+332.02</f>
        <v>856.81999999999994</v>
      </c>
      <c r="AD18" s="567">
        <f>AC18/$AD$11</f>
        <v>42.840999999999994</v>
      </c>
      <c r="AE18" s="567">
        <f>AD18*$AE$11</f>
        <v>8.5681999999999992</v>
      </c>
      <c r="AF18" s="522">
        <f>AD18-AE18</f>
        <v>34.272799999999997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 t="e">
        <f>IF(C18="","",IF(Q18="N/A",0,VLOOKUP(Q18,'COST - SELL'!$B$80:$I$91,8,0)*'CALC -P.P. - STD HW'!BD18))</f>
        <v>#N/A</v>
      </c>
      <c r="BN18" s="316">
        <f>IF(C18="","",IF(S18="N/A",0,IF(BE18="N/A",0,INDEX('COST - SELL'!$O$70:$S$73,MATCH('CALC -P.P. - STD HW'!S18,'COST - SELL'!$O$70:$O$73,0),MATCH('CALC -P.P. - STD HW'!BE18,'COST - SELL'!$O$70:$S$70,0)))))</f>
        <v>9.25</v>
      </c>
      <c r="BO18" s="316" t="e">
        <f>IF(C18="","",CEILING(BM18+BN18,0.05))</f>
        <v>#N/A</v>
      </c>
      <c r="BP18" s="316" t="e">
        <f t="shared" si="28"/>
        <v>#N/A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 t="e">
        <f t="shared" si="2"/>
        <v>#N/A</v>
      </c>
      <c r="AB19" s="560" t="e">
        <f t="shared" si="34"/>
        <v>#N/A</v>
      </c>
      <c r="AC19" s="568">
        <f>524.8+332.02</f>
        <v>856.81999999999994</v>
      </c>
      <c r="AD19" s="567">
        <f>AC19/$AD$11</f>
        <v>42.840999999999994</v>
      </c>
      <c r="AE19" s="567">
        <f>AD19*$AE$11</f>
        <v>8.5681999999999992</v>
      </c>
      <c r="AF19" s="522">
        <f>AD19-AE19</f>
        <v>34.272799999999997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 t="e">
        <f>IF(C19="","",IF(Q19="N/A",0,VLOOKUP(Q19,'COST - SELL'!$B$80:$I$91,8,0)*'CALC -P.P. - STD HW'!BD19))</f>
        <v>#N/A</v>
      </c>
      <c r="BN19" s="316">
        <f>IF(C19="","",IF(S19="N/A",0,IF(BE19="N/A",0,INDEX('COST - SELL'!$O$70:$S$73,MATCH('CALC -P.P. - STD HW'!S19,'COST - SELL'!$O$70:$O$73,0),MATCH('CALC -P.P. - STD HW'!BE19,'COST - SELL'!$O$70:$S$70,0)))))</f>
        <v>9.25</v>
      </c>
      <c r="BO19" s="316" t="e">
        <f t="shared" si="31"/>
        <v>#N/A</v>
      </c>
      <c r="BP19" s="316" t="e">
        <f t="shared" si="28"/>
        <v>#N/A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 t="e">
        <f t="shared" si="2"/>
        <v>#N/A</v>
      </c>
      <c r="AB20" s="560" t="e">
        <f t="shared" si="34"/>
        <v>#N/A</v>
      </c>
      <c r="AC20" s="568">
        <f>524.8+332.02</f>
        <v>856.81999999999994</v>
      </c>
      <c r="AD20" s="567">
        <f>AC20/$AD$11</f>
        <v>42.840999999999994</v>
      </c>
      <c r="AE20" s="567">
        <f>AD20*$AE$11</f>
        <v>8.5681999999999992</v>
      </c>
      <c r="AF20" s="522">
        <f>AD20-AE20</f>
        <v>34.272799999999997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 t="e">
        <f>IF(C20="","",IF(Q20="N/A",0,VLOOKUP(Q20,'COST - SELL'!$B$80:$I$91,8,0)*'CALC -P.P. - STD HW'!BD20))</f>
        <v>#N/A</v>
      </c>
      <c r="BN20" s="316">
        <f>IF(C20="","",IF(S20="N/A",0,IF(BE20="N/A",0,INDEX('COST - SELL'!$O$70:$S$73,MATCH('CALC -P.P. - STD HW'!S20,'COST - SELL'!$O$70:$O$73,0),MATCH('CALC -P.P. - STD HW'!BE20,'COST - SELL'!$O$70:$S$70,0)))))</f>
        <v>9.25</v>
      </c>
      <c r="BO20" s="316" t="e">
        <f t="shared" si="31"/>
        <v>#N/A</v>
      </c>
      <c r="BP20" s="316" t="e">
        <f t="shared" si="28"/>
        <v>#N/A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 t="e">
        <f>IF(C21="","",IF(Q21="N/A",0,VLOOKUP(Q21,'COST - SELL'!$B$80:$I$91,8,0)*'CALC -P.P. - STD HW'!BD21))</f>
        <v>#N/A</v>
      </c>
      <c r="BN21" s="316">
        <f>IF(C21="","",IF(S21="N/A",0,IF(BE21="N/A",0,INDEX('COST - SELL'!$O$70:$S$73,MATCH('CALC -P.P. - STD HW'!S21,'COST - SELL'!$O$70:$O$73,0),MATCH('CALC -P.P. - STD HW'!BE21,'COST - SELL'!$O$70:$S$70,0)))))</f>
        <v>9.25</v>
      </c>
      <c r="BO21" s="316" t="e">
        <f t="shared" si="31"/>
        <v>#N/A</v>
      </c>
      <c r="BP21" s="316" t="e">
        <f t="shared" si="28"/>
        <v>#N/A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 t="e">
        <f>IF(C22="","",IF(Q22="N/A",0,VLOOKUP(Q22,'COST - SELL'!$B$80:$I$91,8,0)*'CALC -P.P. - STD HW'!BD22))</f>
        <v>#N/A</v>
      </c>
      <c r="BN22" s="316">
        <f>IF(C22="","",IF(S22="N/A",0,IF(BE22="N/A",0,INDEX('COST - SELL'!$O$70:$S$73,MATCH('CALC -P.P. - STD HW'!S22,'COST - SELL'!$O$70:$O$73,0),MATCH('CALC -P.P. - STD HW'!BE22,'COST - SELL'!$O$70:$S$70,0)))))</f>
        <v>9.25</v>
      </c>
      <c r="BO22" s="316" t="e">
        <f t="shared" si="31"/>
        <v>#N/A</v>
      </c>
      <c r="BP22" s="316" t="e">
        <f t="shared" si="28"/>
        <v>#N/A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 t="e">
        <f t="shared" si="2"/>
        <v>#N/A</v>
      </c>
      <c r="AB23" s="560" t="e">
        <f t="shared" si="34"/>
        <v>#N/A</v>
      </c>
      <c r="AC23" s="568">
        <f>637.61+332.02</f>
        <v>969.63</v>
      </c>
      <c r="AD23" s="567">
        <f>AC23/$AD$11</f>
        <v>48.481499999999997</v>
      </c>
      <c r="AE23" s="567">
        <f>AD23*$AE$11</f>
        <v>9.6963000000000008</v>
      </c>
      <c r="AF23" s="522">
        <f>AD23-AE23</f>
        <v>38.785199999999996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 t="e">
        <f>IF(C23="","",IF(Q23="N/A",0,VLOOKUP(Q23,'COST - SELL'!$B$80:$I$91,8,0)*'CALC -P.P. - STD HW'!BD23))</f>
        <v>#N/A</v>
      </c>
      <c r="BN23" s="316">
        <f>IF(C23="","",IF(S23="N/A",0,IF(BE23="N/A",0,INDEX('COST - SELL'!$O$70:$S$73,MATCH('CALC -P.P. - STD HW'!S23,'COST - SELL'!$O$70:$O$73,0),MATCH('CALC -P.P. - STD HW'!BE23,'COST - SELL'!$O$70:$S$70,0)))))</f>
        <v>9.25</v>
      </c>
      <c r="BO23" s="316" t="e">
        <f t="shared" si="31"/>
        <v>#N/A</v>
      </c>
      <c r="BP23" s="316" t="e">
        <f t="shared" si="28"/>
        <v>#N/A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 t="e">
        <f t="shared" si="2"/>
        <v>#N/A</v>
      </c>
      <c r="AB24" s="560" t="e">
        <f t="shared" si="34"/>
        <v>#N/A</v>
      </c>
      <c r="AC24" s="568">
        <f>637.61+332.02</f>
        <v>969.63</v>
      </c>
      <c r="AD24" s="567">
        <f>AC24/$AD$11</f>
        <v>48.481499999999997</v>
      </c>
      <c r="AE24" s="567">
        <f>AD24*$AE$11</f>
        <v>9.6963000000000008</v>
      </c>
      <c r="AF24" s="522">
        <f>AD24-AE24</f>
        <v>38.785199999999996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 t="e">
        <f>IF(C24="","",IF(Q24="N/A",0,VLOOKUP(Q24,'COST - SELL'!$B$80:$I$91,8,0)*'CALC -P.P. - STD HW'!BD24))</f>
        <v>#N/A</v>
      </c>
      <c r="BN24" s="316">
        <f>IF(C24="","",IF(S24="N/A",0,IF(BE24="N/A",0,INDEX('COST - SELL'!$O$70:$S$73,MATCH('CALC -P.P. - STD HW'!S24,'COST - SELL'!$O$70:$O$73,0),MATCH('CALC -P.P. - STD HW'!BE24,'COST - SELL'!$O$70:$S$70,0)))))</f>
        <v>9.25</v>
      </c>
      <c r="BO24" s="316" t="e">
        <f t="shared" si="31"/>
        <v>#N/A</v>
      </c>
      <c r="BP24" s="316" t="e">
        <f t="shared" si="28"/>
        <v>#N/A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 t="e">
        <f t="shared" si="2"/>
        <v>#N/A</v>
      </c>
      <c r="AB25" s="560" t="e">
        <f t="shared" si="34"/>
        <v>#N/A</v>
      </c>
      <c r="AC25" s="568">
        <f>637.61+332.02</f>
        <v>969.63</v>
      </c>
      <c r="AD25" s="567">
        <f>AC25/$AD$11</f>
        <v>48.481499999999997</v>
      </c>
      <c r="AE25" s="567">
        <f>AD25*$AE$11</f>
        <v>9.6963000000000008</v>
      </c>
      <c r="AF25" s="522">
        <f>AD25-AE25</f>
        <v>38.785199999999996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 t="e">
        <f>IF(C25="","",IF(Q25="N/A",0,VLOOKUP(Q25,'COST - SELL'!$B$80:$I$91,8,0)*'CALC -P.P. - STD HW'!BD25))</f>
        <v>#N/A</v>
      </c>
      <c r="BN25" s="316">
        <f>IF(C25="","",IF(S25="N/A",0,IF(BE25="N/A",0,INDEX('COST - SELL'!$O$70:$S$73,MATCH('CALC -P.P. - STD HW'!S25,'COST - SELL'!$O$70:$O$73,0),MATCH('CALC -P.P. - STD HW'!BE25,'COST - SELL'!$O$70:$S$70,0)))))</f>
        <v>9.25</v>
      </c>
      <c r="BO25" s="316" t="e">
        <f t="shared" si="31"/>
        <v>#N/A</v>
      </c>
      <c r="BP25" s="316" t="e">
        <f t="shared" si="28"/>
        <v>#N/A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 t="e">
        <f t="shared" si="2"/>
        <v>#N/A</v>
      </c>
      <c r="AB26" s="560" t="e">
        <f t="shared" si="34"/>
        <v>#N/A</v>
      </c>
      <c r="AC26" s="568">
        <f>637.61+332.02</f>
        <v>969.63</v>
      </c>
      <c r="AD26" s="567">
        <f>AC26/$AD$11</f>
        <v>48.481499999999997</v>
      </c>
      <c r="AE26" s="567">
        <f>AD26*$AE$11</f>
        <v>9.6963000000000008</v>
      </c>
      <c r="AF26" s="522">
        <f>AD26-AE26</f>
        <v>38.785199999999996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 t="e">
        <f>IF(C26="","",IF(Q26="N/A",0,VLOOKUP(Q26,'COST - SELL'!$B$80:$I$91,8,0)*'CALC -P.P. - STD HW'!BD26))</f>
        <v>#N/A</v>
      </c>
      <c r="BN26" s="316">
        <f>IF(C26="","",IF(S26="N/A",0,IF(BE26="N/A",0,INDEX('COST - SELL'!$O$70:$S$73,MATCH('CALC -P.P. - STD HW'!S26,'COST - SELL'!$O$70:$O$73,0),MATCH('CALC -P.P. - STD HW'!BE26,'COST - SELL'!$O$70:$S$70,0)))))</f>
        <v>9.25</v>
      </c>
      <c r="BO26" s="316" t="e">
        <f t="shared" si="31"/>
        <v>#N/A</v>
      </c>
      <c r="BP26" s="316" t="e">
        <f t="shared" si="28"/>
        <v>#N/A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 t="e">
        <f>IF(C27="","",IF(Q27="N/A",0,VLOOKUP(Q27,'COST - SELL'!$B$80:$I$91,8,0)*'CALC -P.P. - STD HW'!BD27))</f>
        <v>#N/A</v>
      </c>
      <c r="BN27" s="316">
        <f>IF(C27="","",IF(S27="N/A",0,IF(BE27="N/A",0,INDEX('COST - SELL'!$O$70:$S$73,MATCH('CALC -P.P. - STD HW'!S27,'COST - SELL'!$O$70:$O$73,0),MATCH('CALC -P.P. - STD HW'!BE27,'COST - SELL'!$O$70:$S$70,0)))))</f>
        <v>9.25</v>
      </c>
      <c r="BO27" s="316" t="e">
        <f t="shared" si="31"/>
        <v>#N/A</v>
      </c>
      <c r="BP27" s="316" t="e">
        <f t="shared" si="28"/>
        <v>#N/A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 t="e">
        <f>IF(C28="","",IF(Q28="N/A",0,VLOOKUP(Q28,'COST - SELL'!$B$80:$I$91,8,0)*'CALC -P.P. - STD HW'!BD28))</f>
        <v>#N/A</v>
      </c>
      <c r="BN28" s="316">
        <f>IF(C28="","",IF(S28="N/A",0,IF(BE28="N/A",0,INDEX('COST - SELL'!$O$70:$S$73,MATCH('CALC -P.P. - STD HW'!S28,'COST - SELL'!$O$70:$O$73,0),MATCH('CALC -P.P. - STD HW'!BE28,'COST - SELL'!$O$70:$S$70,0)))))</f>
        <v>9.25</v>
      </c>
      <c r="BO28" s="316" t="e">
        <f t="shared" si="31"/>
        <v>#N/A</v>
      </c>
      <c r="BP28" s="316" t="e">
        <f t="shared" si="28"/>
        <v>#N/A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 t="e">
        <f t="shared" si="2"/>
        <v>#N/A</v>
      </c>
      <c r="AB29" s="560" t="e">
        <f t="shared" si="34"/>
        <v>#N/A</v>
      </c>
      <c r="AC29" s="568">
        <f>736.77+332.02</f>
        <v>1068.79</v>
      </c>
      <c r="AD29" s="567">
        <f>AC29/$AD$11</f>
        <v>53.439499999999995</v>
      </c>
      <c r="AE29" s="567">
        <f>AD29*$AE$11</f>
        <v>10.687899999999999</v>
      </c>
      <c r="AF29" s="522">
        <f>AD29-AE29</f>
        <v>42.751599999999996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 t="e">
        <f>IF(C29="","",IF(Q29="N/A",0,VLOOKUP(Q29,'COST - SELL'!$B$80:$I$91,8,0)*'CALC -P.P. - STD HW'!BD29))</f>
        <v>#N/A</v>
      </c>
      <c r="BN29" s="316">
        <f>IF(C29="","",IF(S29="N/A",0,IF(BE29="N/A",0,INDEX('COST - SELL'!$O$70:$S$73,MATCH('CALC -P.P. - STD HW'!S29,'COST - SELL'!$O$70:$O$73,0),MATCH('CALC -P.P. - STD HW'!BE29,'COST - SELL'!$O$70:$S$70,0)))))</f>
        <v>9.25</v>
      </c>
      <c r="BO29" s="316" t="e">
        <f t="shared" si="31"/>
        <v>#N/A</v>
      </c>
      <c r="BP29" s="316" t="e">
        <f t="shared" si="28"/>
        <v>#N/A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 t="e">
        <f t="shared" si="2"/>
        <v>#N/A</v>
      </c>
      <c r="AB30" s="560" t="e">
        <f t="shared" si="34"/>
        <v>#N/A</v>
      </c>
      <c r="AC30" s="568">
        <f>736.77+332.02</f>
        <v>1068.79</v>
      </c>
      <c r="AD30" s="567">
        <f>AC30/$AD$11</f>
        <v>53.439499999999995</v>
      </c>
      <c r="AE30" s="567">
        <f>AD30*$AE$11</f>
        <v>10.687899999999999</v>
      </c>
      <c r="AF30" s="522">
        <f>AD30-AE30</f>
        <v>42.751599999999996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 t="e">
        <f>IF(C30="","",IF(Q30="N/A",0,VLOOKUP(Q30,'COST - SELL'!$B$80:$I$91,8,0)*'CALC -P.P. - STD HW'!BD30))</f>
        <v>#N/A</v>
      </c>
      <c r="BN30" s="316">
        <f>IF(C30="","",IF(S30="N/A",0,IF(BE30="N/A",0,INDEX('COST - SELL'!$O$70:$S$73,MATCH('CALC -P.P. - STD HW'!S30,'COST - SELL'!$O$70:$O$73,0),MATCH('CALC -P.P. - STD HW'!BE30,'COST - SELL'!$O$70:$S$70,0)))))</f>
        <v>9.25</v>
      </c>
      <c r="BO30" s="316" t="e">
        <f t="shared" si="31"/>
        <v>#N/A</v>
      </c>
      <c r="BP30" s="316" t="e">
        <f t="shared" si="28"/>
        <v>#N/A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 t="e">
        <f t="shared" si="2"/>
        <v>#N/A</v>
      </c>
      <c r="AB31" s="560" t="e">
        <f t="shared" si="34"/>
        <v>#N/A</v>
      </c>
      <c r="AC31" s="568">
        <f>736.77+332.02</f>
        <v>1068.79</v>
      </c>
      <c r="AD31" s="567">
        <f>AC31/$AD$11</f>
        <v>53.439499999999995</v>
      </c>
      <c r="AE31" s="567">
        <f>AD31*$AE$11</f>
        <v>10.687899999999999</v>
      </c>
      <c r="AF31" s="522">
        <f>AD31-AE31</f>
        <v>42.751599999999996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 t="e">
        <f>IF(C31="","",IF(Q31="N/A",0,VLOOKUP(Q31,'COST - SELL'!$B$80:$I$91,8,0)*'CALC -P.P. - STD HW'!BD31))</f>
        <v>#N/A</v>
      </c>
      <c r="BN31" s="316">
        <f>IF(C31="","",IF(S31="N/A",0,IF(BE31="N/A",0,INDEX('COST - SELL'!$O$70:$S$73,MATCH('CALC -P.P. - STD HW'!S31,'COST - SELL'!$O$70:$O$73,0),MATCH('CALC -P.P. - STD HW'!BE31,'COST - SELL'!$O$70:$S$70,0)))))</f>
        <v>9.25</v>
      </c>
      <c r="BO31" s="316" t="e">
        <f t="shared" si="31"/>
        <v>#N/A</v>
      </c>
      <c r="BP31" s="316" t="e">
        <f t="shared" si="28"/>
        <v>#N/A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 t="e">
        <f t="shared" si="2"/>
        <v>#N/A</v>
      </c>
      <c r="AB32" s="560" t="e">
        <f t="shared" si="34"/>
        <v>#N/A</v>
      </c>
      <c r="AC32" s="568">
        <f>736.77+332.02</f>
        <v>1068.79</v>
      </c>
      <c r="AD32" s="567">
        <f>AC32/$AD$11</f>
        <v>53.439499999999995</v>
      </c>
      <c r="AE32" s="567">
        <f>AD32*$AE$11</f>
        <v>10.687899999999999</v>
      </c>
      <c r="AF32" s="522">
        <f>AD32-AE32</f>
        <v>42.751599999999996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 t="e">
        <f>IF(C32="","",IF(Q32="N/A",0,VLOOKUP(Q32,'COST - SELL'!$B$80:$I$91,8,0)*'CALC -P.P. - STD HW'!BD32))</f>
        <v>#N/A</v>
      </c>
      <c r="BN32" s="316">
        <f>IF(C32="","",IF(S32="N/A",0,IF(BE32="N/A",0,INDEX('COST - SELL'!$O$70:$S$73,MATCH('CALC -P.P. - STD HW'!S32,'COST - SELL'!$O$70:$O$73,0),MATCH('CALC -P.P. - STD HW'!BE32,'COST - SELL'!$O$70:$S$70,0)))))</f>
        <v>9.25</v>
      </c>
      <c r="BO32" s="316" t="e">
        <f t="shared" si="31"/>
        <v>#N/A</v>
      </c>
      <c r="BP32" s="316" t="e">
        <f t="shared" si="28"/>
        <v>#N/A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 t="e">
        <f>IF(C33="","",IF(Q33="N/A",0,VLOOKUP(Q33,'COST - SELL'!$B$80:$I$91,8,0)*'CALC -P.P. - STD HW'!BD33))</f>
        <v>#N/A</v>
      </c>
      <c r="BN33" s="316">
        <f>IF(C33="","",IF(S33="N/A",0,IF(BE33="N/A",0,INDEX('COST - SELL'!$O$70:$S$73,MATCH('CALC -P.P. - STD HW'!S33,'COST - SELL'!$O$70:$O$73,0),MATCH('CALC -P.P. - STD HW'!BE33,'COST - SELL'!$O$70:$S$70,0)))))</f>
        <v>9.25</v>
      </c>
      <c r="BO33" s="316" t="e">
        <f t="shared" si="31"/>
        <v>#N/A</v>
      </c>
      <c r="BP33" s="316" t="e">
        <f t="shared" si="28"/>
        <v>#N/A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 t="e">
        <f>IF(C34="","",IF(Q34="N/A",0,VLOOKUP(Q34,'COST - SELL'!$B$80:$I$91,8,0)*'CALC -P.P. - STD HW'!BD34))</f>
        <v>#N/A</v>
      </c>
      <c r="BN34" s="316">
        <f>IF(C34="","",IF(S34="N/A",0,IF(BE34="N/A",0,INDEX('COST - SELL'!$O$70:$S$73,MATCH('CALC -P.P. - STD HW'!S34,'COST - SELL'!$O$70:$O$73,0),MATCH('CALC -P.P. - STD HW'!BE34,'COST - SELL'!$O$70:$S$70,0)))))</f>
        <v>9.25</v>
      </c>
      <c r="BO34" s="316" t="e">
        <f t="shared" si="31"/>
        <v>#N/A</v>
      </c>
      <c r="BP34" s="316" t="e">
        <f t="shared" si="28"/>
        <v>#N/A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 t="e">
        <f t="shared" si="2"/>
        <v>#N/A</v>
      </c>
      <c r="AB35" s="560" t="e">
        <f t="shared" si="34"/>
        <v>#N/A</v>
      </c>
      <c r="AC35" s="568">
        <f>881.37+332.02</f>
        <v>1213.3899999999999</v>
      </c>
      <c r="AD35" s="567">
        <f>AC35/$AD$11</f>
        <v>60.669499999999992</v>
      </c>
      <c r="AE35" s="567">
        <f>AD35*$AE$11</f>
        <v>12.133899999999999</v>
      </c>
      <c r="AF35" s="522">
        <f>AD35-AE35</f>
        <v>48.535599999999995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 t="e">
        <f>IF(C35="","",IF(Q35="N/A",0,VLOOKUP(Q35,'COST - SELL'!$B$80:$I$91,8,0)*'CALC -P.P. - STD HW'!BD35))</f>
        <v>#N/A</v>
      </c>
      <c r="BN35" s="316">
        <f>IF(C35="","",IF(S35="N/A",0,IF(BE35="N/A",0,INDEX('COST - SELL'!$O$70:$S$73,MATCH('CALC -P.P. - STD HW'!S35,'COST - SELL'!$O$70:$O$73,0),MATCH('CALC -P.P. - STD HW'!BE35,'COST - SELL'!$O$70:$S$70,0)))))</f>
        <v>9.25</v>
      </c>
      <c r="BO35" s="316" t="e">
        <f t="shared" si="31"/>
        <v>#N/A</v>
      </c>
      <c r="BP35" s="316" t="e">
        <f t="shared" si="28"/>
        <v>#N/A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 t="e">
        <f t="shared" si="2"/>
        <v>#N/A</v>
      </c>
      <c r="AB36" s="560" t="e">
        <f t="shared" si="34"/>
        <v>#N/A</v>
      </c>
      <c r="AC36" s="568">
        <f>881.37+332.02</f>
        <v>1213.3899999999999</v>
      </c>
      <c r="AD36" s="567">
        <f>AC36/$AD$11</f>
        <v>60.669499999999992</v>
      </c>
      <c r="AE36" s="567">
        <f>AD36*$AE$11</f>
        <v>12.133899999999999</v>
      </c>
      <c r="AF36" s="522">
        <f>AD36-AE36</f>
        <v>48.535599999999995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 t="e">
        <f>IF(C36="","",IF(Q36="N/A",0,VLOOKUP(Q36,'COST - SELL'!$B$80:$I$91,8,0)*'CALC -P.P. - STD HW'!BD36))</f>
        <v>#N/A</v>
      </c>
      <c r="BN36" s="316">
        <f>IF(C36="","",IF(S36="N/A",0,IF(BE36="N/A",0,INDEX('COST - SELL'!$O$70:$S$73,MATCH('CALC -P.P. - STD HW'!S36,'COST - SELL'!$O$70:$O$73,0),MATCH('CALC -P.P. - STD HW'!BE36,'COST - SELL'!$O$70:$S$70,0)))))</f>
        <v>9.25</v>
      </c>
      <c r="BO36" s="316" t="e">
        <f t="shared" si="31"/>
        <v>#N/A</v>
      </c>
      <c r="BP36" s="316" t="e">
        <f t="shared" si="28"/>
        <v>#N/A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 t="e">
        <f t="shared" si="2"/>
        <v>#N/A</v>
      </c>
      <c r="AB37" s="560" t="e">
        <f t="shared" si="34"/>
        <v>#N/A</v>
      </c>
      <c r="AC37" s="568">
        <f>881.37+332.02</f>
        <v>1213.3899999999999</v>
      </c>
      <c r="AD37" s="567">
        <f>AC37/$AD$11</f>
        <v>60.669499999999992</v>
      </c>
      <c r="AE37" s="567">
        <f>AD37*$AE$11</f>
        <v>12.133899999999999</v>
      </c>
      <c r="AF37" s="522">
        <f>AD37-AE37</f>
        <v>48.535599999999995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 t="e">
        <f>IF(C37="","",IF(Q37="N/A",0,VLOOKUP(Q37,'COST - SELL'!$B$80:$I$91,8,0)*'CALC -P.P. - STD HW'!BD37))</f>
        <v>#N/A</v>
      </c>
      <c r="BN37" s="316">
        <f>IF(C37="","",IF(S37="N/A",0,IF(BE37="N/A",0,INDEX('COST - SELL'!$O$70:$S$73,MATCH('CALC -P.P. - STD HW'!S37,'COST - SELL'!$O$70:$O$73,0),MATCH('CALC -P.P. - STD HW'!BE37,'COST - SELL'!$O$70:$S$70,0)))))</f>
        <v>9.25</v>
      </c>
      <c r="BO37" s="316" t="e">
        <f t="shared" si="31"/>
        <v>#N/A</v>
      </c>
      <c r="BP37" s="316" t="e">
        <f t="shared" si="28"/>
        <v>#N/A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 t="e">
        <f t="shared" si="2"/>
        <v>#N/A</v>
      </c>
      <c r="AB38" s="560" t="e">
        <f t="shared" si="34"/>
        <v>#N/A</v>
      </c>
      <c r="AC38" s="568">
        <f>881.37+332.02</f>
        <v>1213.3899999999999</v>
      </c>
      <c r="AD38" s="567">
        <f>AC38/$AD$11</f>
        <v>60.669499999999992</v>
      </c>
      <c r="AE38" s="567">
        <f>AD38*$AE$11</f>
        <v>12.133899999999999</v>
      </c>
      <c r="AF38" s="522">
        <f>AD38-AE38</f>
        <v>48.535599999999995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 t="e">
        <f>IF(C38="","",IF(Q38="N/A",0,VLOOKUP(Q38,'COST - SELL'!$B$80:$I$91,8,0)*'CALC -P.P. - STD HW'!BD38))</f>
        <v>#N/A</v>
      </c>
      <c r="BN38" s="316">
        <f>IF(C38="","",IF(S38="N/A",0,IF(BE38="N/A",0,INDEX('COST - SELL'!$O$70:$S$73,MATCH('CALC -P.P. - STD HW'!S38,'COST - SELL'!$O$70:$O$73,0),MATCH('CALC -P.P. - STD HW'!BE38,'COST - SELL'!$O$70:$S$70,0)))))</f>
        <v>9.25</v>
      </c>
      <c r="BO38" s="316" t="e">
        <f t="shared" si="31"/>
        <v>#N/A</v>
      </c>
      <c r="BP38" s="316" t="e">
        <f t="shared" si="28"/>
        <v>#N/A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 t="e">
        <f>IF(C39="","",IF(Q39="N/A",0,VLOOKUP(Q39,'COST - SELL'!$B$80:$I$91,8,0)*'CALC -P.P. - STD HW'!BD39))</f>
        <v>#N/A</v>
      </c>
      <c r="BN39" s="316">
        <f>IF(C39="","",IF(S39="N/A",0,IF(BE39="N/A",0,INDEX('COST - SELL'!$O$70:$S$73,MATCH('CALC -P.P. - STD HW'!S39,'COST - SELL'!$O$70:$O$73,0),MATCH('CALC -P.P. - STD HW'!BE39,'COST - SELL'!$O$70:$S$70,0)))))</f>
        <v>9.25</v>
      </c>
      <c r="BO39" s="316" t="e">
        <f t="shared" si="31"/>
        <v>#N/A</v>
      </c>
      <c r="BP39" s="316" t="e">
        <f t="shared" si="28"/>
        <v>#N/A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 t="e">
        <f>IF(C40="","",IF(Q40="N/A",0,VLOOKUP(Q40,'COST - SELL'!$B$80:$I$91,8,0)*'CALC -P.P. - STD HW'!BD40))</f>
        <v>#N/A</v>
      </c>
      <c r="BN40" s="316">
        <f>IF(C40="","",IF(S40="N/A",0,IF(BE40="N/A",0,INDEX('COST - SELL'!$O$70:$S$73,MATCH('CALC -P.P. - STD HW'!S40,'COST - SELL'!$O$70:$O$73,0),MATCH('CALC -P.P. - STD HW'!BE40,'COST - SELL'!$O$70:$S$70,0)))))</f>
        <v>9.25</v>
      </c>
      <c r="BO40" s="316" t="e">
        <f t="shared" si="31"/>
        <v>#N/A</v>
      </c>
      <c r="BP40" s="316" t="e">
        <f t="shared" si="28"/>
        <v>#N/A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 t="e">
        <f t="shared" si="2"/>
        <v>#N/A</v>
      </c>
      <c r="AB41" s="560" t="e">
        <f t="shared" si="34"/>
        <v>#N/A</v>
      </c>
      <c r="AC41" s="568">
        <f>524.8+332.02</f>
        <v>856.81999999999994</v>
      </c>
      <c r="AD41" s="567">
        <f>AC41/$AD$11</f>
        <v>42.840999999999994</v>
      </c>
      <c r="AE41" s="567">
        <f>AD41*$AE$11</f>
        <v>8.5681999999999992</v>
      </c>
      <c r="AF41" s="522">
        <f>AD41-AE41</f>
        <v>34.272799999999997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 t="e">
        <f>IF(C41="","",IF(Q41="N/A",0,VLOOKUP(Q41,'COST - SELL'!$B$80:$I$91,8,0)*'CALC -P.P. - STD HW'!BD41))</f>
        <v>#N/A</v>
      </c>
      <c r="BN41" s="316">
        <f>IF(C41="","",IF(S41="N/A",0,IF(BE41="N/A",0,INDEX('COST - SELL'!$O$70:$S$73,MATCH('CALC -P.P. - STD HW'!S41,'COST - SELL'!$O$70:$O$73,0),MATCH('CALC -P.P. - STD HW'!BE41,'COST - SELL'!$O$70:$S$70,0)))))</f>
        <v>9.25</v>
      </c>
      <c r="BO41" s="316" t="e">
        <f t="shared" si="31"/>
        <v>#N/A</v>
      </c>
      <c r="BP41" s="316" t="e">
        <f t="shared" si="28"/>
        <v>#N/A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 t="e">
        <f t="shared" si="2"/>
        <v>#N/A</v>
      </c>
      <c r="AB42" s="560" t="e">
        <f t="shared" si="34"/>
        <v>#N/A</v>
      </c>
      <c r="AC42" s="568">
        <f>524.8+332.02</f>
        <v>856.81999999999994</v>
      </c>
      <c r="AD42" s="567">
        <f>AC42/$AD$11</f>
        <v>42.840999999999994</v>
      </c>
      <c r="AE42" s="567">
        <f>AD42*$AE$11</f>
        <v>8.5681999999999992</v>
      </c>
      <c r="AF42" s="522">
        <f>AD42-AE42</f>
        <v>34.272799999999997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 t="e">
        <f>IF(C42="","",IF(Q42="N/A",0,VLOOKUP(Q42,'COST - SELL'!$B$80:$I$91,8,0)*'CALC -P.P. - STD HW'!BD42))</f>
        <v>#N/A</v>
      </c>
      <c r="BN42" s="316">
        <f>IF(C42="","",IF(S42="N/A",0,IF(BE42="N/A",0,INDEX('COST - SELL'!$O$70:$S$73,MATCH('CALC -P.P. - STD HW'!S42,'COST - SELL'!$O$70:$O$73,0),MATCH('CALC -P.P. - STD HW'!BE42,'COST - SELL'!$O$70:$S$70,0)))))</f>
        <v>9.25</v>
      </c>
      <c r="BO42" s="316" t="e">
        <f t="shared" si="31"/>
        <v>#N/A</v>
      </c>
      <c r="BP42" s="316" t="e">
        <f t="shared" si="28"/>
        <v>#N/A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 t="e">
        <f t="shared" si="2"/>
        <v>#N/A</v>
      </c>
      <c r="AB43" s="560" t="e">
        <f t="shared" si="34"/>
        <v>#N/A</v>
      </c>
      <c r="AC43" s="568">
        <f>524.8+332.02</f>
        <v>856.81999999999994</v>
      </c>
      <c r="AD43" s="567">
        <f>AC43/$AD$11</f>
        <v>42.840999999999994</v>
      </c>
      <c r="AE43" s="567">
        <f>AD43*$AE$11</f>
        <v>8.5681999999999992</v>
      </c>
      <c r="AF43" s="522">
        <f>AD43-AE43</f>
        <v>34.272799999999997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 t="e">
        <f>IF(C43="","",IF(Q43="N/A",0,VLOOKUP(Q43,'COST - SELL'!$B$80:$I$91,8,0)*'CALC -P.P. - STD HW'!BD43))</f>
        <v>#N/A</v>
      </c>
      <c r="BN43" s="316">
        <f>IF(C43="","",IF(S43="N/A",0,IF(BE43="N/A",0,INDEX('COST - SELL'!$O$70:$S$73,MATCH('CALC -P.P. - STD HW'!S43,'COST - SELL'!$O$70:$O$73,0),MATCH('CALC -P.P. - STD HW'!BE43,'COST - SELL'!$O$70:$S$70,0)))))</f>
        <v>9.25</v>
      </c>
      <c r="BO43" s="316" t="e">
        <f t="shared" si="31"/>
        <v>#N/A</v>
      </c>
      <c r="BP43" s="316" t="e">
        <f t="shared" si="28"/>
        <v>#N/A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 t="e">
        <f t="shared" si="2"/>
        <v>#N/A</v>
      </c>
      <c r="AB44" s="560" t="e">
        <f t="shared" si="34"/>
        <v>#N/A</v>
      </c>
      <c r="AC44" s="568">
        <f>524.8+332.02</f>
        <v>856.81999999999994</v>
      </c>
      <c r="AD44" s="567">
        <f>AC44/$AD$11</f>
        <v>42.840999999999994</v>
      </c>
      <c r="AE44" s="567">
        <f>AD44*$AE$11</f>
        <v>8.5681999999999992</v>
      </c>
      <c r="AF44" s="522">
        <f>AD44-AE44</f>
        <v>34.272799999999997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 t="e">
        <f>IF(C44="","",IF(Q44="N/A",0,VLOOKUP(Q44,'COST - SELL'!$B$80:$I$91,8,0)*'CALC -P.P. - STD HW'!BD44))</f>
        <v>#N/A</v>
      </c>
      <c r="BN44" s="316">
        <f>IF(C44="","",IF(S44="N/A",0,IF(BE44="N/A",0,INDEX('COST - SELL'!$O$70:$S$73,MATCH('CALC -P.P. - STD HW'!S44,'COST - SELL'!$O$70:$O$73,0),MATCH('CALC -P.P. - STD HW'!BE44,'COST - SELL'!$O$70:$S$70,0)))))</f>
        <v>9.25</v>
      </c>
      <c r="BO44" s="316" t="e">
        <f t="shared" si="31"/>
        <v>#N/A</v>
      </c>
      <c r="BP44" s="316" t="e">
        <f t="shared" si="28"/>
        <v>#N/A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 t="e">
        <f>IF(C45="","",IF(Q45="N/A",0,VLOOKUP(Q45,'COST - SELL'!$B$80:$I$91,8,0)*'CALC -P.P. - STD HW'!BD45))</f>
        <v>#N/A</v>
      </c>
      <c r="BN45" s="316">
        <f>IF(C45="","",IF(S45="N/A",0,IF(BE45="N/A",0,INDEX('COST - SELL'!$O$70:$S$73,MATCH('CALC -P.P. - STD HW'!S45,'COST - SELL'!$O$70:$O$73,0),MATCH('CALC -P.P. - STD HW'!BE45,'COST - SELL'!$O$70:$S$70,0)))))</f>
        <v>9.25</v>
      </c>
      <c r="BO45" s="316" t="e">
        <f t="shared" si="31"/>
        <v>#N/A</v>
      </c>
      <c r="BP45" s="316" t="e">
        <f t="shared" si="28"/>
        <v>#N/A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 t="e">
        <f>IF(C46="","",IF(Q46="N/A",0,VLOOKUP(Q46,'COST - SELL'!$B$80:$I$91,8,0)*'CALC -P.P. - STD HW'!BD46))</f>
        <v>#N/A</v>
      </c>
      <c r="BN46" s="316">
        <f>IF(C46="","",IF(S46="N/A",0,IF(BE46="N/A",0,INDEX('COST - SELL'!$O$70:$S$73,MATCH('CALC -P.P. - STD HW'!S46,'COST - SELL'!$O$70:$O$73,0),MATCH('CALC -P.P. - STD HW'!BE46,'COST - SELL'!$O$70:$S$70,0)))))</f>
        <v>9.25</v>
      </c>
      <c r="BO46" s="316" t="e">
        <f t="shared" si="31"/>
        <v>#N/A</v>
      </c>
      <c r="BP46" s="316" t="e">
        <f t="shared" si="28"/>
        <v>#N/A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 t="e">
        <f t="shared" si="2"/>
        <v>#N/A</v>
      </c>
      <c r="AB47" s="560" t="e">
        <f t="shared" si="34"/>
        <v>#N/A</v>
      </c>
      <c r="AC47" s="568">
        <f>637.61+332.02</f>
        <v>969.63</v>
      </c>
      <c r="AD47" s="567">
        <f>AC47/$AD$11</f>
        <v>48.481499999999997</v>
      </c>
      <c r="AE47" s="567">
        <f>AD47*$AE$11</f>
        <v>9.6963000000000008</v>
      </c>
      <c r="AF47" s="522">
        <f>AD47-AE47</f>
        <v>38.785199999999996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 t="e">
        <f>IF(C47="","",IF(Q47="N/A",0,VLOOKUP(Q47,'COST - SELL'!$B$80:$I$91,8,0)*'CALC -P.P. - STD HW'!BD47))</f>
        <v>#N/A</v>
      </c>
      <c r="BN47" s="316">
        <f>IF(C47="","",IF(S47="N/A",0,IF(BE47="N/A",0,INDEX('COST - SELL'!$O$70:$S$73,MATCH('CALC -P.P. - STD HW'!S47,'COST - SELL'!$O$70:$O$73,0),MATCH('CALC -P.P. - STD HW'!BE47,'COST - SELL'!$O$70:$S$70,0)))))</f>
        <v>9.25</v>
      </c>
      <c r="BO47" s="316" t="e">
        <f t="shared" si="31"/>
        <v>#N/A</v>
      </c>
      <c r="BP47" s="316" t="e">
        <f t="shared" si="28"/>
        <v>#N/A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 t="e">
        <f t="shared" si="2"/>
        <v>#N/A</v>
      </c>
      <c r="AB48" s="560" t="e">
        <f t="shared" si="34"/>
        <v>#N/A</v>
      </c>
      <c r="AC48" s="568">
        <f>637.61+332.02</f>
        <v>969.63</v>
      </c>
      <c r="AD48" s="567">
        <f>AC48/$AD$11</f>
        <v>48.481499999999997</v>
      </c>
      <c r="AE48" s="567">
        <f>AD48*$AE$11</f>
        <v>9.6963000000000008</v>
      </c>
      <c r="AF48" s="522">
        <f>AD48-AE48</f>
        <v>38.785199999999996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 t="e">
        <f>IF(C48="","",IF(Q48="N/A",0,VLOOKUP(Q48,'COST - SELL'!$B$80:$I$91,8,0)*'CALC -P.P. - STD HW'!BD48))</f>
        <v>#N/A</v>
      </c>
      <c r="BN48" s="316">
        <f>IF(C48="","",IF(S48="N/A",0,IF(BE48="N/A",0,INDEX('COST - SELL'!$O$70:$S$73,MATCH('CALC -P.P. - STD HW'!S48,'COST - SELL'!$O$70:$O$73,0),MATCH('CALC -P.P. - STD HW'!BE48,'COST - SELL'!$O$70:$S$70,0)))))</f>
        <v>9.25</v>
      </c>
      <c r="BO48" s="316" t="e">
        <f t="shared" si="31"/>
        <v>#N/A</v>
      </c>
      <c r="BP48" s="316" t="e">
        <f t="shared" si="28"/>
        <v>#N/A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 t="e">
        <f t="shared" si="2"/>
        <v>#N/A</v>
      </c>
      <c r="AB49" s="560" t="e">
        <f t="shared" si="34"/>
        <v>#N/A</v>
      </c>
      <c r="AC49" s="568">
        <f>637.61+332.02</f>
        <v>969.63</v>
      </c>
      <c r="AD49" s="567">
        <f>AC49/$AD$11</f>
        <v>48.481499999999997</v>
      </c>
      <c r="AE49" s="567">
        <f>AD49*$AE$11</f>
        <v>9.6963000000000008</v>
      </c>
      <c r="AF49" s="522">
        <f>AD49-AE49</f>
        <v>38.785199999999996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 t="e">
        <f>IF(C49="","",IF(Q49="N/A",0,VLOOKUP(Q49,'COST - SELL'!$B$80:$I$91,8,0)*'CALC -P.P. - STD HW'!BD49))</f>
        <v>#N/A</v>
      </c>
      <c r="BN49" s="316">
        <f>IF(C49="","",IF(S49="N/A",0,IF(BE49="N/A",0,INDEX('COST - SELL'!$O$70:$S$73,MATCH('CALC -P.P. - STD HW'!S49,'COST - SELL'!$O$70:$O$73,0),MATCH('CALC -P.P. - STD HW'!BE49,'COST - SELL'!$O$70:$S$70,0)))))</f>
        <v>9.25</v>
      </c>
      <c r="BO49" s="316" t="e">
        <f t="shared" si="31"/>
        <v>#N/A</v>
      </c>
      <c r="BP49" s="316" t="e">
        <f t="shared" si="28"/>
        <v>#N/A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 t="e">
        <f t="shared" si="2"/>
        <v>#N/A</v>
      </c>
      <c r="AB50" s="560" t="e">
        <f t="shared" si="34"/>
        <v>#N/A</v>
      </c>
      <c r="AC50" s="568">
        <f>637.61+332.02</f>
        <v>969.63</v>
      </c>
      <c r="AD50" s="567">
        <f>AC50/$AD$11</f>
        <v>48.481499999999997</v>
      </c>
      <c r="AE50" s="567">
        <f>AD50*$AE$11</f>
        <v>9.6963000000000008</v>
      </c>
      <c r="AF50" s="522">
        <f>AD50-AE50</f>
        <v>38.785199999999996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 t="e">
        <f>IF(C50="","",IF(Q50="N/A",0,VLOOKUP(Q50,'COST - SELL'!$B$80:$I$91,8,0)*'CALC -P.P. - STD HW'!BD50))</f>
        <v>#N/A</v>
      </c>
      <c r="BN50" s="316">
        <f>IF(C50="","",IF(S50="N/A",0,IF(BE50="N/A",0,INDEX('COST - SELL'!$O$70:$S$73,MATCH('CALC -P.P. - STD HW'!S50,'COST - SELL'!$O$70:$O$73,0),MATCH('CALC -P.P. - STD HW'!BE50,'COST - SELL'!$O$70:$S$70,0)))))</f>
        <v>9.25</v>
      </c>
      <c r="BO50" s="316" t="e">
        <f t="shared" si="31"/>
        <v>#N/A</v>
      </c>
      <c r="BP50" s="316" t="e">
        <f t="shared" si="28"/>
        <v>#N/A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 t="e">
        <f>IF(C51="","",IF(Q51="N/A",0,VLOOKUP(Q51,'COST - SELL'!$B$80:$I$91,8,0)*'CALC -P.P. - STD HW'!BD51))</f>
        <v>#N/A</v>
      </c>
      <c r="BN51" s="316">
        <f>IF(C51="","",IF(S51="N/A",0,IF(BE51="N/A",0,INDEX('COST - SELL'!$O$70:$S$73,MATCH('CALC -P.P. - STD HW'!S51,'COST - SELL'!$O$70:$O$73,0),MATCH('CALC -P.P. - STD HW'!BE51,'COST - SELL'!$O$70:$S$70,0)))))</f>
        <v>9.25</v>
      </c>
      <c r="BO51" s="316" t="e">
        <f t="shared" si="31"/>
        <v>#N/A</v>
      </c>
      <c r="BP51" s="316" t="e">
        <f t="shared" si="28"/>
        <v>#N/A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 t="e">
        <f>IF(C52="","",IF(Q52="N/A",0,VLOOKUP(Q52,'COST - SELL'!$B$80:$I$91,8,0)*'CALC -P.P. - STD HW'!BD52))</f>
        <v>#N/A</v>
      </c>
      <c r="BN52" s="316">
        <f>IF(C52="","",IF(S52="N/A",0,IF(BE52="N/A",0,INDEX('COST - SELL'!$O$70:$S$73,MATCH('CALC -P.P. - STD HW'!S52,'COST - SELL'!$O$70:$O$73,0),MATCH('CALC -P.P. - STD HW'!BE52,'COST - SELL'!$O$70:$S$70,0)))))</f>
        <v>9.25</v>
      </c>
      <c r="BO52" s="316" t="e">
        <f t="shared" si="31"/>
        <v>#N/A</v>
      </c>
      <c r="BP52" s="316" t="e">
        <f t="shared" si="28"/>
        <v>#N/A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 t="e">
        <f t="shared" si="2"/>
        <v>#N/A</v>
      </c>
      <c r="AB53" s="560" t="e">
        <f t="shared" si="34"/>
        <v>#N/A</v>
      </c>
      <c r="AC53" s="568">
        <f>736.77+332.02</f>
        <v>1068.79</v>
      </c>
      <c r="AD53" s="567">
        <f>AC53/$AD$11</f>
        <v>53.439499999999995</v>
      </c>
      <c r="AE53" s="567">
        <f>AD53*$AE$11</f>
        <v>10.687899999999999</v>
      </c>
      <c r="AF53" s="522">
        <f>AD53-AE53</f>
        <v>42.751599999999996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 t="e">
        <f>IF(C53="","",IF(Q53="N/A",0,VLOOKUP(Q53,'COST - SELL'!$B$80:$I$91,8,0)*'CALC -P.P. - STD HW'!BD53))</f>
        <v>#N/A</v>
      </c>
      <c r="BN53" s="316">
        <f>IF(C53="","",IF(S53="N/A",0,IF(BE53="N/A",0,INDEX('COST - SELL'!$O$70:$S$73,MATCH('CALC -P.P. - STD HW'!S53,'COST - SELL'!$O$70:$O$73,0),MATCH('CALC -P.P. - STD HW'!BE53,'COST - SELL'!$O$70:$S$70,0)))))</f>
        <v>9.25</v>
      </c>
      <c r="BO53" s="316" t="e">
        <f t="shared" si="31"/>
        <v>#N/A</v>
      </c>
      <c r="BP53" s="316" t="e">
        <f t="shared" si="28"/>
        <v>#N/A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 t="e">
        <f t="shared" si="2"/>
        <v>#N/A</v>
      </c>
      <c r="AB54" s="560" t="e">
        <f t="shared" si="34"/>
        <v>#N/A</v>
      </c>
      <c r="AC54" s="568">
        <f>736.77+332.02</f>
        <v>1068.79</v>
      </c>
      <c r="AD54" s="567">
        <f>AC54/$AD$11</f>
        <v>53.439499999999995</v>
      </c>
      <c r="AE54" s="567">
        <f>AD54*$AE$11</f>
        <v>10.687899999999999</v>
      </c>
      <c r="AF54" s="522">
        <f>AD54-AE54</f>
        <v>42.751599999999996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 t="e">
        <f>IF(C54="","",IF(Q54="N/A",0,VLOOKUP(Q54,'COST - SELL'!$B$80:$I$91,8,0)*'CALC -P.P. - STD HW'!BD54))</f>
        <v>#N/A</v>
      </c>
      <c r="BN54" s="316">
        <f>IF(C54="","",IF(S54="N/A",0,IF(BE54="N/A",0,INDEX('COST - SELL'!$O$70:$S$73,MATCH('CALC -P.P. - STD HW'!S54,'COST - SELL'!$O$70:$O$73,0),MATCH('CALC -P.P. - STD HW'!BE54,'COST - SELL'!$O$70:$S$70,0)))))</f>
        <v>9.25</v>
      </c>
      <c r="BO54" s="316" t="e">
        <f t="shared" si="31"/>
        <v>#N/A</v>
      </c>
      <c r="BP54" s="316" t="e">
        <f t="shared" si="28"/>
        <v>#N/A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 t="e">
        <f t="shared" si="2"/>
        <v>#N/A</v>
      </c>
      <c r="AB55" s="560" t="e">
        <f t="shared" si="34"/>
        <v>#N/A</v>
      </c>
      <c r="AC55" s="568">
        <f>736.77+332.02</f>
        <v>1068.79</v>
      </c>
      <c r="AD55" s="567">
        <f>AC55/$AD$11</f>
        <v>53.439499999999995</v>
      </c>
      <c r="AE55" s="567">
        <f>AD55*$AE$11</f>
        <v>10.687899999999999</v>
      </c>
      <c r="AF55" s="522">
        <f>AD55-AE55</f>
        <v>42.751599999999996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 t="e">
        <f>IF(C55="","",IF(Q55="N/A",0,VLOOKUP(Q55,'COST - SELL'!$B$80:$I$91,8,0)*'CALC -P.P. - STD HW'!BD55))</f>
        <v>#N/A</v>
      </c>
      <c r="BN55" s="316">
        <f>IF(C55="","",IF(S55="N/A",0,IF(BE55="N/A",0,INDEX('COST - SELL'!$O$70:$S$73,MATCH('CALC -P.P. - STD HW'!S55,'COST - SELL'!$O$70:$O$73,0),MATCH('CALC -P.P. - STD HW'!BE55,'COST - SELL'!$O$70:$S$70,0)))))</f>
        <v>9.25</v>
      </c>
      <c r="BO55" s="316" t="e">
        <f t="shared" si="31"/>
        <v>#N/A</v>
      </c>
      <c r="BP55" s="316" t="e">
        <f t="shared" si="28"/>
        <v>#N/A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 t="e">
        <f t="shared" si="2"/>
        <v>#N/A</v>
      </c>
      <c r="AB56" s="560" t="e">
        <f t="shared" si="34"/>
        <v>#N/A</v>
      </c>
      <c r="AC56" s="568">
        <f>736.77+332.02</f>
        <v>1068.79</v>
      </c>
      <c r="AD56" s="567">
        <f>AC56/$AD$11</f>
        <v>53.439499999999995</v>
      </c>
      <c r="AE56" s="567">
        <f>AD56*$AE$11</f>
        <v>10.687899999999999</v>
      </c>
      <c r="AF56" s="522">
        <f>AD56-AE56</f>
        <v>42.751599999999996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 t="e">
        <f>IF(C56="","",IF(Q56="N/A",0,VLOOKUP(Q56,'COST - SELL'!$B$80:$I$91,8,0)*'CALC -P.P. - STD HW'!BD56))</f>
        <v>#N/A</v>
      </c>
      <c r="BN56" s="316">
        <f>IF(C56="","",IF(S56="N/A",0,IF(BE56="N/A",0,INDEX('COST - SELL'!$O$70:$S$73,MATCH('CALC -P.P. - STD HW'!S56,'COST - SELL'!$O$70:$O$73,0),MATCH('CALC -P.P. - STD HW'!BE56,'COST - SELL'!$O$70:$S$70,0)))))</f>
        <v>9.25</v>
      </c>
      <c r="BO56" s="316" t="e">
        <f t="shared" si="31"/>
        <v>#N/A</v>
      </c>
      <c r="BP56" s="316" t="e">
        <f t="shared" si="28"/>
        <v>#N/A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 t="e">
        <f>IF(C57="","",IF(Q57="N/A",0,VLOOKUP(Q57,'COST - SELL'!$B$80:$I$91,8,0)*'CALC -P.P. - STD HW'!BD57))</f>
        <v>#N/A</v>
      </c>
      <c r="BN57" s="316">
        <f>IF(C57="","",IF(S57="N/A",0,IF(BE57="N/A",0,INDEX('COST - SELL'!$O$70:$S$73,MATCH('CALC -P.P. - STD HW'!S57,'COST - SELL'!$O$70:$O$73,0),MATCH('CALC -P.P. - STD HW'!BE57,'COST - SELL'!$O$70:$S$70,0)))))</f>
        <v>9.25</v>
      </c>
      <c r="BO57" s="316" t="e">
        <f t="shared" si="31"/>
        <v>#N/A</v>
      </c>
      <c r="BP57" s="316" t="e">
        <f t="shared" si="28"/>
        <v>#N/A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 t="e">
        <f>IF(C58="","",IF(Q58="N/A",0,VLOOKUP(Q58,'COST - SELL'!$B$80:$I$91,8,0)*'CALC -P.P. - STD HW'!BD58))</f>
        <v>#N/A</v>
      </c>
      <c r="BN58" s="316">
        <f>IF(C58="","",IF(S58="N/A",0,IF(BE58="N/A",0,INDEX('COST - SELL'!$O$70:$S$73,MATCH('CALC -P.P. - STD HW'!S58,'COST - SELL'!$O$70:$O$73,0),MATCH('CALC -P.P. - STD HW'!BE58,'COST - SELL'!$O$70:$S$70,0)))))</f>
        <v>9.25</v>
      </c>
      <c r="BO58" s="316" t="e">
        <f t="shared" si="31"/>
        <v>#N/A</v>
      </c>
      <c r="BP58" s="316" t="e">
        <f t="shared" si="28"/>
        <v>#N/A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 t="e">
        <f t="shared" si="2"/>
        <v>#N/A</v>
      </c>
      <c r="AB59" s="560" t="e">
        <f t="shared" si="34"/>
        <v>#N/A</v>
      </c>
      <c r="AC59" s="568">
        <f>881.37+332.02</f>
        <v>1213.3899999999999</v>
      </c>
      <c r="AD59" s="567">
        <f>AC59/$AD$11</f>
        <v>60.669499999999992</v>
      </c>
      <c r="AE59" s="567">
        <f>AD59*$AE$11</f>
        <v>12.133899999999999</v>
      </c>
      <c r="AF59" s="522">
        <f>AD59-AE59</f>
        <v>48.535599999999995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 t="e">
        <f>IF(C59="","",IF(Q59="N/A",0,VLOOKUP(Q59,'COST - SELL'!$B$80:$I$91,8,0)*'CALC -P.P. - STD HW'!BD59))</f>
        <v>#N/A</v>
      </c>
      <c r="BN59" s="316">
        <f>IF(C59="","",IF(S59="N/A",0,IF(BE59="N/A",0,INDEX('COST - SELL'!$O$70:$S$73,MATCH('CALC -P.P. - STD HW'!S59,'COST - SELL'!$O$70:$O$73,0),MATCH('CALC -P.P. - STD HW'!BE59,'COST - SELL'!$O$70:$S$70,0)))))</f>
        <v>9.25</v>
      </c>
      <c r="BO59" s="316" t="e">
        <f t="shared" si="31"/>
        <v>#N/A</v>
      </c>
      <c r="BP59" s="316" t="e">
        <f t="shared" si="28"/>
        <v>#N/A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 t="e">
        <f t="shared" si="2"/>
        <v>#N/A</v>
      </c>
      <c r="AB60" s="560" t="e">
        <f t="shared" si="34"/>
        <v>#N/A</v>
      </c>
      <c r="AC60" s="568">
        <f>881.37+332.02</f>
        <v>1213.3899999999999</v>
      </c>
      <c r="AD60" s="567">
        <f>AC60/$AD$11</f>
        <v>60.669499999999992</v>
      </c>
      <c r="AE60" s="567">
        <f>AD60*$AE$11</f>
        <v>12.133899999999999</v>
      </c>
      <c r="AF60" s="522">
        <f>AD60-AE60</f>
        <v>48.535599999999995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 t="e">
        <f>IF(C60="","",IF(Q60="N/A",0,VLOOKUP(Q60,'COST - SELL'!$B$80:$I$91,8,0)*'CALC -P.P. - STD HW'!BD60))</f>
        <v>#N/A</v>
      </c>
      <c r="BN60" s="316">
        <f>IF(C60="","",IF(S60="N/A",0,IF(BE60="N/A",0,INDEX('COST - SELL'!$O$70:$S$73,MATCH('CALC -P.P. - STD HW'!S60,'COST - SELL'!$O$70:$O$73,0),MATCH('CALC -P.P. - STD HW'!BE60,'COST - SELL'!$O$70:$S$70,0)))))</f>
        <v>9.25</v>
      </c>
      <c r="BO60" s="316" t="e">
        <f t="shared" si="31"/>
        <v>#N/A</v>
      </c>
      <c r="BP60" s="316" t="e">
        <f t="shared" si="28"/>
        <v>#N/A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 t="e">
        <f t="shared" si="2"/>
        <v>#N/A</v>
      </c>
      <c r="AB61" s="560" t="e">
        <f t="shared" si="34"/>
        <v>#N/A</v>
      </c>
      <c r="AC61" s="568">
        <f>881.37+332.02</f>
        <v>1213.3899999999999</v>
      </c>
      <c r="AD61" s="567">
        <f>AC61/$AD$11</f>
        <v>60.669499999999992</v>
      </c>
      <c r="AE61" s="567">
        <f>AD61*$AE$11</f>
        <v>12.133899999999999</v>
      </c>
      <c r="AF61" s="522">
        <f>AD61-AE61</f>
        <v>48.535599999999995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 t="e">
        <f>IF(C61="","",IF(Q61="N/A",0,VLOOKUP(Q61,'COST - SELL'!$B$80:$I$91,8,0)*'CALC -P.P. - STD HW'!BD61))</f>
        <v>#N/A</v>
      </c>
      <c r="BN61" s="316">
        <f>IF(C61="","",IF(S61="N/A",0,IF(BE61="N/A",0,INDEX('COST - SELL'!$O$70:$S$73,MATCH('CALC -P.P. - STD HW'!S61,'COST - SELL'!$O$70:$O$73,0),MATCH('CALC -P.P. - STD HW'!BE61,'COST - SELL'!$O$70:$S$70,0)))))</f>
        <v>9.25</v>
      </c>
      <c r="BO61" s="316" t="e">
        <f t="shared" si="31"/>
        <v>#N/A</v>
      </c>
      <c r="BP61" s="316" t="e">
        <f t="shared" si="28"/>
        <v>#N/A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 t="e">
        <f t="shared" si="2"/>
        <v>#N/A</v>
      </c>
      <c r="AB62" s="560" t="e">
        <f t="shared" si="34"/>
        <v>#N/A</v>
      </c>
      <c r="AC62" s="568">
        <f>881.37+332.02</f>
        <v>1213.3899999999999</v>
      </c>
      <c r="AD62" s="567">
        <f>AC62/$AD$11</f>
        <v>60.669499999999992</v>
      </c>
      <c r="AE62" s="567">
        <f>AD62*$AE$11</f>
        <v>12.133899999999999</v>
      </c>
      <c r="AF62" s="522">
        <f>AD62-AE62</f>
        <v>48.535599999999995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 t="e">
        <f>IF(C62="","",IF(Q62="N/A",0,VLOOKUP(Q62,'COST - SELL'!$B$80:$I$91,8,0)*'CALC -P.P. - STD HW'!BD62))</f>
        <v>#N/A</v>
      </c>
      <c r="BN62" s="316">
        <f>IF(C62="","",IF(S62="N/A",0,IF(BE62="N/A",0,INDEX('COST - SELL'!$O$70:$S$73,MATCH('CALC -P.P. - STD HW'!S62,'COST - SELL'!$O$70:$O$73,0),MATCH('CALC -P.P. - STD HW'!BE62,'COST - SELL'!$O$70:$S$70,0)))))</f>
        <v>9.25</v>
      </c>
      <c r="BO62" s="316" t="e">
        <f t="shared" si="31"/>
        <v>#N/A</v>
      </c>
      <c r="BP62" s="316" t="e">
        <f t="shared" si="28"/>
        <v>#N/A</v>
      </c>
    </row>
    <row r="63" spans="2:68" ht="15.75" thickBot="1" x14ac:dyDescent="0.3">
      <c r="B63" s="232" t="str">
        <f>IF('CALC -P.P. - STD HW'!S4="INGLES","ITEM","ART.")</f>
        <v>ART.</v>
      </c>
      <c r="C63" s="410" t="str">
        <f>IF('CALC -P.P. - STD HW'!S4="INGLES","QTY.","CANT.")</f>
        <v>CANT.</v>
      </c>
      <c r="D63" s="914" t="str">
        <f>IF('CALC -P.P. - STD HW'!S4="INGLES","DESCRIPTION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2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2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200-000004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200-000005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2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200-000007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200-000008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200-000009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200-00000A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200-00000B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200-00000C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200-000003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200-000001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200-000002000000}">
          <x14:formula1>
            <xm:f>'DROP LIST'!$H$25:$H$36</xm:f>
          </x14:formula1>
          <xm:sqref>Q15:Q62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QUOTE</vt:lpstr>
      <vt:lpstr>FILL QUOTE-CALCULATIONS</vt:lpstr>
      <vt:lpstr>Sheet1</vt:lpstr>
      <vt:lpstr>'COST - SELL'!Print_Area</vt:lpstr>
      <vt:lpstr>QUOTE!Print_Area</vt:lpstr>
      <vt:lpstr>'TABLA PRECIOS BOD TOP GROMMET'!Print_Area</vt:lpstr>
      <vt:lpstr>'TABLA PRECIOS SHEER TOP GROMMET'!Print_Area</vt:lpstr>
      <vt:lpstr>'TABLA PRECIOS BOD TOP GROMMET'!Print_Titles</vt:lpstr>
      <vt:lpstr>'TABLA PRECIOS SHEER TOP GROMMET'!Print_Titles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Higuera</dc:creator>
  <cp:lastModifiedBy>Ricardo Garcia</cp:lastModifiedBy>
  <cp:lastPrinted>2025-10-24T22:48:59Z</cp:lastPrinted>
  <dcterms:created xsi:type="dcterms:W3CDTF">2021-02-10T23:07:35Z</dcterms:created>
  <dcterms:modified xsi:type="dcterms:W3CDTF">2025-11-05T17:06:43Z</dcterms:modified>
</cp:coreProperties>
</file>