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MARLENE\"/>
    </mc:Choice>
  </mc:AlternateContent>
  <xr:revisionPtr revIDLastSave="0" documentId="8_{5E4BDAA9-A347-41E9-91DC-FE1DD36E6B56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9" i="59" l="1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<sst xmlns="http://schemas.openxmlformats.org/spreadsheetml/2006/main" count="3323" uniqueCount="476">
  <si>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</si>
  <si>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</si>
  <si>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</si>
  <si>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</si>
  <si>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</si>
  <si>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</si>
  <si>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</si>
  <si>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</si>
  <si>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</si>
  <si>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</si>
  <si>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</si>
  <si>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</si>
  <si>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</si>
  <si>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</si>
  <si>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</si>
  <si>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</si>
  <si>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</si>
  <si>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</si>
  <si>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</si>
  <si>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</si>
  <si>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</si>
  <si>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</si>
  <si>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</si>
  <si>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</si>
  <si>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</si>
  <si>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</si>
  <si>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</si>
  <si>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</si>
  <si>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</si>
  <si>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</si>
  <si>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</si>
  <si>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</si>
  <si>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</si>
  <si>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</si>
  <si>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</si>
  <si>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</si>
  <si>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</si>
  <si>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</si>
  <si>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</si>
  <si>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</si>
  <si>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</si>
  <si>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</si>
  <si>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</si>
  <si>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</si>
  <si>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</si>
  <si>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</si>
  <si>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</si>
  <si>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</si>
  <si>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</si>
  <si>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</si>
  <si>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</si>
  <si>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</si>
  <si>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</si>
  <si>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</si>
  <si>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</si>
  <si>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</si>
  <si>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</si>
  <si>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</si>
  <si>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</si>
  <si>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</si>
  <si>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</si>
  <si>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</si>
  <si>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</si>
  <si>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</si>
  <si>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</si>
  <si>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</si>
  <si>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</si>
  <si>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</si>
  <si>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</si>
  <si>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</si>
  <si>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</si>
  <si>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</si>
  <si>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</si>
  <si>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</si>
  <si>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</si>
  <si>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</si>
  <si>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</si>
  <si>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</si>
  <si>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</si>
  <si>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</si>
  <si>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</si>
  <si>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</si>
  <si>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</si>
  <si>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</si>
  <si>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</si>
  <si>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</si>
  <si>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</si>
  <si>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</si>
  <si>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</si>
  <si>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</si>
  <si>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</si>
  <si>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</si>
  <si>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</si>
  <si>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</si>
  <si>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</si>
  <si>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</si>
  <si>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</si>
  <si>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</si>
  <si>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</si>
  <si>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</si>
  <si>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</si>
  <si>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</si>
  <si>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</si>
  <si>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</si>
  <si>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</si>
  <si>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</si>
  <si>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</si>
  <si>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</si>
  <si>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</si>
  <si>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</si>
  <si>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</si>
  <si>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</si>
  <si>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</si>
  <si>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</si>
  <si>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</si>
  <si>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</si>
  <si>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</si>
  <si>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</si>
  <si>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</si>
  <si>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</si>
  <si>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</si>
  <si>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</si>
  <si>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</si>
  <si>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</si>
  <si>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</si>
  <si>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</si>
  <si>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</si>
  <si>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</si>
  <si>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</si>
  <si>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</si>
  <si>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</si>
  <si>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</si>
  <si>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</si>
  <si>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</si>
  <si>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</si>
  <si>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</si>
  <si>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</si>
  <si>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</si>
  <si>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</si>
  <si>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</si>
  <si>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</si>
  <si>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</si>
  <si>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</si>
  <si>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</si>
  <si>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</si>
  <si>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</si>
  <si>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</si>
  <si>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</si>
  <si>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</si>
  <si>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</si>
  <si>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</si>
  <si>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</si>
  <si>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</si>
  <si>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</si>
  <si>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</si>
  <si>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</si>
  <si>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</si>
  <si>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</si>
  <si>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</si>
  <si>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</si>
  <si>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</si>
  <si>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</si>
  <si>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</si>
  <si>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</si>
  <si>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</si>
  <si>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</si>
  <si>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</si>
  <si>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</si>
  <si>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</si>
  <si>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</si>
  <si>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</si>
  <si>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</si>
  <si>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</si>
  <si>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</si>
  <si>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</si>
  <si>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</si>
  <si>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</si>
  <si>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</si>
  <si>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</si>
  <si>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</si>
  <si>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</si>
  <si>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</si>
  <si>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</si>
  <si>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</si>
  <si>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</si>
  <si>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</si>
  <si>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</si>
  <si>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</si>
  <si>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</si>
  <si>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</si>
  <si>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</si>
  <si>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</si>
  <si>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</si>
  <si>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</si>
  <si>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</si>
  <si>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</si>
  <si>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</si>
  <si>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</si>
  <si>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</si>
  <si>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</si>
  <si>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</si>
  <si>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</si>
  <si>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</si>
  <si>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</si>
  <si>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</si>
  <si>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</si>
  <si>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</si>
  <si>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</si>
  <si>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</si>
  <si>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</si>
  <si>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</si>
  <si>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</si>
  <si>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</si>
  <si>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</si>
  <si>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</si>
  <si>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</si>
  <si>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</si>
  <si>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</si>
  <si>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</si>
  <si>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</si>
  <si>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</si>
  <si>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</si>
  <si>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</si>
  <si>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</si>
  <si>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</si>
  <si>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</si>
  <si>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</si>
  <si>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</si>
  <si>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</si>
  <si>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</si>
  <si>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</si>
  <si>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</si>
  <si>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</si>
  <si>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</si>
  <si>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</si>
  <si>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</si>
  <si>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</si>
  <si>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</si>
  <si>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</si>
  <si>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</si>
  <si>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</si>
  <si>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</si>
  <si>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</si>
  <si>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</si>
  <si>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</si>
  <si>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</si>
  <si>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</si>
  <si>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</si>
  <si>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</si>
  <si>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</si>
  <si>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</si>
  <si>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</si>
  <si>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</si>
  <si>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</si>
  <si>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</si>
  <si>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</si>
  <si>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</si>
  <si>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</si>
  <si>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</si>
  <si>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</si>
  <si>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</si>
  <si>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</si>
  <si>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</si>
  <si>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</si>
  <si>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</si>
  <si>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</si>
  <si>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</si>
  <si>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</si>
  <si>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</si>
  <si>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</si>
  <si>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</si>
  <si>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</si>
  <si>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</si>
  <si>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</si>
  <si>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</si>
  <si>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</si>
  <si>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</si>
  <si>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</si>
  <si>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</si>
  <si>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</si>
  <si>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</si>
  <si>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</si>
  <si>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</si>
  <si>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</si>
  <si>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</si>
  <si>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</si>
  <si>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</si>
  <si>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</si>
  <si>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</si>
  <si>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</si>
  <si>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</si>
  <si>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</si>
  <si>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</si>
  <si>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</si>
  <si>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</si>
  <si>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</si>
  <si>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</si>
  <si>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</si>
  <si>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</si>
  <si>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</si>
  <si>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</si>
  <si>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</si>
  <si>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</si>
  <si>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</si>
  <si>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</si>
  <si>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</si>
  <si>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</si>
  <si>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</si>
  <si>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</si>
  <si>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</si>
  <si>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</si>
  <si>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</si>
  <si>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</si>
  <si>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</si>
  <si>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</si>
  <si>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</si>
  <si>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</si>
  <si>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</si>
  <si>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</si>
  <si>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</si>
  <si>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</si>
  <si>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</si>
  <si>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</si>
  <si>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</si>
  <si>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</si>
  <si>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</si>
  <si>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</si>
  <si>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</si>
  <si>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</si>
  <si>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</si>
  <si>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</si>
  <si>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</si>
  <si>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</si>
  <si>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</si>
  <si>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</si>
  <si>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</si>
  <si>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</si>
  <si>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</si>
  <si>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</si>
  <si>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</si>
  <si>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</si>
  <si>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</si>
  <si>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</si>
  <si>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</si>
  <si>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</si>
  <si>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</si>
  <si>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</si>
  <si>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</si>
  <si>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</si>
  <si>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</si>
  <si>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</si>
  <si>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</si>
  <si>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</si>
  <si>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</si>
  <si>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</si>
  <si>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</si>
  <si>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</si>
  <si>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</si>
  <si>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</si>
  <si>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</si>
  <si>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</si>
  <si>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</si>
  <si>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</si>
  <si>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</si>
  <si>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</si>
  <si>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</si>
  <si>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</si>
  <si>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</si>
  <si>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</si>
  <si>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</si>
  <si>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</si>
  <si>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</si>
  <si>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</si>
  <si>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</si>
  <si>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</si>
  <si>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</si>
  <si>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</si>
  <si>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</si>
  <si>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</si>
  <si>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</si>
  <si>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</si>
  <si>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</si>
  <si>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</si>
  <si>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</si>
  <si>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</si>
  <si>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</si>
  <si>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</si>
  <si>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</si>
  <si>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</si>
  <si>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</si>
  <si>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</si>
  <si>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</si>
  <si>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</si>
  <si>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</si>
  <si>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</si>
  <si>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</si>
  <si>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</si>
  <si>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</si>
  <si>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</si>
  <si>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</si>
  <si>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</si>
  <si>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</si>
  <si>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</si>
  <si>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</si>
  <si>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</si>
  <si>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</si>
  <si>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</si>
  <si>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</si>
  <si>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</si>
  <si>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</si>
  <si>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</si>
  <si>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</si>
  <si>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</si>
  <si>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</si>
  <si>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</si>
  <si>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</si>
  <si>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</si>
  <si>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</si>
  <si>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</si>
  <si>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</si>
  <si>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</si>
  <si>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</si>
  <si>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</si>
  <si>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</si>
  <si>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</si>
  <si>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</si>
  <si>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</si>
  <si>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</si>
  <si>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</si>
  <si>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</si>
  <si>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</si>
  <si>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</si>
  <si>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</si>
  <si>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</si>
  <si>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</si>
  <si>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</si>
  <si>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</si>
  <si>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</si>
  <si>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</si>
  <si>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</si>
  <si>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</si>
  <si>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</si>
  <si>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</si>
  <si>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</si>
  <si>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</si>
  <si>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</si>
  <si>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</si>
  <si>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</si>
  <si>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</si>
  <si>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</si>
  <si>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</si>
  <si>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</si>
  <si>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</si>
  <si>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</si>
  <si>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</si>
  <si>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</si>
  <si>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</si>
  <si>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</si>
  <si>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</si>
  <si>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</si>
  <si>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</si>
  <si>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</si>
  <si>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</si>
  <si>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</si>
  <si>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</si>
  <si>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SCREEN BEIGE 5 % </t>
  </si>
  <si>
    <t xml:space="preserve">WINDOW A </t>
  </si>
  <si>
    <t xml:space="preserve">WINDOW B </t>
  </si>
  <si>
    <t xml:space="preserve">WINDOW C </t>
  </si>
  <si>
    <t xml:space="preserve">MARLENE RESIDENCE </t>
  </si>
  <si>
    <t xml:space="preserve">MARLENE </t>
  </si>
  <si>
    <t xml:space="preserve">ROSARITO </t>
  </si>
  <si>
    <t xml:space="preserve">EDIFICIO CORONA DEL MAR </t>
  </si>
  <si>
    <t xml:space="preserve">PENTHOUSE </t>
  </si>
  <si>
    <t xml:space="preserve">CANWETOLERATEPEACE@HOTMAIL.COM </t>
  </si>
  <si>
    <t xml:space="preserve">BS 251104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</si>
</sst>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167" fontId="26" fillId="0" borderId="1" xfId="0" applyNumberFormat="1" applyFont="1" applyBorder="1" applyAlignment="1" applyProtection="1">
      <alignment horizontal="center" vertical="center"/>
      <protection locked="0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ANWETOLERATEPEACE@HOTMAIL.COM" TargetMode="External"/><Relationship Id="rId1" Type="http://schemas.openxmlformats.org/officeDocument/2006/relationships/hyperlink" Target="mailto:CANWETOLERATEPEACE@HOTMAIL.COM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45965</v>
      </c>
      <c r="J5" s="288"/>
      <c r="K5" s="288"/>
      <c r="L5" s="288"/>
      <c r="M5" s="289" t="str">
        <f>IF('CALCULATOR SHEET'!W2=1,"DOCUMENT #","DOCUMENTO #")</f>
        <v>DOCUMENT #</v>
      </c>
      <c r="N5" s="363" t="str">
        <f>IF('CALCULATOR SHEET'!T5&lt;&gt;"",'CALCULATOR SHEET'!T5,"")</f>
        <v xml:space="preserve">BS 251104 A </v>
      </c>
      <c r="O5" s="363"/>
      <c r="P5" s="325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MARLENE RESIDENCE </v>
      </c>
      <c r="J7" s="364" t="str">
        <f>IF('CALCULATOR SHEET'!H8&lt;&gt;"","Calle: "&amp;'CALCULATOR SHEET'!H10&amp;", Numero: "&amp;'CALCULATOR SHEET'!H11,"")</f>
        <v>Calle: PENTHOUSE , Numero: 701</v>
      </c>
      <c r="K7" s="364"/>
      <c r="L7" s="364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4" t="str">
        <f>IF('CALCULATOR SHEET'!H9&lt;&gt;"","Frac: "&amp;'CALCULATOR SHEET'!H9&amp;" - "&amp;'CALCULATOR SHEET'!H8,"")</f>
        <v xml:space="preserve">Frac: EDIFICIO CORONA DEL MAR  - ROSARITO </v>
      </c>
      <c r="K8" s="364"/>
      <c r="L8" s="364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MARLENE </v>
      </c>
      <c r="J10" s="364" t="str">
        <f>IF('CALCULATOR SHEET'!K11&lt;&gt;"",'CALCULATOR SHEET'!$K$11&amp;" Cell: "&amp;'CALCULATOR SHEET'!K10,"")</f>
        <v>CANWETOLERATEPEACE@HOTMAIL.COM  Cell: 6611040675</v>
      </c>
      <c r="K10" s="364"/>
      <c r="L10" s="364"/>
      <c r="N10" s="364" t="str">
        <f>IF('CALCULATOR SHEET'!S70&lt;&gt;"",'CALCULATOR SHEET'!S70,"")</f>
        <v xml:space="preserve">RICARDO GARCIA </v>
      </c>
      <c r="O10" s="364"/>
      <c r="P10" s="364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 xml:space="preserve">SCREEN BEIGE 5 % </v>
      </c>
      <c r="H14" s="170" t="str">
        <f>IF('CALCULATOR SHEET'!H13&lt;&gt;"",'CALCULATOR SHEET'!H13,"")</f>
        <v xml:space="preserve">WINDOW A </v>
      </c>
      <c r="I14" s="171">
        <f>IF(E14&lt;&gt;"",'CALCULATOR SHEET'!I13,"")</f>
        <v>49.5</v>
      </c>
      <c r="J14" s="171">
        <f>IF(I14&lt;&gt;"",'CALCULATOR SHEET'!J13,"")</f>
        <v>136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300</v>
      </c>
      <c r="O14" s="164"/>
      <c r="P14" s="167">
        <f>IF(D14&lt;&gt;"",N14*D14,"")</f>
        <v>300</v>
      </c>
      <c r="Q14" s="194"/>
      <c r="R14" s="64" t="s">
        <v>200</v>
      </c>
      <c r="T14" s="160">
        <f>IF('CALCULATOR SHEET'!$T$58="PESOS",'CALCULATOR SHEET'!S13*'CALCULATOR SHEET'!$W$6,'CALCULATOR SHEET'!S13)</f>
        <v>300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 xml:space="preserve">SCREEN BEIGE 5 % </v>
      </c>
      <c r="H15" s="175" t="str">
        <f>IF('CALCULATOR SHEET'!H14&lt;&gt;"",'CALCULATOR SHEET'!H14,"")</f>
        <v xml:space="preserve">WINDOW B </v>
      </c>
      <c r="I15" s="176">
        <f>IF(E15&lt;&gt;"",'CALCULATOR SHEET'!I14,"")</f>
        <v>48</v>
      </c>
      <c r="J15" s="176">
        <f>IF(I15&lt;&gt;"",'CALCULATOR SHEET'!J14,"")</f>
        <v>136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280</v>
      </c>
      <c r="O15" s="165"/>
      <c r="P15" s="166">
        <f>IF(D15&lt;&gt;"",N15*D15,"")</f>
        <v>280</v>
      </c>
      <c r="Q15" s="195"/>
      <c r="R15" s="64" t="s">
        <v>200</v>
      </c>
      <c r="T15" s="160">
        <f>IF('CALCULATOR SHEET'!$T$58="PESOS",'CALCULATOR SHEET'!S14*'CALCULATOR SHEET'!$W$6,'CALCULATOR SHEET'!S14)</f>
        <v>280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3</v>
      </c>
      <c r="G16" s="175" t="str">
        <f>IF('CALCULATOR SHEET'!G15&lt;&gt;"",'CALCULATOR SHEET'!G15,"")</f>
        <v xml:space="preserve">SCREEN BEIGE 5 % </v>
      </c>
      <c r="H16" s="175" t="str">
        <f>IF('CALCULATOR SHEET'!H15&lt;&gt;"",'CALCULATOR SHEET'!H15,"")</f>
        <v xml:space="preserve">WINDOW C </v>
      </c>
      <c r="I16" s="176">
        <f>IF(E16&lt;&gt;"",'CALCULATOR SHEET'!I15,"")</f>
        <v>54.125</v>
      </c>
      <c r="J16" s="176">
        <f>IF(I16&lt;&gt;"",'CALCULATOR SHEET'!J15,"")</f>
        <v>136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R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320</v>
      </c>
      <c r="O16" s="165"/>
      <c r="P16" s="166">
        <f t="shared" ref="P16:P53" si="1">IF(D16&lt;&gt;"",N16*D16,"")</f>
        <v>320</v>
      </c>
      <c r="Q16" s="195"/>
      <c r="R16" s="64" t="s">
        <v>200</v>
      </c>
      <c r="T16" s="160">
        <f>IF('CALCULATOR SHEET'!$T$58="PESOS",'CALCULATOR SHEET'!S15*'CALCULATOR SHEET'!$W$6,'CALCULATOR SHEET'!S15)</f>
        <v>320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900</v>
      </c>
      <c r="Q62" s="188"/>
      <c r="X62" s="163" t="str">
        <f>IF('CALCULATOR SHEET'!$W$2=1,GENERAL!Q35,GENERAL!S35)</f>
        <v>SUB TOTAL</v>
      </c>
      <c r="Y62" s="222">
        <f>P62</f>
        <v>900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270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630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630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630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2">
        <f>'CALCULATOR SHEET'!T66</f>
        <v>630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630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49.5</v>
      </c>
      <c r="AK7" s="53">
        <f>'CALCULATOR SHEET'!J13</f>
        <v>136</v>
      </c>
      <c r="AL7" s="53">
        <f>IF(AJ7=0,"",MATCH(CEILING(AJ7,6),$D$4:$Z$4,0))</f>
        <v>6</v>
      </c>
      <c r="AM7" s="53">
        <f>IF(AK7=0,"",MATCH(CEILING(AK7,6),$C$7:$C$28,0))</f>
        <v>20</v>
      </c>
      <c r="AN7" s="54">
        <f>IF(AL7="","",INDEX($D$7:$Z$28,AM7,AL7))</f>
        <v>295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48</v>
      </c>
      <c r="AK8" s="53">
        <f>'CALCULATOR SHEET'!J14</f>
        <v>136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20</v>
      </c>
      <c r="AN8" s="54">
        <f t="shared" ref="AN8:AN71" si="2">IF(AL8="","",INDEX($D$7:$Z$28,AM8,AL8))</f>
        <v>273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54.125</v>
      </c>
      <c r="AK9" s="53">
        <f>'CALCULATOR SHEET'!J15</f>
        <v>136</v>
      </c>
      <c r="AL9" s="53">
        <f t="shared" si="0"/>
        <v>7</v>
      </c>
      <c r="AM9" s="53">
        <f t="shared" si="1"/>
        <v>20</v>
      </c>
      <c r="AN9" s="54">
        <f t="shared" si="2"/>
        <v>317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49.5</v>
      </c>
      <c r="AK7" s="53">
        <f>'CALCULATOR SHEET'!J13</f>
        <v>136</v>
      </c>
      <c r="AL7" s="53">
        <f t="shared" ref="AL7:AL70" si="0">IF(AJ7=0,"",MATCH(CEILING(AJ7,6),$D$4:$Z$4,0))</f>
        <v>6</v>
      </c>
      <c r="AM7" s="53">
        <f>IF(AK7=0,"",MATCH(CEILING(AK7,6),$C$7:$C$28,0))</f>
        <v>20</v>
      </c>
      <c r="AN7" s="54">
        <f t="shared" ref="AN7:AN70" si="1">IF(AL7="","",INDEX($D$7:$Z$28,AM7,AL7))</f>
        <v>344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48</v>
      </c>
      <c r="AK8" s="53">
        <f>'CALCULATOR SHEET'!J14</f>
        <v>136</v>
      </c>
      <c r="AL8" s="53">
        <f t="shared" si="0"/>
        <v>5</v>
      </c>
      <c r="AM8" s="53">
        <f t="shared" ref="AM8:AM71" si="2">IF(AK8=0,"",MATCH(CEILING(AK8,6),$C$7:$C$28,0))</f>
        <v>20</v>
      </c>
      <c r="AN8" s="54">
        <f t="shared" si="1"/>
        <v>317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54.125</v>
      </c>
      <c r="AK9" s="53">
        <f>'CALCULATOR SHEET'!J15</f>
        <v>136</v>
      </c>
      <c r="AL9" s="53">
        <f t="shared" si="0"/>
        <v>7</v>
      </c>
      <c r="AM9" s="53">
        <f t="shared" si="2"/>
        <v>20</v>
      </c>
      <c r="AN9" s="54">
        <f t="shared" si="1"/>
        <v>371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49.5</v>
      </c>
      <c r="AK7" s="53">
        <f>'CALCULATOR SHEET'!J13</f>
        <v>136</v>
      </c>
      <c r="AL7" s="53">
        <f>IF(AJ7=0,"",MATCH(CEILING(AJ7,6),$D$4:$Z$4,0))</f>
        <v>6</v>
      </c>
      <c r="AM7" s="53">
        <f>IF(AK7=0,"",MATCH(CEILING(AK7,6),$C$7:$C$28,0))</f>
        <v>20</v>
      </c>
      <c r="AN7" s="54">
        <f>IF(AL7="","",INDEX($D$7:$Z$28,AM7,AL7))</f>
        <v>352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48</v>
      </c>
      <c r="AK8" s="53">
        <f>'CALCULATOR SHEET'!J14</f>
        <v>136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20</v>
      </c>
      <c r="AN8" s="54">
        <f t="shared" ref="AN8:AN71" si="2">IF(AL8="","",INDEX($D$7:$Z$28,AM8,AL8))</f>
        <v>324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54.125</v>
      </c>
      <c r="AK9" s="53">
        <f>'CALCULATOR SHEET'!J15</f>
        <v>136</v>
      </c>
      <c r="AL9" s="53">
        <f t="shared" si="0"/>
        <v>7</v>
      </c>
      <c r="AM9" s="53">
        <f t="shared" si="1"/>
        <v>20</v>
      </c>
      <c r="AN9" s="54">
        <f t="shared" si="2"/>
        <v>380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49.5</v>
      </c>
      <c r="AK7" s="53">
        <f>'CALCULATOR SHEET'!J13</f>
        <v>136</v>
      </c>
      <c r="AL7" s="53">
        <f>IF(AJ7=0,"",MATCH(CEILING(AJ7,6),$D$4:$Z$4,0))</f>
        <v>6</v>
      </c>
      <c r="AM7" s="53">
        <f>IF(AK7=0,"",MATCH(CEILING(AK7,6),$C$7:$C$28,0))</f>
        <v>20</v>
      </c>
      <c r="AN7" s="54">
        <f>IF(AL7="","",INDEX($D$7:$Z$28,AM7,AL7))</f>
        <v>411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48</v>
      </c>
      <c r="AK8" s="53">
        <f>'CALCULATOR SHEET'!J14</f>
        <v>136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20</v>
      </c>
      <c r="AN8" s="54">
        <f t="shared" ref="AN8:AN71" si="2">IF(AL8="","",INDEX($D$7:$Z$28,AM8,AL8))</f>
        <v>376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54.125</v>
      </c>
      <c r="AK9" s="53">
        <f>'CALCULATOR SHEET'!J15</f>
        <v>136</v>
      </c>
      <c r="AL9" s="53">
        <f t="shared" si="0"/>
        <v>7</v>
      </c>
      <c r="AM9" s="53">
        <f t="shared" si="1"/>
        <v>20</v>
      </c>
      <c r="AN9" s="54">
        <f t="shared" si="2"/>
        <v>446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49.5</v>
      </c>
      <c r="AK7" s="53">
        <f>'CALCULATOR SHEET'!J13</f>
        <v>136</v>
      </c>
      <c r="AL7" s="53">
        <f>IF(AJ7=0,"",MATCH(CEILING(AJ7,6),$D$4:$Z$4,0))</f>
        <v>6</v>
      </c>
      <c r="AM7" s="53">
        <f>IF(AK7=0,"",MATCH(CEILING(AK7,6),$C$7:$C$28,0))</f>
        <v>20</v>
      </c>
      <c r="AN7" s="54">
        <f>IF(AL7="","",INDEX($D$7:$Z$28,AM7,AL7))</f>
        <v>464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48</v>
      </c>
      <c r="AK8" s="53">
        <f>'CALCULATOR SHEET'!J14</f>
        <v>136</v>
      </c>
      <c r="AL8" s="53">
        <f t="shared" ref="AL8:AL71" si="1">IF(AJ8=0,"",MATCH(CEILING(AJ8,6),$D$4:$Z$4,0))</f>
        <v>5</v>
      </c>
      <c r="AM8" s="53">
        <f t="shared" ref="AM8:AM71" si="2">IF(AK8=0,"",MATCH(CEILING(AK8,6),$C$7:$C$28,0))</f>
        <v>20</v>
      </c>
      <c r="AN8" s="54">
        <f t="shared" ref="AN8:AN71" si="3">IF(AL8="","",INDEX($D$7:$Z$28,AM8,AL8))</f>
        <v>424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54.125</v>
      </c>
      <c r="AK9" s="53">
        <f>'CALCULATOR SHEET'!J15</f>
        <v>136</v>
      </c>
      <c r="AL9" s="53">
        <f>IF(AJ9=0,"",MATCH(CEILING(AJ9,6),$D$4:$Z$4,0))</f>
        <v>7</v>
      </c>
      <c r="AM9" s="53">
        <f t="shared" si="2"/>
        <v>20</v>
      </c>
      <c r="AN9" s="54">
        <f t="shared" si="3"/>
        <v>505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2" t="s">
        <v>298</v>
      </c>
      <c r="N1" s="382"/>
      <c r="O1" s="382"/>
      <c r="P1" s="382"/>
      <c r="Q1" s="382"/>
      <c r="R1" s="382"/>
      <c r="S1" s="382"/>
      <c r="T1" s="382"/>
      <c r="W1" s="24" t="s">
        <v>4</v>
      </c>
      <c r="X1" s="380">
        <v>44656</v>
      </c>
      <c r="Y1" s="380"/>
      <c r="AF1" s="8"/>
      <c r="AG1" s="8"/>
    </row>
    <row r="2" spans="1:93" s="1" customFormat="1" ht="18" customHeight="1">
      <c r="E2" s="20"/>
      <c r="M2" s="382"/>
      <c r="N2" s="382"/>
      <c r="O2" s="382"/>
      <c r="P2" s="382"/>
      <c r="Q2" s="382"/>
      <c r="R2" s="382"/>
      <c r="S2" s="382"/>
      <c r="T2" s="382"/>
      <c r="W2" s="25"/>
      <c r="AF2" s="8"/>
      <c r="AG2" s="8"/>
    </row>
    <row r="3" spans="1:93" s="1" customFormat="1" ht="18" customHeight="1" thickBot="1">
      <c r="E3" s="15"/>
      <c r="M3" s="383"/>
      <c r="N3" s="383"/>
      <c r="O3" s="383"/>
      <c r="P3" s="383"/>
      <c r="Q3" s="383"/>
      <c r="R3" s="383"/>
      <c r="S3" s="383"/>
      <c r="T3" s="383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49.5</v>
      </c>
      <c r="AK7" s="53">
        <f>'CALCULATOR SHEET'!J13</f>
        <v>136</v>
      </c>
      <c r="AL7" s="53">
        <f>IF(AJ7=0,"",MATCH(CEILING(AJ7,6),$D$4:$Z$4,0))</f>
        <v>6</v>
      </c>
      <c r="AM7" s="53">
        <f>IF(AK7=0,"",MATCH(CEILING(AK7,6),$C$7:$C$28,0))</f>
        <v>20</v>
      </c>
      <c r="AN7" s="54">
        <f>IF(AL7="","",INDEX($D$7:$Z$28,AM7,AL7))</f>
        <v>571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48</v>
      </c>
      <c r="AK8" s="53">
        <f>'CALCULATOR SHEET'!J14</f>
        <v>136</v>
      </c>
      <c r="AL8" s="53">
        <f t="shared" ref="AL8:AL71" si="17">IF(AJ8=0,"",MATCH(CEILING(AJ8,6),$D$4:$Z$4,0))</f>
        <v>5</v>
      </c>
      <c r="AM8" s="53">
        <f t="shared" ref="AM8:AM71" si="18">IF(AK8=0,"",MATCH(CEILING(AK8,6),$C$7:$C$28,0))</f>
        <v>20</v>
      </c>
      <c r="AN8" s="54">
        <f t="shared" ref="AN8:AN71" si="19">IF(AL8="","",INDEX($D$7:$Z$28,AM8,AL8))</f>
        <v>518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54.125</v>
      </c>
      <c r="AK9" s="53">
        <f>'CALCULATOR SHEET'!J15</f>
        <v>136</v>
      </c>
      <c r="AL9" s="53">
        <f t="shared" si="17"/>
        <v>7</v>
      </c>
      <c r="AM9" s="53">
        <f t="shared" si="18"/>
        <v>20</v>
      </c>
      <c r="AN9" s="54">
        <f t="shared" si="19"/>
        <v>622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4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49.5</v>
      </c>
      <c r="Z7" s="7">
        <f>'CALCULATOR SHEET'!J13</f>
        <v>136</v>
      </c>
      <c r="AA7" s="7">
        <f>IF(Y7=0,"",MATCH(CEILING(Y7,6),$C$7:$R$7,0))</f>
        <v>5</v>
      </c>
      <c r="AB7" s="7" t="e">
        <f>IF(Z7=0,"",MATCH(CEILING(Z7,6),$B$10:$B$26,0))</f>
        <v>#N/A</v>
      </c>
      <c r="AC7" s="146" t="e">
        <f>IF(AA7="","",IF(W7="GROUP 1",INDEX($C$10:$R$26,AB7,AA7),IF(W7="GROUP 2",INDEX($C$39:$R$55,AB7,AA7),IF(W7="GROUP 3",INDEX($C$64:$R$80,AB7,AA7),""))))</f>
        <v>#N/A</v>
      </c>
      <c r="AD7" s="13" t="str">
        <f>IF(AND('CALCULATOR SHEET'!P13="YES",'CALCULATOR SHEET'!Q13="YES"),HLOOKUP(CEILING(Y7,6),$C$28:$Q$31,3,FALSE),"")</f>
        <v/>
      </c>
      <c r="AE7" s="13" t="e">
        <f>IF(AB7&lt;&gt;"",VLOOKUP(AB7,$T$10:$U$26,2,FALSE),"")</f>
        <v>#N/A</v>
      </c>
      <c r="AF7" s="13">
        <f>IF(Y7&gt;0,HLOOKUP(AA7,$C$29:$R$30,2,FALSE),"")</f>
        <v>0</v>
      </c>
    </row>
    <row r="8" spans="2:32" ht="15.75">
      <c r="U8" s="384"/>
      <c r="V8" s="147"/>
      <c r="W8" s="147" t="str">
        <f>'CALCULATOR SHEET'!E14</f>
        <v>GROUP 3</v>
      </c>
      <c r="X8" s="1">
        <f>+X7+1</f>
        <v>2</v>
      </c>
      <c r="Y8" s="7">
        <f>'CALCULATOR SHEET'!I14</f>
        <v>48</v>
      </c>
      <c r="Z8" s="7">
        <f>'CALCULATOR SHEET'!J14</f>
        <v>136</v>
      </c>
      <c r="AA8" s="7">
        <f t="shared" ref="AA8:AA28" si="1">IF(Y8=0,"",MATCH(CEILING(Y8,6),$C$7:$R$7,0))</f>
        <v>4</v>
      </c>
      <c r="AB8" s="7" t="e">
        <f t="shared" ref="AB8:AB28" si="2">IF(Z8=0,"",MATCH(CEILING(Z8,6),$B$10:$B$26,0))</f>
        <v>#N/A</v>
      </c>
      <c r="AC8" s="146" t="e">
        <f t="shared" ref="AC8:AC71" si="3">IF(AA8="","",IF(W8="GROUP 1",INDEX($C$10:$R$26,AB8,AA8),IF(W8="GROUP 2",INDEX($C$39:$R$55,AB8,AA8),IF(W8="GROUP 3",INDEX($C$64:$R$80,AB8,AA8),""))))</f>
        <v>#N/A</v>
      </c>
      <c r="AD8" s="13" t="str">
        <f>IF(AND('CALCULATOR SHEET'!P14="YES",'CALCULATOR SHEET'!Q14="YES"),HLOOKUP(CEILING(Y8,6),$C$28:$Q$31,3,FALSE),"")</f>
        <v/>
      </c>
      <c r="AE8" s="13" t="e">
        <f t="shared" ref="AE8:AE28" si="4">IF(AB8&lt;&gt;"",VLOOKUP(AB8,$T$10:$U$26,2,FALSE),"")</f>
        <v>#N/A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3</v>
      </c>
      <c r="X9" s="1">
        <f t="shared" ref="X9:X28" si="6">+X8+1</f>
        <v>3</v>
      </c>
      <c r="Y9" s="7">
        <f>'CALCULATOR SHEET'!I15</f>
        <v>54.125</v>
      </c>
      <c r="Z9" s="7">
        <f>'CALCULATOR SHEET'!J15</f>
        <v>136</v>
      </c>
      <c r="AA9" s="7">
        <f t="shared" si="1"/>
        <v>6</v>
      </c>
      <c r="AB9" s="7" t="e">
        <f t="shared" si="2"/>
        <v>#N/A</v>
      </c>
      <c r="AC9" s="146" t="e">
        <f t="shared" si="3"/>
        <v>#N/A</v>
      </c>
      <c r="AD9" s="13" t="str">
        <f>IF(AND('CALCULATOR SHEET'!P15="YES",'CALCULATOR SHEET'!Q15="YES"),HLOOKUP(CEILING(Y9,6),$C$28:$Q$31,3,FALSE),"")</f>
        <v/>
      </c>
      <c r="AE9" s="13" t="e">
        <f t="shared" si="4"/>
        <v>#N/A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49.5</v>
      </c>
      <c r="W7" s="7">
        <f>'CALCULATOR SHEET'!J13</f>
        <v>136</v>
      </c>
      <c r="X7" s="7">
        <f>IF(V7=0,"",MATCH(CEILING(V7,6),$C$8:$Q$8,0))</f>
        <v>6</v>
      </c>
      <c r="Y7" s="7" t="e">
        <f>IF(W7=0,"",MATCH(CEILING(W7,6),$B$10:$B$26,0))</f>
        <v>#N/A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48</v>
      </c>
      <c r="W8" s="7">
        <f>'CALCULATOR SHEET'!J14</f>
        <v>136</v>
      </c>
      <c r="X8" s="7">
        <f t="shared" ref="X8:X73" si="0">IF(V8=0,"",MATCH(CEILING(V8,6),$C$8:$Q$8,0))</f>
        <v>5</v>
      </c>
      <c r="Y8" s="7" t="e">
        <f t="shared" ref="Y8:Y71" si="1">IF(W8=0,"",MATCH(CEILING(W8,6),$B$10:$B$26,0))</f>
        <v>#N/A</v>
      </c>
      <c r="Z8" s="146" t="e">
        <f>IF(X8="","",INDEX($C$12:$Q$26,Y8,X8))</f>
        <v>#N/A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54.125</v>
      </c>
      <c r="W9" s="7">
        <f>'CALCULATOR SHEET'!J15</f>
        <v>136</v>
      </c>
      <c r="X9" s="7">
        <f t="shared" si="0"/>
        <v>7</v>
      </c>
      <c r="Y9" s="7" t="e">
        <f t="shared" si="1"/>
        <v>#N/A</v>
      </c>
      <c r="Z9" s="146" t="e">
        <f>IF(X9="","",INDEX($C$12:$Q$26,Y9,X9))</f>
        <v>#N/A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5" t="s">
        <v>14</v>
      </c>
      <c r="J3" s="385"/>
      <c r="K3" s="385"/>
      <c r="L3" s="385"/>
      <c r="R3" s="34" t="s">
        <v>436</v>
      </c>
    </row>
    <row r="4" spans="2:29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4" t="s">
        <v>72</v>
      </c>
      <c r="U7" s="147"/>
      <c r="V7" s="1">
        <v>1</v>
      </c>
      <c r="W7" s="7">
        <f>'CALCULATOR SHEET'!I13</f>
        <v>49.5</v>
      </c>
      <c r="X7" s="7">
        <f>'CALCULATOR SHEET'!J13</f>
        <v>136</v>
      </c>
      <c r="Y7" s="7">
        <f>IF(W7=0,"",MATCH(CEILING(W7,6),$C$7:$Q$7,0))</f>
        <v>6</v>
      </c>
      <c r="Z7" s="7" t="e">
        <f>IF(X7=0,"",MATCH(CEILING(X7,6),$B$10:$B$26,0))</f>
        <v>#N/A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4"/>
      <c r="U8" s="147"/>
      <c r="V8" s="1">
        <f>+V7+1</f>
        <v>2</v>
      </c>
      <c r="W8" s="7">
        <f>'CALCULATOR SHEET'!I14</f>
        <v>48</v>
      </c>
      <c r="X8" s="7">
        <f>'CALCULATOR SHEET'!J14</f>
        <v>136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54.125</v>
      </c>
      <c r="X9" s="7">
        <f>'CALCULATOR SHEET'!J15</f>
        <v>136</v>
      </c>
      <c r="Y9" s="7">
        <f t="shared" si="1"/>
        <v>7</v>
      </c>
      <c r="Z9" s="7" t="e">
        <f t="shared" si="2"/>
        <v>#N/A</v>
      </c>
      <c r="AA9" s="146" t="e">
        <f t="shared" si="3"/>
        <v>#N/A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8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49.5</v>
      </c>
      <c r="X7" s="7">
        <f>'CALCULATOR SHEET'!J13</f>
        <v>136</v>
      </c>
      <c r="Y7" s="7">
        <f>IF(W7=0,"",MATCH(CEILING(W7,6),$C$7:$Q$7,0))</f>
        <v>6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>
      <c r="T8" s="384"/>
      <c r="V8" s="1">
        <f>+V7+1</f>
        <v>2</v>
      </c>
      <c r="W8" s="7">
        <f>'CALCULATOR SHEET'!I14</f>
        <v>48</v>
      </c>
      <c r="X8" s="7">
        <f>'CALCULATOR SHEET'!J14</f>
        <v>136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54.125</v>
      </c>
      <c r="X9" s="7">
        <f>'CALCULATOR SHEET'!J15</f>
        <v>136</v>
      </c>
      <c r="Y9" s="7">
        <f t="shared" si="1"/>
        <v>7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S15" sqref="S15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6"/>
      <c r="Q3" s="366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69" t="s">
        <v>309</v>
      </c>
      <c r="AA4" s="368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475</v>
      </c>
      <c r="W5" s="34" t="s">
        <v>134</v>
      </c>
      <c r="Z5" s="369"/>
      <c r="AA5" s="368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69"/>
      <c r="AA6" s="368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471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7" t="str">
        <f>IF(AA10&gt;(AA9/2),"REVISAR PERSIANAS","")</f>
        <v/>
      </c>
      <c r="Z8" s="367"/>
      <c r="AA8" s="367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469</v>
      </c>
      <c r="E9" s="39"/>
      <c r="F9" s="1"/>
      <c r="G9" s="38" t="s">
        <v>443</v>
      </c>
      <c r="H9" s="342" t="s">
        <v>472</v>
      </c>
      <c r="I9" s="1"/>
      <c r="J9" s="1"/>
      <c r="K9" s="1"/>
      <c r="L9" s="1"/>
      <c r="M9" s="255"/>
      <c r="N9" s="255"/>
      <c r="O9" s="255"/>
      <c r="P9" s="1"/>
      <c r="Q9" s="302" t="s">
        <v>287</v>
      </c>
      <c r="R9" s="301" t="s">
        <v>45</v>
      </c>
      <c r="S9" s="24" t="s">
        <v>40</v>
      </c>
      <c r="T9" s="189">
        <v>45965</v>
      </c>
      <c r="Z9" s="38" t="s">
        <v>304</v>
      </c>
      <c r="AA9" s="34">
        <f>SUMIF(C13:C52,"&gt;0")</f>
        <v>3</v>
      </c>
      <c r="AD9" s="365" t="s">
        <v>91</v>
      </c>
      <c r="AE9" s="365"/>
      <c r="AF9" s="365"/>
      <c r="AG9" s="365"/>
      <c r="AH9" s="365"/>
      <c r="AI9" s="365"/>
      <c r="AJ9" s="365"/>
      <c r="AK9" s="269"/>
      <c r="AL9" s="365" t="s">
        <v>92</v>
      </c>
      <c r="AM9" s="365"/>
      <c r="AN9" s="365"/>
      <c r="AO9" s="269"/>
      <c r="AP9" s="365" t="s">
        <v>93</v>
      </c>
      <c r="AQ9" s="365"/>
      <c r="AR9" s="365"/>
      <c r="AS9" s="269"/>
      <c r="AT9" s="365" t="s">
        <v>217</v>
      </c>
      <c r="AU9" s="365"/>
      <c r="AV9" s="14"/>
      <c r="AW9" s="14"/>
    </row>
    <row r="10" spans="1:73" ht="15.75">
      <c r="B10" s="43"/>
      <c r="C10" s="24" t="s">
        <v>39</v>
      </c>
      <c r="D10" s="191" t="s">
        <v>470</v>
      </c>
      <c r="E10" s="149"/>
      <c r="F10" s="1"/>
      <c r="G10" s="340" t="s">
        <v>444</v>
      </c>
      <c r="H10" s="342" t="s">
        <v>473</v>
      </c>
      <c r="I10" s="1"/>
      <c r="J10" s="3" t="s">
        <v>449</v>
      </c>
      <c r="K10" s="343">
        <v>6611040675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5"/>
      <c r="AE10" s="365"/>
      <c r="AF10" s="365"/>
      <c r="AG10" s="365"/>
      <c r="AH10" s="365"/>
      <c r="AI10" s="365"/>
      <c r="AJ10" s="365"/>
      <c r="AL10" s="365"/>
      <c r="AM10" s="365"/>
      <c r="AN10" s="365"/>
      <c r="AP10" s="365"/>
      <c r="AQ10" s="365"/>
      <c r="AR10" s="365"/>
      <c r="AT10" s="365"/>
      <c r="AU10" s="365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>
        <v>701</v>
      </c>
      <c r="I11" s="46"/>
      <c r="J11" s="38" t="s">
        <v>448</v>
      </c>
      <c r="K11" s="343" t="s">
        <v>474</v>
      </c>
      <c r="L11" s="46"/>
      <c r="M11" s="259"/>
      <c r="N11" s="259"/>
      <c r="O11" s="312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/>
      <c r="G13" s="68" t="s">
        <v>465</v>
      </c>
      <c r="H13" s="68" t="s">
        <v>466</v>
      </c>
      <c r="I13" s="388">
        <v>49.5</v>
      </c>
      <c r="J13" s="81">
        <v>136</v>
      </c>
      <c r="K13" s="254" t="s">
        <v>96</v>
      </c>
      <c r="L13" s="70"/>
      <c r="M13" s="284" t="s">
        <v>129</v>
      </c>
      <c r="N13" s="254" t="s">
        <v>212</v>
      </c>
      <c r="O13" s="254"/>
      <c r="P13" s="70" t="s">
        <v>45</v>
      </c>
      <c r="Q13" s="70" t="s">
        <v>45</v>
      </c>
      <c r="R13" s="70" t="s">
        <v>45</v>
      </c>
      <c r="S13" s="71">
        <v>300</v>
      </c>
      <c r="T13" s="315">
        <f t="shared" ref="T13:T52" si="0">IF(S13="","",S13*C13)</f>
        <v>300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295</v>
      </c>
      <c r="X13" s="290">
        <v>0</v>
      </c>
      <c r="Y13" s="274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280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15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15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/>
      <c r="G14" s="68" t="s">
        <v>465</v>
      </c>
      <c r="H14" s="68" t="s">
        <v>467</v>
      </c>
      <c r="I14" s="388">
        <v>48</v>
      </c>
      <c r="J14" s="81">
        <v>136</v>
      </c>
      <c r="K14" s="254" t="s">
        <v>96</v>
      </c>
      <c r="L14" s="70"/>
      <c r="M14" s="284" t="s">
        <v>129</v>
      </c>
      <c r="N14" s="254" t="s">
        <v>213</v>
      </c>
      <c r="O14" s="254"/>
      <c r="P14" s="70" t="s">
        <v>45</v>
      </c>
      <c r="Q14" s="70" t="s">
        <v>45</v>
      </c>
      <c r="R14" s="70" t="s">
        <v>45</v>
      </c>
      <c r="S14" s="71">
        <v>280</v>
      </c>
      <c r="T14" s="315">
        <f t="shared" si="0"/>
        <v>280</v>
      </c>
      <c r="U14" s="179" t="str">
        <f t="shared" ref="U14:U52" si="1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275</v>
      </c>
      <c r="X14" s="290">
        <v>0</v>
      </c>
      <c r="Y14" s="274">
        <f t="shared" ref="Y14:Y52" si="2">B14</f>
        <v>2</v>
      </c>
      <c r="Z14" s="128" t="s">
        <v>6</v>
      </c>
      <c r="AA14" s="309">
        <f t="shared" ref="AA14:AA52" si="3">IF(Z14&lt;&gt;"N/A",S14,0)</f>
        <v>0</v>
      </c>
      <c r="AB14" s="16" t="str">
        <f t="shared" ref="AB14:AB52" si="4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260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15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5">IF(K14="METAL CHAIN",AJ14,"")</f>
        <v>15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6">B14+1</f>
        <v>3</v>
      </c>
      <c r="C15" s="68">
        <v>1</v>
      </c>
      <c r="D15" s="152" t="s">
        <v>88</v>
      </c>
      <c r="E15" s="69" t="s">
        <v>21</v>
      </c>
      <c r="F15" s="69"/>
      <c r="G15" s="68" t="s">
        <v>465</v>
      </c>
      <c r="H15" s="68" t="s">
        <v>468</v>
      </c>
      <c r="I15" s="388">
        <v>54.125</v>
      </c>
      <c r="J15" s="81">
        <v>136</v>
      </c>
      <c r="K15" s="254" t="s">
        <v>96</v>
      </c>
      <c r="L15" s="70"/>
      <c r="M15" s="284" t="s">
        <v>130</v>
      </c>
      <c r="N15" s="254" t="s">
        <v>212</v>
      </c>
      <c r="O15" s="254"/>
      <c r="P15" s="70" t="s">
        <v>45</v>
      </c>
      <c r="Q15" s="70" t="s">
        <v>45</v>
      </c>
      <c r="R15" s="70" t="s">
        <v>45</v>
      </c>
      <c r="S15" s="71">
        <v>320</v>
      </c>
      <c r="T15" s="315">
        <f t="shared" si="0"/>
        <v>320</v>
      </c>
      <c r="U15" s="179" t="str">
        <f t="shared" si="1"/>
        <v/>
      </c>
      <c r="V15" s="120"/>
      <c r="W15" s="124">
        <f t="shared" ref="W15:W52" si="7">IF(D15="ROLLER",SUM(AD15:AJ15),IF(D15="VERTICAL D",SUM(AL15:AN15),IF(D15="ZEBRA",SUM(AP15:AR15),IF(D15="EXTERIOR ROLLER",SUM(AT15:AV15),IF(D15="CABLE GUIDES",AW15,0)))))</f>
        <v>315</v>
      </c>
      <c r="X15" s="290">
        <v>0</v>
      </c>
      <c r="Y15" s="274">
        <f t="shared" si="2"/>
        <v>3</v>
      </c>
      <c r="Z15" s="128" t="s">
        <v>6</v>
      </c>
      <c r="AA15" s="309">
        <f t="shared" si="3"/>
        <v>0</v>
      </c>
      <c r="AB15" s="16" t="str">
        <f t="shared" si="4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300</v>
      </c>
      <c r="AE15" s="120" t="str">
        <f t="shared" ref="AE15:AE52" si="8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15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5"/>
        <v>15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6"/>
        <v>4</v>
      </c>
      <c r="C16" s="68"/>
      <c r="D16" s="152"/>
      <c r="E16" s="69"/>
      <c r="F16" s="69"/>
      <c r="G16" s="68"/>
      <c r="H16" s="68"/>
      <c r="I16" s="81"/>
      <c r="J16" s="81"/>
      <c r="K16" s="254"/>
      <c r="L16" s="70"/>
      <c r="M16" s="284"/>
      <c r="N16" s="254"/>
      <c r="O16" s="254"/>
      <c r="P16" s="70" t="s">
        <v>45</v>
      </c>
      <c r="Q16" s="70" t="s">
        <v>45</v>
      </c>
      <c r="R16" s="70" t="s">
        <v>45</v>
      </c>
      <c r="S16" s="71">
        <f t="shared" ref="S14:S52" si="9">IF(U16="REVISAR MEDIDA","NO APLICA",W16+X16)</f>
        <v>0</v>
      </c>
      <c r="T16" s="315">
        <f t="shared" si="0"/>
        <v>0</v>
      </c>
      <c r="U16" s="179" t="str">
        <f t="shared" si="1"/>
        <v/>
      </c>
      <c r="V16" s="120"/>
      <c r="W16" s="124">
        <f t="shared" si="7"/>
        <v>0</v>
      </c>
      <c r="X16" s="290">
        <v>0</v>
      </c>
      <c r="Y16" s="274">
        <f t="shared" si="2"/>
        <v>4</v>
      </c>
      <c r="Z16" s="128" t="s">
        <v>6</v>
      </c>
      <c r="AA16" s="309">
        <f t="shared" si="3"/>
        <v>0</v>
      </c>
      <c r="AB16" s="16">
        <f t="shared" si="4"/>
        <v>0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8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5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6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9"/>
        <v>0</v>
      </c>
      <c r="T17" s="315">
        <f t="shared" si="0"/>
        <v>0</v>
      </c>
      <c r="U17" s="179" t="str">
        <f t="shared" si="1"/>
        <v/>
      </c>
      <c r="V17" s="120"/>
      <c r="W17" s="124">
        <f t="shared" si="7"/>
        <v>0</v>
      </c>
      <c r="X17" s="290">
        <v>0</v>
      </c>
      <c r="Y17" s="274">
        <f t="shared" si="2"/>
        <v>5</v>
      </c>
      <c r="Z17" s="128" t="s">
        <v>6</v>
      </c>
      <c r="AA17" s="309">
        <f t="shared" si="3"/>
        <v>0</v>
      </c>
      <c r="AB17" s="16">
        <f t="shared" si="4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8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5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6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9"/>
        <v>0</v>
      </c>
      <c r="T18" s="315">
        <f t="shared" si="0"/>
        <v>0</v>
      </c>
      <c r="U18" s="179" t="str">
        <f t="shared" si="1"/>
        <v/>
      </c>
      <c r="V18" s="120"/>
      <c r="W18" s="124">
        <f t="shared" si="7"/>
        <v>0</v>
      </c>
      <c r="X18" s="290">
        <v>0</v>
      </c>
      <c r="Y18" s="274">
        <f t="shared" si="2"/>
        <v>6</v>
      </c>
      <c r="Z18" s="128" t="s">
        <v>6</v>
      </c>
      <c r="AA18" s="309">
        <f t="shared" si="3"/>
        <v>0</v>
      </c>
      <c r="AB18" s="16">
        <f t="shared" si="4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8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5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6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9"/>
        <v>0</v>
      </c>
      <c r="T19" s="315">
        <f t="shared" si="0"/>
        <v>0</v>
      </c>
      <c r="U19" s="179" t="str">
        <f t="shared" si="1"/>
        <v/>
      </c>
      <c r="V19" s="120"/>
      <c r="W19" s="124">
        <f t="shared" si="7"/>
        <v>0</v>
      </c>
      <c r="X19" s="290">
        <v>0</v>
      </c>
      <c r="Y19" s="274">
        <f t="shared" si="2"/>
        <v>7</v>
      </c>
      <c r="Z19" s="128" t="s">
        <v>6</v>
      </c>
      <c r="AA19" s="309">
        <f t="shared" si="3"/>
        <v>0</v>
      </c>
      <c r="AB19" s="16">
        <f t="shared" si="4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8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5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6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9"/>
        <v>0</v>
      </c>
      <c r="T20" s="315">
        <f t="shared" si="0"/>
        <v>0</v>
      </c>
      <c r="U20" s="179" t="str">
        <f t="shared" si="1"/>
        <v/>
      </c>
      <c r="V20" s="120"/>
      <c r="W20" s="124">
        <f t="shared" si="7"/>
        <v>0</v>
      </c>
      <c r="X20" s="290">
        <v>0</v>
      </c>
      <c r="Y20" s="274">
        <f t="shared" si="2"/>
        <v>8</v>
      </c>
      <c r="Z20" s="128" t="s">
        <v>6</v>
      </c>
      <c r="AA20" s="309">
        <f t="shared" si="3"/>
        <v>0</v>
      </c>
      <c r="AB20" s="16">
        <f t="shared" si="4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8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5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6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9"/>
        <v>0</v>
      </c>
      <c r="T21" s="315">
        <f t="shared" si="0"/>
        <v>0</v>
      </c>
      <c r="U21" s="179" t="str">
        <f t="shared" si="1"/>
        <v/>
      </c>
      <c r="V21" s="120"/>
      <c r="W21" s="124">
        <f t="shared" si="7"/>
        <v>0</v>
      </c>
      <c r="X21" s="290">
        <v>0</v>
      </c>
      <c r="Y21" s="274">
        <f t="shared" si="2"/>
        <v>9</v>
      </c>
      <c r="Z21" s="128" t="s">
        <v>6</v>
      </c>
      <c r="AA21" s="309">
        <f t="shared" si="3"/>
        <v>0</v>
      </c>
      <c r="AB21" s="16">
        <f t="shared" si="4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8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5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6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9"/>
        <v>0</v>
      </c>
      <c r="T22" s="72">
        <f t="shared" si="0"/>
        <v>0</v>
      </c>
      <c r="U22" s="179" t="str">
        <f t="shared" si="1"/>
        <v/>
      </c>
      <c r="V22" s="67"/>
      <c r="W22" s="124">
        <f t="shared" si="7"/>
        <v>0</v>
      </c>
      <c r="X22" s="290">
        <v>0</v>
      </c>
      <c r="Y22" s="274">
        <f t="shared" si="2"/>
        <v>10</v>
      </c>
      <c r="Z22" s="128" t="s">
        <v>6</v>
      </c>
      <c r="AA22" s="309">
        <f t="shared" si="3"/>
        <v>0</v>
      </c>
      <c r="AB22" s="16">
        <f t="shared" si="4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8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5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6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9"/>
        <v>0</v>
      </c>
      <c r="T23" s="72">
        <f t="shared" si="0"/>
        <v>0</v>
      </c>
      <c r="U23" s="179" t="str">
        <f t="shared" si="1"/>
        <v/>
      </c>
      <c r="V23" s="67"/>
      <c r="W23" s="124">
        <f t="shared" si="7"/>
        <v>0</v>
      </c>
      <c r="X23" s="290">
        <v>0</v>
      </c>
      <c r="Y23" s="274">
        <f t="shared" si="2"/>
        <v>11</v>
      </c>
      <c r="Z23" s="128" t="s">
        <v>6</v>
      </c>
      <c r="AA23" s="309">
        <f t="shared" si="3"/>
        <v>0</v>
      </c>
      <c r="AB23" s="16">
        <f t="shared" si="4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8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5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6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9"/>
        <v>0</v>
      </c>
      <c r="T24" s="72">
        <f t="shared" si="0"/>
        <v>0</v>
      </c>
      <c r="U24" s="179" t="str">
        <f t="shared" si="1"/>
        <v/>
      </c>
      <c r="V24" s="67"/>
      <c r="W24" s="124">
        <f t="shared" si="7"/>
        <v>0</v>
      </c>
      <c r="X24" s="290">
        <v>0</v>
      </c>
      <c r="Y24" s="274">
        <f t="shared" si="2"/>
        <v>12</v>
      </c>
      <c r="Z24" s="128" t="s">
        <v>6</v>
      </c>
      <c r="AA24" s="309">
        <f t="shared" si="3"/>
        <v>0</v>
      </c>
      <c r="AB24" s="16">
        <f t="shared" si="4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8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5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6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9"/>
        <v>0</v>
      </c>
      <c r="T25" s="72">
        <f t="shared" si="0"/>
        <v>0</v>
      </c>
      <c r="U25" s="179" t="str">
        <f t="shared" si="1"/>
        <v/>
      </c>
      <c r="V25" s="67"/>
      <c r="W25" s="124">
        <f t="shared" si="7"/>
        <v>0</v>
      </c>
      <c r="X25" s="290">
        <v>0</v>
      </c>
      <c r="Y25" s="274">
        <f t="shared" si="2"/>
        <v>13</v>
      </c>
      <c r="Z25" s="128" t="s">
        <v>6</v>
      </c>
      <c r="AA25" s="309">
        <f t="shared" si="3"/>
        <v>0</v>
      </c>
      <c r="AB25" s="16">
        <f t="shared" si="4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8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5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6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9"/>
        <v>0</v>
      </c>
      <c r="T26" s="72">
        <f t="shared" si="0"/>
        <v>0</v>
      </c>
      <c r="U26" s="179" t="str">
        <f t="shared" si="1"/>
        <v/>
      </c>
      <c r="V26" s="67"/>
      <c r="W26" s="124">
        <f t="shared" si="7"/>
        <v>0</v>
      </c>
      <c r="X26" s="290">
        <v>0</v>
      </c>
      <c r="Y26" s="274">
        <f t="shared" si="2"/>
        <v>14</v>
      </c>
      <c r="Z26" s="128" t="s">
        <v>6</v>
      </c>
      <c r="AA26" s="309">
        <f t="shared" si="3"/>
        <v>0</v>
      </c>
      <c r="AB26" s="16">
        <f t="shared" si="4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8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5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6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9"/>
        <v>0</v>
      </c>
      <c r="T27" s="72">
        <f t="shared" si="0"/>
        <v>0</v>
      </c>
      <c r="U27" s="179" t="str">
        <f t="shared" si="1"/>
        <v/>
      </c>
      <c r="V27" s="67"/>
      <c r="W27" s="124">
        <f t="shared" si="7"/>
        <v>0</v>
      </c>
      <c r="X27" s="290">
        <v>0</v>
      </c>
      <c r="Y27" s="274">
        <f t="shared" si="2"/>
        <v>15</v>
      </c>
      <c r="Z27" s="128" t="s">
        <v>6</v>
      </c>
      <c r="AA27" s="309">
        <f t="shared" si="3"/>
        <v>0</v>
      </c>
      <c r="AB27" s="16">
        <f t="shared" si="4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8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5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6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9"/>
        <v>0</v>
      </c>
      <c r="T28" s="72">
        <f t="shared" si="0"/>
        <v>0</v>
      </c>
      <c r="U28" s="179" t="str">
        <f t="shared" si="1"/>
        <v/>
      </c>
      <c r="V28" s="67"/>
      <c r="W28" s="124">
        <f t="shared" si="7"/>
        <v>0</v>
      </c>
      <c r="X28" s="290">
        <v>0</v>
      </c>
      <c r="Y28" s="274">
        <f t="shared" si="2"/>
        <v>16</v>
      </c>
      <c r="Z28" s="128" t="s">
        <v>6</v>
      </c>
      <c r="AA28" s="309">
        <f t="shared" si="3"/>
        <v>0</v>
      </c>
      <c r="AB28" s="16">
        <f t="shared" si="4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8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5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6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9"/>
        <v>0</v>
      </c>
      <c r="T29" s="72">
        <f t="shared" si="0"/>
        <v>0</v>
      </c>
      <c r="U29" s="179" t="str">
        <f t="shared" si="1"/>
        <v/>
      </c>
      <c r="V29" s="67"/>
      <c r="W29" s="124">
        <f t="shared" si="7"/>
        <v>0</v>
      </c>
      <c r="X29" s="290">
        <v>0</v>
      </c>
      <c r="Y29" s="274">
        <f t="shared" si="2"/>
        <v>17</v>
      </c>
      <c r="Z29" s="128" t="s">
        <v>6</v>
      </c>
      <c r="AA29" s="309">
        <f t="shared" si="3"/>
        <v>0</v>
      </c>
      <c r="AB29" s="16">
        <f t="shared" si="4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8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5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6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9"/>
        <v>0</v>
      </c>
      <c r="T30" s="72">
        <f t="shared" si="0"/>
        <v>0</v>
      </c>
      <c r="U30" s="179" t="str">
        <f t="shared" si="1"/>
        <v/>
      </c>
      <c r="V30" s="67"/>
      <c r="W30" s="124">
        <f t="shared" si="7"/>
        <v>0</v>
      </c>
      <c r="X30" s="290">
        <v>0</v>
      </c>
      <c r="Y30" s="274">
        <f t="shared" si="2"/>
        <v>18</v>
      </c>
      <c r="Z30" s="128" t="s">
        <v>6</v>
      </c>
      <c r="AA30" s="309">
        <f t="shared" si="3"/>
        <v>0</v>
      </c>
      <c r="AB30" s="16">
        <f t="shared" si="4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8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5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6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9"/>
        <v>0</v>
      </c>
      <c r="T31" s="72">
        <f t="shared" si="0"/>
        <v>0</v>
      </c>
      <c r="U31" s="179" t="str">
        <f t="shared" si="1"/>
        <v/>
      </c>
      <c r="V31" s="67"/>
      <c r="W31" s="124">
        <f t="shared" si="7"/>
        <v>0</v>
      </c>
      <c r="X31" s="290">
        <v>0</v>
      </c>
      <c r="Y31" s="274">
        <f t="shared" si="2"/>
        <v>19</v>
      </c>
      <c r="Z31" s="128" t="s">
        <v>6</v>
      </c>
      <c r="AA31" s="309">
        <f t="shared" si="3"/>
        <v>0</v>
      </c>
      <c r="AB31" s="16">
        <f t="shared" si="4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8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5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6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9"/>
        <v>0</v>
      </c>
      <c r="T32" s="72">
        <f t="shared" si="0"/>
        <v>0</v>
      </c>
      <c r="U32" s="179" t="str">
        <f t="shared" si="1"/>
        <v/>
      </c>
      <c r="V32" s="67"/>
      <c r="W32" s="124">
        <f t="shared" si="7"/>
        <v>0</v>
      </c>
      <c r="X32" s="290">
        <v>0</v>
      </c>
      <c r="Y32" s="274">
        <f t="shared" si="2"/>
        <v>20</v>
      </c>
      <c r="Z32" s="128" t="s">
        <v>6</v>
      </c>
      <c r="AA32" s="309">
        <f t="shared" si="3"/>
        <v>0</v>
      </c>
      <c r="AB32" s="16">
        <f t="shared" si="4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8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5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6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9"/>
        <v>0</v>
      </c>
      <c r="T33" s="72">
        <f t="shared" si="0"/>
        <v>0</v>
      </c>
      <c r="U33" s="179" t="str">
        <f t="shared" si="1"/>
        <v/>
      </c>
      <c r="V33" s="67"/>
      <c r="W33" s="124">
        <f t="shared" si="7"/>
        <v>0</v>
      </c>
      <c r="X33" s="290">
        <v>0</v>
      </c>
      <c r="Y33" s="274">
        <f t="shared" si="2"/>
        <v>21</v>
      </c>
      <c r="Z33" s="128" t="s">
        <v>6</v>
      </c>
      <c r="AA33" s="309">
        <f t="shared" si="3"/>
        <v>0</v>
      </c>
      <c r="AB33" s="16">
        <f t="shared" si="4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8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5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6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9"/>
        <v>0</v>
      </c>
      <c r="T34" s="72">
        <f t="shared" si="0"/>
        <v>0</v>
      </c>
      <c r="U34" s="179" t="str">
        <f t="shared" si="1"/>
        <v/>
      </c>
      <c r="V34" s="67"/>
      <c r="W34" s="124">
        <f t="shared" si="7"/>
        <v>0</v>
      </c>
      <c r="X34" s="290">
        <v>0</v>
      </c>
      <c r="Y34" s="274">
        <f t="shared" si="2"/>
        <v>22</v>
      </c>
      <c r="Z34" s="128" t="s">
        <v>6</v>
      </c>
      <c r="AA34" s="309">
        <f t="shared" si="3"/>
        <v>0</v>
      </c>
      <c r="AB34" s="16">
        <f t="shared" si="4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8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5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6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9"/>
        <v>0</v>
      </c>
      <c r="T35" s="72">
        <f t="shared" si="0"/>
        <v>0</v>
      </c>
      <c r="U35" s="179" t="str">
        <f t="shared" si="1"/>
        <v/>
      </c>
      <c r="V35" s="67"/>
      <c r="W35" s="124">
        <f t="shared" si="7"/>
        <v>0</v>
      </c>
      <c r="X35" s="290">
        <v>0</v>
      </c>
      <c r="Y35" s="274">
        <f t="shared" si="2"/>
        <v>23</v>
      </c>
      <c r="Z35" s="128" t="s">
        <v>6</v>
      </c>
      <c r="AA35" s="309">
        <f t="shared" si="3"/>
        <v>0</v>
      </c>
      <c r="AB35" s="16">
        <f t="shared" si="4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8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5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6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9"/>
        <v>0</v>
      </c>
      <c r="T36" s="72">
        <f t="shared" si="0"/>
        <v>0</v>
      </c>
      <c r="U36" s="179" t="str">
        <f t="shared" si="1"/>
        <v/>
      </c>
      <c r="V36" s="67"/>
      <c r="W36" s="124">
        <f t="shared" si="7"/>
        <v>0</v>
      </c>
      <c r="X36" s="290">
        <v>0</v>
      </c>
      <c r="Y36" s="274">
        <f t="shared" si="2"/>
        <v>24</v>
      </c>
      <c r="Z36" s="128" t="s">
        <v>6</v>
      </c>
      <c r="AA36" s="309">
        <f t="shared" si="3"/>
        <v>0</v>
      </c>
      <c r="AB36" s="16">
        <f t="shared" si="4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8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5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6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9"/>
        <v>0</v>
      </c>
      <c r="T37" s="72">
        <f t="shared" si="0"/>
        <v>0</v>
      </c>
      <c r="U37" s="179" t="str">
        <f t="shared" si="1"/>
        <v/>
      </c>
      <c r="V37" s="67"/>
      <c r="W37" s="124">
        <f t="shared" si="7"/>
        <v>0</v>
      </c>
      <c r="X37" s="290">
        <v>0</v>
      </c>
      <c r="Y37" s="274">
        <f t="shared" si="2"/>
        <v>25</v>
      </c>
      <c r="Z37" s="128" t="s">
        <v>6</v>
      </c>
      <c r="AA37" s="309">
        <f t="shared" si="3"/>
        <v>0</v>
      </c>
      <c r="AB37" s="16">
        <f t="shared" si="4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8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5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6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9"/>
        <v>0</v>
      </c>
      <c r="T38" s="72">
        <f t="shared" si="0"/>
        <v>0</v>
      </c>
      <c r="U38" s="179" t="str">
        <f t="shared" si="1"/>
        <v/>
      </c>
      <c r="V38" s="67"/>
      <c r="W38" s="124">
        <f t="shared" si="7"/>
        <v>0</v>
      </c>
      <c r="X38" s="290">
        <v>0</v>
      </c>
      <c r="Y38" s="274">
        <f t="shared" si="2"/>
        <v>26</v>
      </c>
      <c r="Z38" s="128" t="s">
        <v>6</v>
      </c>
      <c r="AA38" s="309">
        <f t="shared" si="3"/>
        <v>0</v>
      </c>
      <c r="AB38" s="16">
        <f t="shared" si="4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8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5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6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9"/>
        <v>0</v>
      </c>
      <c r="T39" s="72">
        <f t="shared" si="0"/>
        <v>0</v>
      </c>
      <c r="U39" s="179" t="str">
        <f t="shared" si="1"/>
        <v/>
      </c>
      <c r="V39" s="67"/>
      <c r="W39" s="124">
        <f t="shared" si="7"/>
        <v>0</v>
      </c>
      <c r="X39" s="290">
        <v>0</v>
      </c>
      <c r="Y39" s="274">
        <f t="shared" si="2"/>
        <v>27</v>
      </c>
      <c r="Z39" s="128" t="s">
        <v>6</v>
      </c>
      <c r="AA39" s="309">
        <f t="shared" si="3"/>
        <v>0</v>
      </c>
      <c r="AB39" s="16">
        <f t="shared" si="4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8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5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6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9"/>
        <v>0</v>
      </c>
      <c r="T40" s="72">
        <f t="shared" si="0"/>
        <v>0</v>
      </c>
      <c r="U40" s="179" t="str">
        <f t="shared" si="1"/>
        <v/>
      </c>
      <c r="V40" s="67"/>
      <c r="W40" s="124">
        <f t="shared" si="7"/>
        <v>0</v>
      </c>
      <c r="X40" s="290">
        <v>0</v>
      </c>
      <c r="Y40" s="274">
        <f t="shared" si="2"/>
        <v>28</v>
      </c>
      <c r="Z40" s="128" t="s">
        <v>6</v>
      </c>
      <c r="AA40" s="309">
        <f t="shared" si="3"/>
        <v>0</v>
      </c>
      <c r="AB40" s="16">
        <f t="shared" si="4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8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5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6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9"/>
        <v>0</v>
      </c>
      <c r="T41" s="72">
        <f t="shared" si="0"/>
        <v>0</v>
      </c>
      <c r="U41" s="179" t="str">
        <f t="shared" si="1"/>
        <v/>
      </c>
      <c r="V41" s="67"/>
      <c r="W41" s="124">
        <f t="shared" si="7"/>
        <v>0</v>
      </c>
      <c r="X41" s="290">
        <v>0</v>
      </c>
      <c r="Y41" s="274">
        <f t="shared" si="2"/>
        <v>29</v>
      </c>
      <c r="Z41" s="128" t="s">
        <v>6</v>
      </c>
      <c r="AA41" s="309">
        <f t="shared" si="3"/>
        <v>0</v>
      </c>
      <c r="AB41" s="16">
        <f t="shared" si="4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8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5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6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9"/>
        <v>0</v>
      </c>
      <c r="T42" s="72">
        <f t="shared" si="0"/>
        <v>0</v>
      </c>
      <c r="U42" s="179" t="str">
        <f t="shared" si="1"/>
        <v/>
      </c>
      <c r="V42" s="67"/>
      <c r="W42" s="124">
        <f t="shared" si="7"/>
        <v>0</v>
      </c>
      <c r="X42" s="290">
        <v>0</v>
      </c>
      <c r="Y42" s="274">
        <f t="shared" si="2"/>
        <v>30</v>
      </c>
      <c r="Z42" s="128" t="s">
        <v>6</v>
      </c>
      <c r="AA42" s="309">
        <f t="shared" si="3"/>
        <v>0</v>
      </c>
      <c r="AB42" s="16">
        <f t="shared" si="4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8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5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6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9"/>
        <v>0</v>
      </c>
      <c r="T43" s="72">
        <f t="shared" si="0"/>
        <v>0</v>
      </c>
      <c r="U43" s="179" t="str">
        <f t="shared" si="1"/>
        <v/>
      </c>
      <c r="V43" s="67"/>
      <c r="W43" s="124">
        <f t="shared" si="7"/>
        <v>0</v>
      </c>
      <c r="X43" s="290">
        <v>0</v>
      </c>
      <c r="Y43" s="274">
        <f t="shared" si="2"/>
        <v>31</v>
      </c>
      <c r="Z43" s="128" t="s">
        <v>6</v>
      </c>
      <c r="AA43" s="309">
        <f t="shared" si="3"/>
        <v>0</v>
      </c>
      <c r="AB43" s="16">
        <f t="shared" si="4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8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5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6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9"/>
        <v>0</v>
      </c>
      <c r="T44" s="72">
        <f t="shared" si="0"/>
        <v>0</v>
      </c>
      <c r="U44" s="179" t="str">
        <f t="shared" si="1"/>
        <v/>
      </c>
      <c r="V44" s="67"/>
      <c r="W44" s="124">
        <f t="shared" si="7"/>
        <v>0</v>
      </c>
      <c r="X44" s="290">
        <v>0</v>
      </c>
      <c r="Y44" s="274">
        <f t="shared" si="2"/>
        <v>32</v>
      </c>
      <c r="Z44" s="128" t="s">
        <v>6</v>
      </c>
      <c r="AA44" s="309">
        <f t="shared" si="3"/>
        <v>0</v>
      </c>
      <c r="AB44" s="16">
        <f t="shared" si="4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8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5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6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9"/>
        <v>0</v>
      </c>
      <c r="T45" s="72">
        <f t="shared" si="0"/>
        <v>0</v>
      </c>
      <c r="U45" s="179" t="str">
        <f t="shared" si="1"/>
        <v/>
      </c>
      <c r="V45" s="67"/>
      <c r="W45" s="124">
        <f t="shared" si="7"/>
        <v>0</v>
      </c>
      <c r="X45" s="290">
        <v>0</v>
      </c>
      <c r="Y45" s="274">
        <f t="shared" si="2"/>
        <v>33</v>
      </c>
      <c r="Z45" s="128" t="s">
        <v>6</v>
      </c>
      <c r="AA45" s="309">
        <f t="shared" si="3"/>
        <v>0</v>
      </c>
      <c r="AB45" s="16">
        <f t="shared" si="4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8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5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6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9"/>
        <v>0</v>
      </c>
      <c r="T46" s="72">
        <f t="shared" si="0"/>
        <v>0</v>
      </c>
      <c r="U46" s="179" t="str">
        <f t="shared" si="1"/>
        <v/>
      </c>
      <c r="V46" s="67"/>
      <c r="W46" s="124">
        <f t="shared" si="7"/>
        <v>0</v>
      </c>
      <c r="X46" s="290">
        <v>0</v>
      </c>
      <c r="Y46" s="274">
        <f t="shared" si="2"/>
        <v>34</v>
      </c>
      <c r="Z46" s="128" t="s">
        <v>6</v>
      </c>
      <c r="AA46" s="309">
        <f t="shared" si="3"/>
        <v>0</v>
      </c>
      <c r="AB46" s="16">
        <f t="shared" si="4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8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5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6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9"/>
        <v>0</v>
      </c>
      <c r="T47" s="72">
        <f t="shared" si="0"/>
        <v>0</v>
      </c>
      <c r="U47" s="179" t="str">
        <f t="shared" si="1"/>
        <v/>
      </c>
      <c r="V47" s="67"/>
      <c r="W47" s="124">
        <f t="shared" si="7"/>
        <v>0</v>
      </c>
      <c r="X47" s="290">
        <v>0</v>
      </c>
      <c r="Y47" s="274">
        <f t="shared" si="2"/>
        <v>35</v>
      </c>
      <c r="Z47" s="128" t="s">
        <v>6</v>
      </c>
      <c r="AA47" s="309">
        <f t="shared" si="3"/>
        <v>0</v>
      </c>
      <c r="AB47" s="16">
        <f t="shared" si="4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8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5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6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9"/>
        <v>0</v>
      </c>
      <c r="T48" s="72">
        <f t="shared" si="0"/>
        <v>0</v>
      </c>
      <c r="U48" s="179" t="str">
        <f t="shared" si="1"/>
        <v/>
      </c>
      <c r="V48" s="67"/>
      <c r="W48" s="124">
        <f t="shared" si="7"/>
        <v>0</v>
      </c>
      <c r="X48" s="290">
        <v>0</v>
      </c>
      <c r="Y48" s="274">
        <f t="shared" si="2"/>
        <v>36</v>
      </c>
      <c r="Z48" s="128" t="s">
        <v>6</v>
      </c>
      <c r="AA48" s="309">
        <f t="shared" si="3"/>
        <v>0</v>
      </c>
      <c r="AB48" s="16">
        <f t="shared" si="4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8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5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6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9"/>
        <v>0</v>
      </c>
      <c r="T49" s="72">
        <f t="shared" si="0"/>
        <v>0</v>
      </c>
      <c r="U49" s="179" t="str">
        <f t="shared" si="1"/>
        <v/>
      </c>
      <c r="V49" s="67"/>
      <c r="W49" s="124">
        <f t="shared" si="7"/>
        <v>0</v>
      </c>
      <c r="X49" s="290">
        <v>0</v>
      </c>
      <c r="Y49" s="274">
        <f t="shared" si="2"/>
        <v>37</v>
      </c>
      <c r="Z49" s="128" t="s">
        <v>6</v>
      </c>
      <c r="AA49" s="309">
        <f t="shared" si="3"/>
        <v>0</v>
      </c>
      <c r="AB49" s="16">
        <f t="shared" si="4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8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5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6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9"/>
        <v>0</v>
      </c>
      <c r="T50" s="72">
        <f t="shared" si="0"/>
        <v>0</v>
      </c>
      <c r="U50" s="179" t="str">
        <f t="shared" si="1"/>
        <v/>
      </c>
      <c r="V50" s="67"/>
      <c r="W50" s="124">
        <f t="shared" si="7"/>
        <v>0</v>
      </c>
      <c r="X50" s="290">
        <v>0</v>
      </c>
      <c r="Y50" s="274">
        <f t="shared" si="2"/>
        <v>38</v>
      </c>
      <c r="Z50" s="128" t="s">
        <v>6</v>
      </c>
      <c r="AA50" s="309">
        <f t="shared" si="3"/>
        <v>0</v>
      </c>
      <c r="AB50" s="16">
        <f t="shared" si="4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8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5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6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9"/>
        <v>0</v>
      </c>
      <c r="T51" s="72">
        <f t="shared" si="0"/>
        <v>0</v>
      </c>
      <c r="U51" s="179" t="str">
        <f t="shared" si="1"/>
        <v/>
      </c>
      <c r="V51" s="67"/>
      <c r="W51" s="124">
        <f t="shared" si="7"/>
        <v>0</v>
      </c>
      <c r="X51" s="290">
        <v>0</v>
      </c>
      <c r="Y51" s="274">
        <f t="shared" si="2"/>
        <v>39</v>
      </c>
      <c r="Z51" s="128" t="s">
        <v>6</v>
      </c>
      <c r="AA51" s="309">
        <f t="shared" si="3"/>
        <v>0</v>
      </c>
      <c r="AB51" s="16">
        <f t="shared" si="4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8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5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6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9"/>
        <v>0</v>
      </c>
      <c r="T52" s="72">
        <f t="shared" si="0"/>
        <v>0</v>
      </c>
      <c r="U52" s="179" t="str">
        <f t="shared" si="1"/>
        <v/>
      </c>
      <c r="V52" s="67"/>
      <c r="W52" s="124">
        <f t="shared" si="7"/>
        <v>0</v>
      </c>
      <c r="X52" s="290">
        <v>0</v>
      </c>
      <c r="Y52" s="274">
        <f t="shared" si="2"/>
        <v>40</v>
      </c>
      <c r="Z52" s="128" t="s">
        <v>6</v>
      </c>
      <c r="AA52" s="309">
        <f t="shared" si="3"/>
        <v>0</v>
      </c>
      <c r="AB52" s="16">
        <f t="shared" si="4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8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5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3"/>
      <c r="G54" s="260"/>
      <c r="H54" s="310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3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3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4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900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8"/>
      <c r="N61" s="345"/>
      <c r="O61" s="255"/>
      <c r="P61" s="1"/>
      <c r="Q61" s="1"/>
      <c r="R61" s="78"/>
      <c r="S61" s="278" t="s">
        <v>37</v>
      </c>
      <c r="T61" s="75">
        <f>IF(T58="DOLLARS",(T59*T60),(T59*T60))</f>
        <v>270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5"/>
      <c r="P63" s="1"/>
      <c r="Q63" s="1"/>
      <c r="R63" s="78"/>
      <c r="S63" s="278" t="s">
        <v>451</v>
      </c>
      <c r="T63" s="76">
        <f>(T59-T61)+T62</f>
        <v>630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5"/>
      <c r="O64" s="255"/>
      <c r="P64" s="1"/>
      <c r="Q64" s="1"/>
      <c r="R64" s="347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5"/>
      <c r="P66" s="1"/>
      <c r="Q66" s="1"/>
      <c r="R66" s="45"/>
      <c r="S66" s="277" t="s">
        <v>155</v>
      </c>
      <c r="T66" s="107">
        <f>(T63+T64)-T65</f>
        <v>630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8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8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hyperlinks>
    <hyperlink ref="K10" r:id="rId1" display="CANWETOLERATEPEACE@HOTMAIL.COM " xr:uid="{5F44ED97-5BAB-4810-8C9C-C558048E4F44}"/>
    <hyperlink ref="K11" r:id="rId2" xr:uid="{81FE3B1A-1A4F-4F96-B8A8-F33D3190B1B8}"/>
  </hyperlinks>
  <pageMargins left="0.25" right="0.25" top="0.27" bottom="0.27" header="0.16" footer="0.17"/>
  <pageSetup scale="49" fitToHeight="0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5" t="s">
        <v>9</v>
      </c>
      <c r="J3" s="385"/>
      <c r="K3" s="385"/>
      <c r="L3" s="385"/>
      <c r="S3" s="34" t="s">
        <v>437</v>
      </c>
    </row>
    <row r="4" spans="2:28" ht="25.5">
      <c r="D4" s="130"/>
      <c r="E4" s="131"/>
      <c r="I4" s="385"/>
      <c r="J4" s="385"/>
      <c r="K4" s="385"/>
      <c r="L4" s="385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4" t="s">
        <v>72</v>
      </c>
      <c r="V7" s="147"/>
      <c r="W7" s="1">
        <v>1</v>
      </c>
      <c r="X7" s="7">
        <f>'CALCULATOR SHEET'!I13</f>
        <v>49.5</v>
      </c>
      <c r="Y7" s="7">
        <f>'CALCULATOR SHEET'!J13</f>
        <v>136</v>
      </c>
      <c r="Z7" s="7">
        <f>IF(X7=0,"",MATCH(CEILING(X7,6),$C$7:$R$7,0))</f>
        <v>6</v>
      </c>
      <c r="AA7" s="7" t="e">
        <f>IF(Y7=0,"",MATCH(CEILING(Y7,6),$B$10:$B$26,0))</f>
        <v>#N/A</v>
      </c>
      <c r="AB7" s="146" t="e">
        <f>IF(Z7="","",INDEX($C$10:$R$26,AA7,Z7))</f>
        <v>#N/A</v>
      </c>
    </row>
    <row r="8" spans="2:28" ht="15.75">
      <c r="U8" s="384"/>
      <c r="V8" s="147"/>
      <c r="W8" s="1">
        <f>+W7+1</f>
        <v>2</v>
      </c>
      <c r="X8" s="7">
        <f>'CALCULATOR SHEET'!I14</f>
        <v>48</v>
      </c>
      <c r="Y8" s="7">
        <f>'CALCULATOR SHEET'!J14</f>
        <v>136</v>
      </c>
      <c r="Z8" s="7">
        <f t="shared" ref="Z8:Z71" si="0">IF(X8=0,"",MATCH(CEILING(X8,6),$C$7:$R$7,0))</f>
        <v>5</v>
      </c>
      <c r="AA8" s="7" t="e">
        <f t="shared" ref="AA8:AA71" si="1">IF(Y8=0,"",MATCH(CEILING(Y8,6),$B$10:$B$26,0))</f>
        <v>#N/A</v>
      </c>
      <c r="AB8" s="146" t="e">
        <f t="shared" ref="AB8:AB71" si="2">IF(Z8="","",INDEX($C$10:$R$26,AA8,Z8))</f>
        <v>#N/A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54.125</v>
      </c>
      <c r="Y9" s="7">
        <f>'CALCULATOR SHEET'!J15</f>
        <v>136</v>
      </c>
      <c r="Z9" s="7">
        <f t="shared" si="0"/>
        <v>7</v>
      </c>
      <c r="AA9" s="7" t="e">
        <f t="shared" si="1"/>
        <v>#N/A</v>
      </c>
      <c r="AB9" s="146" t="e">
        <f t="shared" si="2"/>
        <v>#N/A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10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49.5</v>
      </c>
      <c r="X7" s="7">
        <f>'CALCULATOR SHEET'!J13</f>
        <v>136</v>
      </c>
      <c r="Y7" s="7">
        <f>IF(W7=0,"",MATCH(CEILING(W7,6),$C$7:$Q$7,0))</f>
        <v>6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>
      <c r="T8" s="384"/>
      <c r="V8" s="1">
        <f>+V7+1</f>
        <v>2</v>
      </c>
      <c r="W8" s="7">
        <f>'CALCULATOR SHEET'!I14</f>
        <v>48</v>
      </c>
      <c r="X8" s="7">
        <f>'CALCULATOR SHEET'!J14</f>
        <v>136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54.125</v>
      </c>
      <c r="X9" s="7">
        <f>'CALCULATOR SHEET'!J15</f>
        <v>136</v>
      </c>
      <c r="Y9" s="7">
        <f t="shared" si="1"/>
        <v>7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11</v>
      </c>
      <c r="J3" s="385"/>
      <c r="K3" s="385"/>
      <c r="L3" s="385"/>
      <c r="R3" s="34" t="s">
        <v>385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49.5</v>
      </c>
      <c r="X7" s="7">
        <f>'CALCULATOR SHEET'!J13</f>
        <v>136</v>
      </c>
      <c r="Y7" s="7">
        <f>IF(W7=0,"",MATCH(CEILING(W7,6),$C$7:$Q$7,0))</f>
        <v>6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4"/>
      <c r="V8" s="1">
        <f>+V7+1</f>
        <v>2</v>
      </c>
      <c r="W8" s="7">
        <f>'CALCULATOR SHEET'!I14</f>
        <v>48</v>
      </c>
      <c r="X8" s="7">
        <f>'CALCULATOR SHEET'!J14</f>
        <v>136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54.125</v>
      </c>
      <c r="X9" s="7">
        <f>'CALCULATOR SHEET'!J15</f>
        <v>136</v>
      </c>
      <c r="Y9" s="7">
        <f t="shared" si="1"/>
        <v>7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12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49.5</v>
      </c>
      <c r="X7" s="7">
        <f>'CALCULATOR SHEET'!J13</f>
        <v>136</v>
      </c>
      <c r="Y7" s="7">
        <f>IF(W7=0,"",MATCH(CEILING(W7,6),$C$7:$Q$7,0))</f>
        <v>6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4"/>
      <c r="V8" s="1">
        <f>+V7+1</f>
        <v>2</v>
      </c>
      <c r="W8" s="7">
        <f>'CALCULATOR SHEET'!I14</f>
        <v>48</v>
      </c>
      <c r="X8" s="7">
        <f>'CALCULATOR SHEET'!J14</f>
        <v>136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54.125</v>
      </c>
      <c r="X9" s="7">
        <f>'CALCULATOR SHEET'!J15</f>
        <v>136</v>
      </c>
      <c r="Y9" s="7">
        <f t="shared" si="1"/>
        <v>7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13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49.5</v>
      </c>
      <c r="X7" s="7">
        <f>'CALCULATOR SHEET'!J13</f>
        <v>136</v>
      </c>
      <c r="Y7" s="7">
        <f>IF(W7=0,"",MATCH(CEILING(W7,6),$C$7:$Q$7,0))</f>
        <v>6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4"/>
      <c r="V8" s="1">
        <f>+V7+1</f>
        <v>2</v>
      </c>
      <c r="W8" s="7">
        <f>'CALCULATOR SHEET'!I14</f>
        <v>48</v>
      </c>
      <c r="X8" s="7">
        <f>'CALCULATOR SHEET'!J14</f>
        <v>136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54.125</v>
      </c>
      <c r="X9" s="7">
        <f>'CALCULATOR SHEET'!J15</f>
        <v>136</v>
      </c>
      <c r="Y9" s="7">
        <f t="shared" si="1"/>
        <v>7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5" t="s">
        <v>295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49.5</v>
      </c>
      <c r="X7" s="7">
        <f>'CALCULATOR SHEET'!J13</f>
        <v>136</v>
      </c>
      <c r="Y7" s="7">
        <f>IF(W7=0,"",MATCH(CEILING(W7,6),$C$7:$Q$7,0))</f>
        <v>6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4"/>
      <c r="V8" s="1">
        <f>+V7+1</f>
        <v>2</v>
      </c>
      <c r="W8" s="7">
        <f>'CALCULATOR SHEET'!I14</f>
        <v>48</v>
      </c>
      <c r="X8" s="7">
        <f>'CALCULATOR SHEET'!J14</f>
        <v>136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54.125</v>
      </c>
      <c r="X9" s="7">
        <f>'CALCULATOR SHEET'!J15</f>
        <v>136</v>
      </c>
      <c r="Y9" s="7">
        <f t="shared" si="1"/>
        <v>7</v>
      </c>
      <c r="Z9" s="7" t="e">
        <f t="shared" si="2"/>
        <v>#N/A</v>
      </c>
      <c r="AA9" s="146" t="e">
        <f t="shared" si="3"/>
        <v>#N/A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6" t="s">
        <v>104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3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33" ht="15.75" thickBot="1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49.5</v>
      </c>
      <c r="Y5" s="7">
        <f>'PM-ORDER'!P5</f>
        <v>136</v>
      </c>
      <c r="Z5" s="7">
        <f>IF(X5&lt;&gt;"",MATCH(CEILING(X5,6),$C$4:$S$4,0),"")</f>
        <v>6</v>
      </c>
      <c r="AA5" s="7">
        <f>IF(X5&lt;&gt;"",MATCH(CEILING(Y5,6),$B$7:$B$26,0),"")</f>
        <v>20</v>
      </c>
      <c r="AB5" s="7"/>
      <c r="AC5" s="7" t="str">
        <f>IF('PM-ORDER'!G5="ROLLER",INDEX($C$7:$S$26,AA5,Z5),"")</f>
        <v>RL-MAN-BSGD</v>
      </c>
      <c r="AF5" s="7" t="str">
        <f>IF('PM-ORDER'!G5="ZEBRA",INDEX($C$35:$S$54,AA5,Z5),"")</f>
        <v/>
      </c>
      <c r="AG5" s="1" t="str">
        <f>CONCATENATE(AC5,AF5)</f>
        <v>RL-MAN-BSGD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48</v>
      </c>
      <c r="Y6" s="7">
        <f>'PM-ORDER'!P6</f>
        <v>136</v>
      </c>
      <c r="Z6" s="7">
        <f t="shared" ref="Z6:Z44" si="0">IF(X6&lt;&gt;"",MATCH(CEILING(X6,6),$C$4:$S$4,0),"")</f>
        <v>5</v>
      </c>
      <c r="AA6" s="7">
        <f t="shared" ref="AA6:AA44" si="1">IF(X6&lt;&gt;"",MATCH(CEILING(Y6,6),$B$7:$B$26,0),"")</f>
        <v>20</v>
      </c>
      <c r="AC6" s="7" t="str">
        <f>IF('PM-ORDER'!G6="ROLLER",INDEX($C$7:$S$26,AA6,Z6),"")</f>
        <v>RL-MAN-BSGD</v>
      </c>
      <c r="AF6" s="7" t="str">
        <f>IF('PM-ORDER'!G6="ZEBRA",INDEX($C$35:$S$54,AA6,Z6),"")</f>
        <v/>
      </c>
      <c r="AG6" s="1" t="str">
        <f t="shared" ref="AG6:AG44" si="2">CONCATENATE(AC6,AF6)</f>
        <v>RL-MAN-BSGD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54.125</v>
      </c>
      <c r="Y7" s="7">
        <f>'PM-ORDER'!P7</f>
        <v>136</v>
      </c>
      <c r="Z7" s="7">
        <f t="shared" si="0"/>
        <v>7</v>
      </c>
      <c r="AA7" s="7">
        <f t="shared" si="1"/>
        <v>20</v>
      </c>
      <c r="AC7" s="7" t="str">
        <f>IF('PM-ORDER'!G7="ROLLER",INDEX($C$7:$S$26,AA7,Z7),"")</f>
        <v>RL-MAN-BSGD</v>
      </c>
      <c r="AF7" s="7" t="str">
        <f>IF('PM-ORDER'!G7="ZEBRA",INDEX($C$35:$S$54,AA7,Z7),"")</f>
        <v/>
      </c>
      <c r="AG7" s="1" t="str">
        <f t="shared" si="2"/>
        <v>RL-MAN-BSGD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6" t="s">
        <v>93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4"/>
      <c r="T11" s="364"/>
      <c r="U11" s="364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4"/>
      <c r="T14" s="364"/>
      <c r="U14" s="364"/>
      <c r="W14" s="364"/>
      <c r="X14" s="364"/>
      <c r="Y14" s="364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4"/>
      <c r="T20" s="364"/>
      <c r="U20" s="364"/>
      <c r="W20" s="364"/>
      <c r="X20" s="364"/>
      <c r="Y20" s="364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0" t="s">
        <v>90</v>
      </c>
      <c r="I82" s="370"/>
      <c r="J82" s="370" t="s">
        <v>440</v>
      </c>
      <c r="K82" s="370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0" t="s">
        <v>88</v>
      </c>
      <c r="F84" s="370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1" t="s">
        <v>214</v>
      </c>
      <c r="V1" s="371"/>
      <c r="AG1" s="373" t="s">
        <v>218</v>
      </c>
      <c r="AH1" s="374"/>
      <c r="AI1" s="374"/>
      <c r="AJ1" s="374"/>
      <c r="AK1" s="374"/>
      <c r="AL1" s="374"/>
      <c r="AM1" s="374"/>
      <c r="AN1" s="374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45965</v>
      </c>
      <c r="H2" s="223"/>
      <c r="U2" s="371"/>
      <c r="V2" s="371"/>
      <c r="AG2" s="375"/>
      <c r="AH2" s="376"/>
      <c r="AI2" s="376"/>
      <c r="AJ2" s="376"/>
      <c r="AK2" s="376"/>
      <c r="AL2" s="376"/>
      <c r="AM2" s="376"/>
      <c r="AN2" s="376"/>
      <c r="AO2" s="294"/>
    </row>
    <row r="3" spans="2:41" ht="15" customHeight="1">
      <c r="C3" s="223" t="s">
        <v>160</v>
      </c>
      <c r="G3" s="226"/>
      <c r="I3" s="34">
        <v>0</v>
      </c>
      <c r="U3" s="372"/>
      <c r="V3" s="372"/>
      <c r="AG3" s="377"/>
      <c r="AH3" s="378"/>
      <c r="AI3" s="378"/>
      <c r="AJ3" s="378"/>
      <c r="AK3" s="378"/>
      <c r="AL3" s="378"/>
      <c r="AM3" s="378"/>
      <c r="AN3" s="378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251104 A </v>
      </c>
      <c r="D5" s="229">
        <f>IF('CALCULATOR SHEET'!D13&lt;&gt;"",'CALCULATOR SHEET'!$T$9,"")</f>
        <v>45965</v>
      </c>
      <c r="E5" s="230" t="str">
        <f>IF(D5&lt;&gt;"","BAJA SHADES","")</f>
        <v>BAJA SHADES</v>
      </c>
      <c r="F5" s="231" t="str">
        <f>IF(C5&lt;&gt;"",'CALCULATOR SHEET'!$D$9,"")</f>
        <v xml:space="preserve">MARLENE RESIDENCE </v>
      </c>
      <c r="G5" s="231" t="str">
        <f>IF('CALCULATOR SHEET'!D13&lt;&gt;"",'CALCULATOR SHEET'!D13,"")</f>
        <v>ROLLER</v>
      </c>
      <c r="H5" s="231" t="str">
        <f>IF(Q5="CCL",BOMS!AG5,"")</f>
        <v>RL-MAN-BSGD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 xml:space="preserve">SCREEN BEIGE 5 % </v>
      </c>
      <c r="M5" s="231">
        <f>IF(C5&lt;&gt;"",'CALCULATOR SHEET'!O13,"")</f>
        <v>0</v>
      </c>
      <c r="N5" s="231" t="str">
        <f>IF(C5&lt;&gt;"",'CALCULATOR SHEET'!H13,"")</f>
        <v xml:space="preserve">WINDOW A </v>
      </c>
      <c r="O5" s="233">
        <f>IF(D5&lt;&gt;"",'CALCULATOR SHEET'!I13,"")</f>
        <v>49.5</v>
      </c>
      <c r="P5" s="233">
        <f>IF(E5&lt;&gt;"",'CALCULATOR SHEET'!J13,"")</f>
        <v>136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EDIFICIO CORONA DEL MAR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251104 A </v>
      </c>
      <c r="D6" s="229">
        <f>IF('CALCULATOR SHEET'!D14&lt;&gt;"",'CALCULATOR SHEET'!$T$9,"")</f>
        <v>45965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MARLENE RESIDENCE </v>
      </c>
      <c r="G6" s="231" t="str">
        <f>IF('CALCULATOR SHEET'!D14&lt;&gt;"",'CALCULATOR SHEET'!D14,"")</f>
        <v>ROLLER</v>
      </c>
      <c r="H6" s="231" t="str">
        <f>IF(Q6="CCL",BOMS!AG6,"")</f>
        <v>RL-MAN-BSGD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 xml:space="preserve">SCREEN BEIGE 5 % </v>
      </c>
      <c r="M6" s="231">
        <f>IF(C6&lt;&gt;"",'CALCULATOR SHEET'!O14,"")</f>
        <v>0</v>
      </c>
      <c r="N6" s="231" t="str">
        <f>IF(C6&lt;&gt;"",'CALCULATOR SHEET'!H14,"")</f>
        <v xml:space="preserve">WINDOW B </v>
      </c>
      <c r="O6" s="233">
        <f>IF(D6&lt;&gt;"",'CALCULATOR SHEET'!I14,"")</f>
        <v>48</v>
      </c>
      <c r="P6" s="233">
        <f>IF(E6&lt;&gt;"",'CALCULATOR SHEET'!J14,"")</f>
        <v>136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EDIFICIO CORONA DEL MAR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251104 A </v>
      </c>
      <c r="D7" s="229">
        <f>IF('CALCULATOR SHEET'!D15&lt;&gt;"",'CALCULATOR SHEET'!$T$9,"")</f>
        <v>45965</v>
      </c>
      <c r="E7" s="230" t="str">
        <f t="shared" si="0"/>
        <v>BAJA SHADES</v>
      </c>
      <c r="F7" s="231" t="str">
        <f>IF(C7&lt;&gt;"",'CALCULATOR SHEET'!$D$9,"")</f>
        <v xml:space="preserve">MARLENE RESIDENCE </v>
      </c>
      <c r="G7" s="231" t="str">
        <f>IF('CALCULATOR SHEET'!D15&lt;&gt;"",'CALCULATOR SHEET'!D15,"")</f>
        <v>ROLLER</v>
      </c>
      <c r="H7" s="231" t="str">
        <f>IF(Q7="CCL",BOMS!AG7,"")</f>
        <v>RL-MAN-BSGD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 xml:space="preserve">SCREEN BEIGE 5 % </v>
      </c>
      <c r="M7" s="231">
        <f>IF(C7&lt;&gt;"",'CALCULATOR SHEET'!O15,"")</f>
        <v>0</v>
      </c>
      <c r="N7" s="231" t="str">
        <f>IF(C7&lt;&gt;"",'CALCULATOR SHEET'!H15,"")</f>
        <v xml:space="preserve">WINDOW C </v>
      </c>
      <c r="O7" s="233">
        <f>IF(D7&lt;&gt;"",'CALCULATOR SHEET'!I15,"")</f>
        <v>54.125</v>
      </c>
      <c r="P7" s="233">
        <f>IF(E7&lt;&gt;"",'CALCULATOR SHEET'!J15,"")</f>
        <v>136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R</v>
      </c>
      <c r="S7" s="230" t="str">
        <f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EDIFICIO CORONA DEL MAR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6"/>
      <c r="V8" s="246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9" t="s">
        <v>104</v>
      </c>
      <c r="D2" s="379"/>
      <c r="F2" s="379" t="s">
        <v>89</v>
      </c>
      <c r="G2" s="379"/>
      <c r="I2" s="379" t="s">
        <v>93</v>
      </c>
      <c r="J2" s="379"/>
    </row>
    <row r="3" spans="3:10">
      <c r="C3" s="379"/>
      <c r="D3" s="379"/>
      <c r="F3" s="379"/>
      <c r="G3" s="379"/>
      <c r="I3" s="379"/>
      <c r="J3" s="379"/>
    </row>
    <row r="4" spans="3:10">
      <c r="C4" s="379"/>
      <c r="D4" s="379"/>
      <c r="F4" s="379"/>
      <c r="G4" s="379"/>
      <c r="I4" s="379"/>
      <c r="J4" s="379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371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295</v>
      </c>
      <c r="J4" s="314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372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295</v>
      </c>
      <c r="J16" s="314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379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1" t="s">
        <v>60</v>
      </c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49.5</v>
      </c>
      <c r="AK7" s="36">
        <f>'CALCULATOR SHEET'!J13</f>
        <v>136</v>
      </c>
      <c r="AL7" s="36">
        <f>IF(AJ7=0,"",MATCH(CEILING(AJ7,6),$D$4:$Z$4,0))</f>
        <v>6</v>
      </c>
      <c r="AM7" s="36">
        <f>IF(AK7=0,"",MATCH(CEILING(AK7,6),$C$7:$C$28,0))</f>
        <v>20</v>
      </c>
      <c r="AN7" s="57">
        <f>IF(AL7="","",INDEX($D$7:$Z$28,AM7,AL7))</f>
        <v>234</v>
      </c>
      <c r="AO7" s="58"/>
      <c r="AP7" s="57">
        <f>IF(AJ7&gt;0,HLOOKUP(CEILING(AJ7,6),$D$30:$Z$31,2,0),"")</f>
        <v>65</v>
      </c>
      <c r="AQ7" s="57">
        <f>IF(AJ7&gt;0,HLOOKUP(CEILING(AJ7,6),$D$33:$Z$34,2,0),"")</f>
        <v>65</v>
      </c>
      <c r="AR7" s="59">
        <f>IF(AJ7&gt;0,HLOOKUP(CEILING(AJ7,6),$D$36:$Z$37,2,0))</f>
        <v>33</v>
      </c>
      <c r="AS7" s="57">
        <f>IF(AL7="","",INDEX($AX$6:$BT$27,AM7,AL7))</f>
        <v>601</v>
      </c>
      <c r="AT7" s="37">
        <f>IF(AK7&gt;0,VLOOKUP(CEILING(AK7,6),$AA$7:$AB$28,2,0),"")</f>
        <v>115</v>
      </c>
      <c r="AU7" s="109">
        <f>IF(AK7&gt;0,VLOOKUP(CEILING(AK7,6),$AA$7:$AC$28,3,0),"")</f>
        <v>15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48</v>
      </c>
      <c r="AK8" s="36">
        <f>'CALCULATOR SHEET'!J14</f>
        <v>136</v>
      </c>
      <c r="AL8" s="36">
        <f t="shared" ref="AL8:AL71" si="0">IF(AJ8=0,"",MATCH(CEILING(AJ8,6),$D$4:$Z$4,0))</f>
        <v>5</v>
      </c>
      <c r="AM8" s="36">
        <f t="shared" ref="AM8:AM71" si="1">IF(AK8=0,"",MATCH(CEILING(AK8,6),$C$7:$C$28,0))</f>
        <v>20</v>
      </c>
      <c r="AN8" s="57">
        <f t="shared" ref="AN8:AN71" si="2">IF(AL8="","",INDEX($D$7:$Z$28,AM8,AL8))</f>
        <v>219</v>
      </c>
      <c r="AO8" s="58"/>
      <c r="AP8" s="57">
        <f t="shared" ref="AP8:AP71" si="3">IF(AJ8&gt;0,HLOOKUP(CEILING(AJ8,6),$D$30:$Z$31,2,0),"")</f>
        <v>62</v>
      </c>
      <c r="AQ8" s="57">
        <f t="shared" ref="AQ8:AQ71" si="4">IF(AJ8&gt;0,HLOOKUP(CEILING(AJ8,6),$D$33:$Z$34,2,0),"")</f>
        <v>56</v>
      </c>
      <c r="AR8" s="59">
        <f t="shared" ref="AR8:AR71" si="5">IF(AJ8&gt;0,HLOOKUP(CEILING(AJ8,6),$D$36:$Z$37,2,0))</f>
        <v>30</v>
      </c>
      <c r="AS8" s="57">
        <f t="shared" ref="AS8:AS71" si="6">IF(AL8="","",INDEX($AX$6:$BT$27,AM8,AL8))</f>
        <v>601</v>
      </c>
      <c r="AT8" s="37">
        <f t="shared" ref="AT8:AT71" si="7">IF(AK8&gt;0,VLOOKUP(CEILING(AK8,6),$AA$7:$AB$28,2,0),"")</f>
        <v>115</v>
      </c>
      <c r="AU8" s="109">
        <f t="shared" ref="AU8:AU71" si="8">IF(AK8&gt;0,VLOOKUP(CEILING(AK8,6),$AA$7:$AC$28,3,0),"")</f>
        <v>15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54.125</v>
      </c>
      <c r="AK9" s="36">
        <f>'CALCULATOR SHEET'!J15</f>
        <v>136</v>
      </c>
      <c r="AL9" s="36">
        <f t="shared" si="0"/>
        <v>7</v>
      </c>
      <c r="AM9" s="36">
        <f t="shared" si="1"/>
        <v>20</v>
      </c>
      <c r="AN9" s="57">
        <f t="shared" si="2"/>
        <v>249</v>
      </c>
      <c r="AO9" s="58"/>
      <c r="AP9" s="57">
        <f t="shared" si="3"/>
        <v>68</v>
      </c>
      <c r="AQ9" s="57">
        <f t="shared" si="4"/>
        <v>70</v>
      </c>
      <c r="AR9" s="59">
        <f t="shared" si="5"/>
        <v>37</v>
      </c>
      <c r="AS9" s="57">
        <f t="shared" si="6"/>
        <v>601</v>
      </c>
      <c r="AT9" s="37">
        <f t="shared" si="7"/>
        <v>115</v>
      </c>
      <c r="AU9" s="109">
        <f t="shared" si="8"/>
        <v>15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49.5</v>
      </c>
      <c r="AK7" s="53">
        <f>'CALCULATOR SHEET'!J13</f>
        <v>136</v>
      </c>
      <c r="AL7" s="53">
        <f>IF(AJ7=0,"",MATCH(CEILING(AJ7,6),$D$4:$Z$4,0))</f>
        <v>6</v>
      </c>
      <c r="AM7" s="53">
        <f>IF(AK7=0,"",MATCH(CEILING(AK7,6),$C$7:$C$28,0))</f>
        <v>20</v>
      </c>
      <c r="AN7" s="54">
        <f>IF(AL7="","",INDEX($D$7:$Z$28,AM7,AL7))</f>
        <v>248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48</v>
      </c>
      <c r="AK8" s="53">
        <f>'CALCULATOR SHEET'!J14</f>
        <v>136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20</v>
      </c>
      <c r="AN8" s="54">
        <f t="shared" ref="AN8:AN71" si="2">IF(AL8="","",INDEX($D$7:$Z$28,AM8,AL8))</f>
        <v>231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54.125</v>
      </c>
      <c r="AK9" s="53">
        <f>'CALCULATOR SHEET'!J15</f>
        <v>136</v>
      </c>
      <c r="AL9" s="53">
        <f t="shared" si="0"/>
        <v>7</v>
      </c>
      <c r="AM9" s="53">
        <f t="shared" si="1"/>
        <v>20</v>
      </c>
      <c r="AN9" s="54">
        <f t="shared" si="2"/>
        <v>265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49.5</v>
      </c>
      <c r="AK7" s="53">
        <f>'CALCULATOR SHEET'!J13</f>
        <v>136</v>
      </c>
      <c r="AL7" s="53">
        <f t="shared" ref="AL7:AL70" si="0">IF(AJ7=0,"",MATCH(CEILING(AJ7,6),$D$4:$Z$4,0))</f>
        <v>6</v>
      </c>
      <c r="AM7" s="53">
        <f>IF(AK7=0,"",MATCH(CEILING(AK7,6),$C$7:$C$28,0))</f>
        <v>20</v>
      </c>
      <c r="AN7" s="54">
        <f t="shared" ref="AN7:AN70" si="1">IF(AL7="","",INDEX($D$7:$Z$28,AM7,AL7))</f>
        <v>280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48</v>
      </c>
      <c r="AK8" s="53">
        <f>'CALCULATOR SHEET'!J14</f>
        <v>136</v>
      </c>
      <c r="AL8" s="53">
        <f t="shared" si="0"/>
        <v>5</v>
      </c>
      <c r="AM8" s="53">
        <f t="shared" ref="AM8:AM71" si="2">IF(AK8=0,"",MATCH(CEILING(AK8,6),$C$7:$C$28,0))</f>
        <v>20</v>
      </c>
      <c r="AN8" s="54">
        <f t="shared" si="1"/>
        <v>260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54.125</v>
      </c>
      <c r="AK9" s="53">
        <f>'CALCULATOR SHEET'!J15</f>
        <v>136</v>
      </c>
      <c r="AL9" s="53">
        <f t="shared" si="0"/>
        <v>7</v>
      </c>
      <c r="AM9" s="53">
        <f t="shared" si="2"/>
        <v>20</v>
      </c>
      <c r="AN9" s="54">
        <f t="shared" si="1"/>
        <v>300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2025-07-16T23:47:30Z</cp:lastPrinted>
  <dcterms:created xsi:type="dcterms:W3CDTF">2016-09-27T19:33:28Z</dcterms:created>
  <dcterms:modified xsi:type="dcterms:W3CDTF">2025-11-05T00:04:25Z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