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nnise.flores\Desktop\TOSHIRO\"/>
    </mc:Choice>
  </mc:AlternateContent>
  <xr:revisionPtr revIDLastSave="0" documentId="13_ncr:1_{4B44D8CF-36DB-4B08-B006-C687C5CDCEFE}" xr6:coauthVersionLast="47" xr6:coauthVersionMax="47" xr10:uidLastSave="{00000000-0000-0000-0000-000000000000}"/>
  <bookViews>
    <workbookView xWindow="-12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46" l="1"/>
  <c r="G16" i="46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E7" i="59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D7" i="59"/>
  <c r="AA31" i="59" l="1"/>
  <c r="AA28" i="59"/>
  <c r="AA20" i="59"/>
  <c r="AA19" i="59"/>
  <c r="AA11" i="59"/>
  <c r="AA10" i="59"/>
  <c r="AA8" i="59"/>
  <c r="AA7" i="59"/>
  <c r="J70" i="23"/>
  <c r="J69" i="23"/>
  <c r="I70" i="23"/>
  <c r="I69" i="23"/>
  <c r="I68" i="23"/>
  <c r="J68" i="23" s="1"/>
  <c r="I67" i="23"/>
  <c r="J67" i="23" s="1"/>
  <c r="I66" i="23"/>
  <c r="J66" i="23" s="1"/>
  <c r="I65" i="23"/>
  <c r="J65" i="23" s="1"/>
  <c r="H70" i="23"/>
  <c r="H69" i="23"/>
  <c r="H68" i="23"/>
  <c r="H67" i="23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H54" i="23"/>
  <c r="I54" i="23" s="1"/>
  <c r="J54" i="23" s="1"/>
  <c r="K54" i="23" s="1"/>
  <c r="G54" i="23"/>
  <c r="G53" i="23"/>
  <c r="G52" i="23"/>
  <c r="G49" i="23"/>
  <c r="G48" i="23"/>
  <c r="G47" i="23"/>
  <c r="H49" i="23" s="1"/>
  <c r="I49" i="23" s="1"/>
  <c r="J49" i="23" s="1"/>
  <c r="K49" i="23" s="1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H33" i="23"/>
  <c r="I33" i="23" s="1"/>
  <c r="J33" i="23" s="1"/>
  <c r="K33" i="23" s="1"/>
  <c r="G33" i="23"/>
  <c r="G32" i="23"/>
  <c r="G31" i="23"/>
  <c r="G30" i="23"/>
  <c r="S65" i="49" l="1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D17" i="38" s="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AV13" i="38" s="1"/>
  <c r="N74" i="46"/>
  <c r="D55" i="46"/>
  <c r="G13" i="46"/>
  <c r="C63" i="46"/>
  <c r="C64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V15" i="38" s="1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A9" i="41"/>
  <c r="W9" i="41"/>
  <c r="Y9" i="41" s="1"/>
  <c r="V9" i="4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X9" i="41" l="1"/>
  <c r="AB9" i="41"/>
  <c r="AN31" i="37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F13" i="38" s="1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<sst xmlns="http://schemas.openxmlformats.org/spreadsheetml/2006/main" count="3316" uniqueCount="473">
  <si>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</si>
  <si>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</si>
  <si>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</si>
  <si>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</si>
  <si>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</si>
  <si>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</si>
  <si>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</si>
  <si>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</si>
  <si>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</si>
  <si>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</si>
  <si>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</si>
  <si>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</si>
  <si>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</si>
  <si>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</si>
  <si>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</si>
  <si>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</si>
  <si>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</si>
  <si>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</si>
  <si>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</si>
  <si>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</si>
  <si>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</si>
  <si>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</si>
  <si>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</si>
  <si>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</si>
  <si>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</si>
  <si>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</si>
  <si>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</si>
  <si>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</si>
  <si>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</si>
  <si>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</si>
  <si>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</si>
  <si>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</si>
  <si>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</si>
  <si>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</si>
  <si>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</si>
  <si>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</si>
  <si>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</si>
  <si>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</si>
  <si>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</si>
  <si>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</si>
  <si>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</si>
  <si>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</si>
  <si>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</si>
  <si>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</si>
  <si>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</si>
  <si>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</si>
  <si>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</si>
  <si>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</si>
  <si>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</si>
  <si>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</si>
  <si>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</si>
  <si>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</si>
  <si>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</si>
  <si>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</si>
  <si>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</si>
  <si>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</si>
  <si>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</si>
  <si>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</si>
  <si>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</si>
  <si>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</si>
  <si>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</si>
  <si>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</si>
  <si>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</si>
  <si>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</si>
  <si>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</si>
  <si>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</si>
  <si>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</si>
  <si>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</si>
  <si>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</si>
  <si>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</si>
  <si>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</si>
  <si>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</si>
  <si>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</si>
  <si>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</si>
  <si>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</si>
  <si>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</si>
  <si>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</si>
  <si>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</si>
  <si>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</si>
  <si>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</si>
  <si>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</si>
  <si>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</si>
  <si>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</si>
  <si>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</si>
  <si>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</si>
  <si>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</si>
  <si>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</si>
  <si>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</si>
  <si>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</si>
  <si>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</si>
  <si>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</si>
  <si>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</si>
  <si>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</si>
  <si>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</si>
  <si>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</si>
  <si>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</si>
  <si>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</si>
  <si>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</si>
  <si>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</si>
  <si>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</si>
  <si>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</si>
  <si>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</si>
  <si>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</si>
  <si>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</si>
  <si>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</si>
  <si>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</si>
  <si>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</si>
  <si>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</si>
  <si>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</si>
  <si>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</si>
  <si>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</si>
  <si>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</si>
  <si>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</si>
  <si>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</si>
  <si>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</si>
  <si>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</si>
  <si>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</si>
  <si>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</si>
  <si>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</si>
  <si>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</si>
  <si>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</si>
  <si>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</si>
  <si>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</si>
  <si>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</si>
  <si>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</si>
  <si>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</si>
  <si>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</si>
  <si>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</si>
  <si>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</si>
  <si>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</si>
  <si>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</si>
  <si>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</si>
  <si>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</si>
  <si>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</si>
  <si>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</si>
  <si>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</si>
  <si>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</si>
  <si>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</si>
  <si>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</si>
  <si>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</si>
  <si>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</si>
  <si>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</si>
  <si>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</si>
  <si>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</si>
  <si>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</si>
  <si>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</si>
  <si>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</si>
  <si>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</si>
  <si>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</si>
  <si>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</si>
  <si>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</si>
  <si>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</si>
  <si>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</si>
  <si>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</si>
  <si>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</si>
  <si>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</si>
  <si>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</si>
  <si>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</si>
  <si>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</si>
  <si>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</si>
  <si>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</si>
  <si>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</si>
  <si>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</si>
  <si>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</si>
  <si>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</si>
  <si>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</si>
  <si>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</si>
  <si>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</si>
  <si>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</si>
  <si>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</si>
  <si>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</si>
  <si>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</si>
  <si>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</si>
  <si>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</si>
  <si>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</si>
  <si>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</si>
  <si>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</si>
  <si>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</si>
  <si>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</si>
  <si>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</si>
  <si>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</si>
  <si>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</si>
  <si>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</si>
  <si>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</si>
  <si>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</si>
  <si>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</si>
  <si>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</si>
  <si>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</si>
  <si>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</si>
  <si>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</si>
  <si>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</si>
  <si>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</si>
  <si>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</si>
  <si>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</si>
  <si>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</si>
  <si>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</si>
  <si>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</si>
  <si>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</si>
  <si>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</si>
  <si>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</si>
  <si>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</si>
  <si>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</si>
  <si>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</si>
  <si>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</si>
  <si>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</si>
  <si>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</si>
  <si>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</si>
  <si>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</si>
  <si>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</si>
  <si>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</si>
  <si>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</si>
  <si>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</si>
  <si>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</si>
  <si>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</si>
  <si>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</si>
  <si>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</si>
  <si>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</si>
  <si>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</si>
  <si>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</si>
  <si>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</si>
  <si>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</si>
  <si>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</si>
  <si>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</si>
  <si>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</si>
  <si>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</si>
  <si>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</si>
  <si>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</si>
  <si>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</si>
  <si>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</si>
  <si>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</si>
  <si>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</si>
  <si>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</si>
  <si>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</si>
  <si>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</si>
  <si>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</si>
  <si>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</si>
  <si>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</si>
  <si>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</si>
  <si>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</si>
  <si>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</si>
  <si>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</si>
  <si>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</si>
  <si>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</si>
  <si>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</si>
  <si>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</si>
  <si>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</si>
  <si>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</si>
  <si>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</si>
  <si>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</si>
  <si>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</si>
  <si>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</si>
  <si>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</si>
  <si>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</si>
  <si>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</si>
  <si>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</si>
  <si>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</si>
  <si>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</si>
  <si>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</si>
  <si>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</si>
  <si>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</si>
  <si>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</si>
  <si>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</si>
  <si>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</si>
  <si>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</si>
  <si>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</si>
  <si>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</si>
  <si>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</si>
  <si>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</si>
  <si>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</si>
  <si>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</si>
  <si>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</si>
  <si>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</si>
  <si>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</si>
  <si>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</si>
  <si>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</si>
  <si>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</si>
  <si>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</si>
  <si>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</si>
  <si>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</si>
  <si>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</si>
  <si>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</si>
  <si>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</si>
  <si>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</si>
  <si>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</si>
  <si>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</si>
  <si>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</si>
  <si>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</si>
  <si>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</si>
  <si>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</si>
  <si>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</si>
  <si>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</si>
  <si>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</si>
  <si>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</si>
  <si>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</si>
  <si>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</si>
  <si>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</si>
  <si>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</si>
  <si>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</si>
  <si>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</si>
  <si>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</si>
  <si>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</si>
  <si>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</si>
  <si>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</si>
  <si>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</si>
  <si>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</si>
  <si>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</si>
  <si>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</si>
  <si>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</si>
  <si>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</si>
  <si>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</si>
  <si>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</si>
  <si>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</si>
  <si>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</si>
  <si>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</si>
  <si>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</si>
  <si>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</si>
  <si>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</si>
  <si>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</si>
  <si>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</si>
  <si>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</si>
  <si>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</si>
  <si>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</si>
  <si>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</si>
  <si>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</si>
  <si>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</si>
  <si>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</si>
  <si>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</si>
  <si>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</si>
  <si>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</si>
  <si>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</si>
  <si>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</si>
  <si>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</si>
  <si>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</si>
  <si>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</si>
  <si>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</si>
  <si>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</si>
  <si>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</si>
  <si>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</si>
  <si>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</si>
  <si>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</si>
  <si>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</si>
  <si>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</si>
  <si>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</si>
  <si>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</si>
  <si>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</si>
  <si>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</si>
  <si>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</si>
  <si>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</si>
  <si>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</si>
  <si>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</si>
  <si>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</si>
  <si>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</si>
  <si>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</si>
  <si>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</si>
  <si>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</si>
  <si>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</si>
  <si>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</si>
  <si>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</si>
  <si>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</si>
  <si>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</si>
  <si>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</si>
  <si>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</si>
  <si>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</si>
  <si>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</si>
  <si>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</si>
  <si>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</si>
  <si>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</si>
  <si>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</si>
  <si>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</si>
  <si>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</si>
  <si>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</si>
  <si>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</si>
  <si>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</si>
  <si>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</si>
  <si>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</si>
  <si>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</si>
  <si>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</si>
  <si>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</si>
  <si>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</si>
  <si>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</si>
  <si>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</si>
  <si>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</si>
  <si>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</si>
  <si>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</si>
  <si>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</si>
  <si>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</si>
  <si>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</si>
  <si>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</si>
  <si>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</si>
  <si>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</si>
  <si>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</si>
  <si>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</si>
  <si>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</si>
  <si>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</si>
  <si>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</si>
  <si>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</si>
  <si>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</si>
  <si>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</si>
  <si>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</si>
  <si>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</si>
  <si>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</si>
  <si>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</si>
  <si>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</si>
  <si>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</si>
  <si>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</si>
  <si>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</si>
  <si>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</si>
  <si>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</si>
  <si>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</si>
  <si>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</si>
  <si>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</si>
  <si>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</si>
  <si>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</si>
  <si>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</si>
  <si>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</si>
  <si>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</si>
  <si>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</si>
  <si>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</si>
  <si>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</si>
  <si>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</si>
  <si>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</si>
  <si>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</si>
  <si>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</si>
  <si>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</si>
  <si>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</si>
  <si>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</si>
  <si>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</si>
  <si>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</si>
  <si>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</si>
  <si>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</si>
  <si>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</si>
  <si>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</si>
  <si>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</si>
  <si>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</si>
  <si>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</si>
  <si>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</si>
  <si>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</si>
  <si>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</si>
  <si>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</si>
  <si>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</si>
  <si>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</si>
  <si>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</si>
  <si>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</si>
  <si>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</si>
  <si>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</si>
  <si>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</si>
  <si>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</si>
  <si>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</si>
  <si>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</si>
  <si>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</si>
  <si>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</si>
  <si>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</si>
  <si>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</si>
  <si>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</si>
  <si>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</si>
  <si>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</si>
  <si>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</si>
  <si>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</si>
  <si>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</si>
  <si>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</si>
  <si>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</si>
  <si>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DENNYS FLORES</t>
  </si>
  <si>
    <t>Playas de Rosarito, B.C.</t>
  </si>
  <si>
    <t xml:space="preserve">Playas de Rosarito, B.C. </t>
  </si>
  <si>
    <t>LOS PRECIOS NO INCLUYEN IVA</t>
  </si>
  <si>
    <t xml:space="preserve">SALA </t>
  </si>
  <si>
    <t>ESCALERA</t>
  </si>
  <si>
    <t>CUARTO</t>
  </si>
  <si>
    <t>PRIVADA SAN SEBASTIAN</t>
  </si>
  <si>
    <t>TOSHIRO</t>
  </si>
  <si>
    <t>BO TEXTURE GREY</t>
  </si>
  <si>
    <t>251105-Z</t>
  </si>
  <si>
    <t>FASCIAS DE ALUMINIO BLANCO PARA LAS 3 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</si>
</sst>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1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4" fillId="2" borderId="48" xfId="0" applyFont="1" applyFill="1" applyBorder="1" applyAlignment="1">
      <alignment horizontal="center"/>
    </xf>
    <xf numFmtId="0" fontId="3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348334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3" zoomScale="85" zoomScaleNormal="85" workbookViewId="0">
      <selection activeCell="M64" sqref="M64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42578125" style="7" customWidth="1"/>
    <col min="12" max="12" width="7.28515625" style="7" customWidth="1"/>
    <col min="13" max="13" width="11.710937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Fecha:</v>
      </c>
      <c r="I5" s="286">
        <f>'CALCULATOR SHEET'!T9</f>
        <v>45966</v>
      </c>
      <c r="J5" s="287"/>
      <c r="K5" s="287"/>
      <c r="L5" s="287"/>
      <c r="M5" s="288" t="str">
        <f>IF('CALCULATOR SHEET'!W2=1,"DOCUMENT #","DOCUMENTO #")</f>
        <v>DOCUMENTO #</v>
      </c>
      <c r="N5" s="366" t="str">
        <f>IF('CALCULATOR SHEET'!T5&lt;&gt;"",'CALCULATOR SHEET'!T5,"")</f>
        <v>251105-Z</v>
      </c>
      <c r="O5" s="366"/>
      <c r="P5" s="325" t="str">
        <f>'CALCULATOR SHEET'!T2</f>
        <v>REV.4.13 MAY1722</v>
      </c>
      <c r="Q5" s="193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>PRIVADA SAN SEBASTIAN</v>
      </c>
      <c r="J7" s="367" t="str">
        <f>IF('CALCULATOR SHEET'!H8&lt;&gt;"","Calle: "&amp;'CALCULATOR SHEET'!H10&amp;", Numero: "&amp;'CALCULATOR SHEET'!H11,"")</f>
        <v/>
      </c>
      <c r="K7" s="367"/>
      <c r="L7" s="367"/>
      <c r="N7" s="156" t="str">
        <f>IF('CALCULATOR SHEET'!P5&lt;&gt;"",'CALCULATOR SHEET'!P5,"")</f>
        <v/>
      </c>
      <c r="O7" s="156"/>
      <c r="P7" s="363" t="str">
        <f>IF('CALCULATOR SHEET'!P4&lt;&gt;"",'CALCULATOR SHEET'!P4,"")</f>
        <v/>
      </c>
      <c r="Q7" s="7"/>
    </row>
    <row r="8" spans="3:23" ht="18" thickTop="1" thickBot="1">
      <c r="C8" s="157" t="s">
        <v>136</v>
      </c>
      <c r="H8" s="9" t="str">
        <f>IF('CALCULATOR SHEET'!$W$2=1,GENERAL!Q12,GENERAL!Q18)</f>
        <v>PROYECTO</v>
      </c>
      <c r="J8" s="367" t="str">
        <f>IF('CALCULATOR SHEET'!H9&lt;&gt;"","Frac: "&amp;'CALCULATOR SHEET'!H9&amp;" - "&amp;'CALCULATOR SHEET'!H8,"")</f>
        <v/>
      </c>
      <c r="K8" s="367"/>
      <c r="L8" s="367"/>
      <c r="N8" s="9" t="str">
        <f>IF('CALCULATOR SHEET'!$W$2=1,GENERAL!W12,GENERAL!W18)</f>
        <v>TIPO DE PAGO</v>
      </c>
      <c r="O8" s="3"/>
      <c r="P8" s="9" t="str">
        <f>IF('CALCULATOR SHEET'!$W$2=1,GENERAL!Y12,GENERAL!Y18)</f>
        <v>FACTURA</v>
      </c>
      <c r="Q8" s="34"/>
    </row>
    <row r="9" spans="3:23" ht="17.25" thickTop="1">
      <c r="C9" s="157" t="s">
        <v>137</v>
      </c>
      <c r="J9" s="3" t="str">
        <f>IF('CALCULATOR SHEET'!$W$2=1,GENERAL!$S$12,GENERAL!$S$18)</f>
        <v>DIRECCION</v>
      </c>
    </row>
    <row r="10" spans="3:23" ht="20.100000000000001" customHeight="1" thickBot="1">
      <c r="C10" s="157" t="s">
        <v>463</v>
      </c>
      <c r="H10" s="156" t="str">
        <f>IF('CALCULATOR SHEET'!D10&lt;&gt;"",'CALCULATOR SHEET'!D10,"")</f>
        <v>TOSHIRO</v>
      </c>
      <c r="J10" s="367" t="str">
        <f>IF('CALCULATOR SHEET'!K11&lt;&gt;"",'CALCULATOR SHEET'!$K$11&amp;" Cell: "&amp;'CALCULATOR SHEET'!K10,"")</f>
        <v/>
      </c>
      <c r="K10" s="367"/>
      <c r="L10" s="367"/>
      <c r="N10" s="367" t="str">
        <f>IF('CALCULATOR SHEET'!S70&lt;&gt;"",'CALCULATOR SHEET'!S70,"")</f>
        <v>DENNYS FLORES</v>
      </c>
      <c r="O10" s="367"/>
      <c r="P10" s="367"/>
      <c r="Q10" s="12"/>
    </row>
    <row r="11" spans="3:23" ht="15.75" thickTop="1">
      <c r="C11" s="1"/>
      <c r="D11" s="12" t="s">
        <v>194</v>
      </c>
      <c r="G11" s="1" t="s">
        <v>193</v>
      </c>
      <c r="H11" s="9" t="str">
        <f>IF('CALCULATOR SHEET'!$W$2=1,GENERAL!Q15,GENERAL!Q21)</f>
        <v>CONTACTO</v>
      </c>
      <c r="J11" s="9" t="str">
        <f>IF('CALCULATOR SHEET'!$W$2=1,GENERAL!S15,GENERAL!S21)</f>
        <v>INFORMACION DE CONTACTO</v>
      </c>
      <c r="N11" s="9" t="str">
        <f>IF('CALCULATOR SHEET'!$W$2=1,GENERAL!W15,GENERAL!W21)</f>
        <v>VENDEDOR</v>
      </c>
      <c r="O11" s="9"/>
    </row>
    <row r="12" spans="3:23">
      <c r="G12" s="9"/>
      <c r="M12" s="34" t="s">
        <v>200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CANT.</v>
      </c>
      <c r="E13" s="158" t="str">
        <f>IF('CALCULATOR SHEET'!$W$2=1,GENERAL!S4,GENERAL!S6)</f>
        <v>PRODUCTO</v>
      </c>
      <c r="F13" s="158" t="str">
        <f>IF('CALCULATOR SHEET'!$W$2=1,GENERAL!T4,GENERAL!T6)</f>
        <v>GRUPO</v>
      </c>
      <c r="G13" s="158" t="str">
        <f>IF('CALCULATOR SHEET'!$W$2=1,GENERAL!U4,GENERAL!U6)</f>
        <v>TELA / COLOR</v>
      </c>
      <c r="H13" s="158" t="str">
        <f>IF('CALCULATOR SHEET'!$W$2=1,GENERAL!V4,GENERAL!V6)</f>
        <v>AREA</v>
      </c>
      <c r="I13" s="158" t="str">
        <f>IF('CALCULATOR SHEET'!$W$2=1,GENERAL!W4,GENERAL!W6)</f>
        <v>ANCHO</v>
      </c>
      <c r="J13" s="158" t="str">
        <f>IF('CALCULATOR SHEET'!$W$2=1,GENERAL!X4,GENERAL!X6)</f>
        <v>LARGO</v>
      </c>
      <c r="K13" s="158" t="str">
        <f>IF('CALCULATOR SHEET'!$W$2=1,GENERAL!Y4,GENERAL!Y6)</f>
        <v>TIPO CONTROL</v>
      </c>
      <c r="L13" s="158" t="str">
        <f>IF('CALCULATOR SHEET'!$W$2=1,GENERAL!Z4,GENERAL!Z6)</f>
        <v>LADO</v>
      </c>
      <c r="M13" s="158" t="str">
        <f>IF('CALCULATOR SHEET'!$W$2=1,GENERAL!AA4,GENERAL!AA6)</f>
        <v>CORNISA</v>
      </c>
      <c r="N13" s="158" t="str">
        <f>IF('CALCULATOR SHEET'!$W$2=1,GENERAL!AB4,GENERAL!AB6)</f>
        <v>PRECIO C/A</v>
      </c>
      <c r="O13" s="158"/>
      <c r="P13" s="158" t="str">
        <f>IF('CALCULATOR SHEET'!$W$2=1,GENERAL!AD4,GENERAL!AD6)</f>
        <v>SUB TOTAL</v>
      </c>
      <c r="Q13" s="34"/>
      <c r="R13" s="244" t="s">
        <v>143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69" t="str">
        <f>IF('CALCULATOR SHEET'!D13&lt;&gt;"",IF('CALCULATOR SHEET'!$W$2=1,'CALCULATOR SHEET'!D13,VLOOKUP('CALCULATOR SHEET'!D13,GENERAL!$J$6:$K$13,2,0)),"")</f>
        <v>ENROLLABLE</v>
      </c>
      <c r="F14" s="170" t="str">
        <f>IF('CALCULATOR SHEET'!E13&lt;&gt;"",'CALCULATOR SHEET'!E13,"")</f>
        <v>GROUP 4</v>
      </c>
      <c r="G14" s="169" t="str">
        <f>IF('CALCULATOR SHEET'!G13&lt;&gt;"",'CALCULATOR SHEET'!G13,"")</f>
        <v>BO TEXTURE GREY</v>
      </c>
      <c r="H14" s="169" t="str">
        <f>IF('CALCULATOR SHEET'!H13&lt;&gt;"",'CALCULATOR SHEET'!H13,"")</f>
        <v xml:space="preserve">SALA </v>
      </c>
      <c r="I14" s="171">
        <f>IF(E14&lt;&gt;"",'CALCULATOR SHEET'!I13,"")</f>
        <v>49.75</v>
      </c>
      <c r="J14" s="171">
        <f>IF(I14&lt;&gt;"",'CALCULATOR SHEET'!J13,"")</f>
        <v>47.5</v>
      </c>
      <c r="K14" s="169" t="str">
        <f>IF('CALCULATOR SHEET'!K13&lt;&gt;"",IF('CALCULATOR SHEET'!$W$2=1,'CALCULATOR SHEET'!K13,VLOOKUP('CALCULATOR SHEET'!K13,GENERAL!$H$6:$I$11,2,0)),"")</f>
        <v>CADENA DE METAL</v>
      </c>
      <c r="L14" s="169" t="str">
        <f>IF('CALCULATOR SHEET'!M13&lt;&gt;"",'CALCULATOR SHEET'!M13,"")</f>
        <v/>
      </c>
      <c r="M14" s="169" t="str">
        <f>IF(E14&lt;&gt;"",IF(OR('CALCULATOR SHEET'!P13&lt;&gt;"NO",'CALCULATOR SHEET'!Q13&lt;&gt;"NO"),"YES",""),"")</f>
        <v>YES</v>
      </c>
      <c r="N14" s="172">
        <f>IF(E14&lt;&gt;"",T14,"")</f>
        <v>200</v>
      </c>
      <c r="O14" s="164"/>
      <c r="P14" s="167">
        <f>IF(D14&lt;&gt;"",N14*D14,"")</f>
        <v>200</v>
      </c>
      <c r="Q14" s="194"/>
      <c r="R14" s="64" t="s">
        <v>199</v>
      </c>
      <c r="T14" s="160">
        <f>IF('CALCULATOR SHEET'!$T$58="PESOS",'CALCULATOR SHEET'!S13*'CALCULATOR SHEET'!$W$6,'CALCULATOR SHEET'!S13)</f>
        <v>200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69" t="str">
        <f>IF('CALCULATOR SHEET'!D14&lt;&gt;"",IF('CALCULATOR SHEET'!$W$2=1,'CALCULATOR SHEET'!D14,VLOOKUP('CALCULATOR SHEET'!D14,GENERAL!$J$6:$K$13,2,0)),"")</f>
        <v>ENROLLABLE</v>
      </c>
      <c r="F15" s="175" t="str">
        <f>IF('CALCULATOR SHEET'!E14&lt;&gt;"",'CALCULATOR SHEET'!E14,"")</f>
        <v>GROUP 4</v>
      </c>
      <c r="G15" s="174" t="str">
        <f>IF('CALCULATOR SHEET'!G14&lt;&gt;"",'CALCULATOR SHEET'!G14,"")</f>
        <v>BO TEXTURE GREY</v>
      </c>
      <c r="H15" s="174" t="str">
        <f>IF('CALCULATOR SHEET'!H14&lt;&gt;"",'CALCULATOR SHEET'!H14,"")</f>
        <v>ESCALERA</v>
      </c>
      <c r="I15" s="176">
        <f>IF(E15&lt;&gt;"",'CALCULATOR SHEET'!I14,"")</f>
        <v>34</v>
      </c>
      <c r="J15" s="176">
        <f>IF(I15&lt;&gt;"",'CALCULATOR SHEET'!J14,"")</f>
        <v>37.5</v>
      </c>
      <c r="K15" s="169" t="str">
        <f>IF('CALCULATOR SHEET'!K14&lt;&gt;"",IF('CALCULATOR SHEET'!$W$2=1,'CALCULATOR SHEET'!K14,VLOOKUP('CALCULATOR SHEET'!K14,GENERAL!$H$6:$I$11,2,0)),"")</f>
        <v>CADENA DE METAL</v>
      </c>
      <c r="L15" s="174" t="str">
        <f>IF('CALCULATOR SHEET'!M14&lt;&gt;"",'CALCULATOR SHEET'!M14,"")</f>
        <v/>
      </c>
      <c r="M15" s="174" t="str">
        <f>IF(E15&lt;&gt;"",IF(OR('CALCULATOR SHEET'!P14&lt;&gt;"NO",'CALCULATOR SHEET'!Q14&lt;&gt;"NO"),"YES",""),"")</f>
        <v>YES</v>
      </c>
      <c r="N15" s="177">
        <f>IF(E15&lt;&gt;"",T15,"")</f>
        <v>160</v>
      </c>
      <c r="O15" s="165"/>
      <c r="P15" s="166">
        <f>IF(D15&lt;&gt;"",N15*D15,"")</f>
        <v>160</v>
      </c>
      <c r="Q15" s="195"/>
      <c r="R15" s="64" t="s">
        <v>199</v>
      </c>
      <c r="T15" s="160">
        <f>IF('CALCULATOR SHEET'!$T$58="PESOS",'CALCULATOR SHEET'!S14*'CALCULATOR SHEET'!$W$6,'CALCULATOR SHEET'!S14)</f>
        <v>160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69" t="str">
        <f>IF('CALCULATOR SHEET'!D15&lt;&gt;"",IF('CALCULATOR SHEET'!$W$2=1,'CALCULATOR SHEET'!D15,VLOOKUP('CALCULATOR SHEET'!D15,GENERAL!$J$6:$K$13,2,0)),"")</f>
        <v>ENROLLABLE</v>
      </c>
      <c r="F16" s="175" t="str">
        <f>IF('CALCULATOR SHEET'!E15&lt;&gt;"",'CALCULATOR SHEET'!E15,"")</f>
        <v>GROUP 4</v>
      </c>
      <c r="G16" s="174" t="str">
        <f>IF('CALCULATOR SHEET'!G15&lt;&gt;"",'CALCULATOR SHEET'!G15,"")</f>
        <v>BO TEXTURE GREY</v>
      </c>
      <c r="H16" s="174" t="str">
        <f>IF('CALCULATOR SHEET'!H15&lt;&gt;"",'CALCULATOR SHEET'!H15,"")</f>
        <v>CUARTO</v>
      </c>
      <c r="I16" s="176">
        <f>IF(E16&lt;&gt;"",'CALCULATOR SHEET'!I15,"")</f>
        <v>77.625</v>
      </c>
      <c r="J16" s="176">
        <f>IF(I16&lt;&gt;"",'CALCULATOR SHEET'!J15,"")</f>
        <v>38.375</v>
      </c>
      <c r="K16" s="169" t="str">
        <f>IF('CALCULATOR SHEET'!K15&lt;&gt;"",IF('CALCULATOR SHEET'!$W$2=1,'CALCULATOR SHEET'!K15,VLOOKUP('CALCULATOR SHEET'!K15,GENERAL!$H$6:$I$11,2,0)),"")</f>
        <v>CADENA DE METAL</v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>YES</v>
      </c>
      <c r="N16" s="177">
        <f t="shared" ref="N16:N52" si="0">IF(E16&lt;&gt;"",T16,"")</f>
        <v>256</v>
      </c>
      <c r="O16" s="165"/>
      <c r="P16" s="166">
        <f t="shared" ref="P16:P53" si="1">IF(D16&lt;&gt;"",N16*D16,"")</f>
        <v>256</v>
      </c>
      <c r="Q16" s="195"/>
      <c r="R16" s="64" t="s">
        <v>199</v>
      </c>
      <c r="T16" s="160">
        <f>IF('CALCULATOR SHEET'!$T$58="PESOS",'CALCULATOR SHEET'!S15*'CALCULATOR SHEET'!$W$6,'CALCULATOR SHEET'!S15)</f>
        <v>256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69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4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5"/>
      <c r="R17" s="64" t="s">
        <v>199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69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4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199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144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CANT.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customHeight="1">
      <c r="C56" s="291" t="str">
        <f>IF('CALCULATOR SHEET'!B54&lt;&gt;"",'CALCULATOR SHEET'!B54,"")</f>
        <v/>
      </c>
      <c r="D56" s="67" t="str">
        <f>IF('CALCULATOR SHEET'!C54&lt;&gt;"",'CALCULATOR SHEET'!C54,"")</f>
        <v/>
      </c>
      <c r="E56" s="290" t="str">
        <f>IF('CALCULATOR SHEET'!E54&lt;&gt;"",'CALCULATOR SHEET'!E54,"")</f>
        <v>FASCIAS DE ALUMINIO BLANCO PARA LAS 3 ROLLER</v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INSTALACION INCLUIDA EN TODOS LOS PRODUCTOS</v>
      </c>
      <c r="N62" s="296"/>
      <c r="O62" s="296" t="str">
        <f>IF('CALCULATOR SHEET'!T59&lt;&gt;0,CLIENTE!X62,"")</f>
        <v>SUB TOTAL</v>
      </c>
      <c r="P62" s="297">
        <f>IF(O62&lt;&gt;"",SUM(P14:P53),"")</f>
        <v>616</v>
      </c>
      <c r="Q62" s="188"/>
      <c r="X62" s="163" t="str">
        <f>IF('CALCULATOR SHEET'!$W$2=1,GENERAL!Q35,GENERAL!S35)</f>
        <v>SUB TOTAL</v>
      </c>
      <c r="Y62" s="222">
        <f>P62</f>
        <v>616</v>
      </c>
    </row>
    <row r="63" spans="3:25" s="64" customFormat="1" ht="20.100000000000001" customHeight="1">
      <c r="C63" s="64" t="str">
        <f>IF('CALCULATOR SHEET'!$W$2=2,'CALCULATOR SHEET'!B90,'CALCULATOR SHEET'!B82)</f>
        <v>50% del gran total es requerido para comenzar la produccion</v>
      </c>
      <c r="O63" s="163" t="str">
        <f>IF('CALCULATOR SHEET'!T60&lt;&gt;0,CLIENTE!X63,"")</f>
        <v>DESCUENTO %</v>
      </c>
      <c r="P63" s="181">
        <f>IF(O63&lt;&gt;"",'CALCULATOR SHEET'!T60,"")</f>
        <v>0.2</v>
      </c>
      <c r="Q63" s="182"/>
      <c r="R63" s="179"/>
      <c r="S63" s="179"/>
      <c r="X63" s="163" t="str">
        <f>IF('CALCULATOR SHEET'!$W$2=1,GENERAL!Q36,GENERAL!S36)</f>
        <v>DESCUENTO %</v>
      </c>
      <c r="Y63" s="221">
        <f>IF(O63&lt;&gt;"",'CALCULATOR SHEET'!T60,0)</f>
        <v>0.2</v>
      </c>
    </row>
    <row r="64" spans="3:25" s="64" customFormat="1" ht="20.100000000000001" customHeight="1">
      <c r="C64" s="64" t="str">
        <f>IF('CALCULATOR SHEET'!$W$2=2,'CALCULATOR SHEET'!B91,'CALCULATOR SHEET'!B83)</f>
        <v>Entrega de producto terminado puede variar dependiendo del inventario disponible</v>
      </c>
      <c r="G64" s="17"/>
      <c r="O64" s="163" t="str">
        <f>IF(O63&lt;&gt;"",X64,"")</f>
        <v>TOTAL DESC.</v>
      </c>
      <c r="P64" s="187">
        <f>IF(P63&lt;&gt;"",'CALCULATOR SHEET'!T61,"")</f>
        <v>123.2</v>
      </c>
      <c r="Q64" s="187"/>
      <c r="R64" s="179"/>
      <c r="S64" s="179"/>
      <c r="X64" s="163" t="str">
        <f>IF('CALCULATOR SHEET'!$W$2=1,GENERAL!Q37,GENERAL!S37)</f>
        <v>TOTAL DESC.</v>
      </c>
      <c r="Y64" s="220">
        <f>IF(Y63&gt;0,'CALCULATOR SHEET'!T63,0)</f>
        <v>492.8</v>
      </c>
    </row>
    <row r="65" spans="3:25" s="64" customFormat="1" ht="20.100000000000001" customHeight="1">
      <c r="C65" s="64" t="str">
        <f>IF('CALCULATOR SHEET'!$W$2=2,'CALCULATOR SHEET'!B92,'CALCULATOR SHEET'!B84)</f>
        <v>En sistemas automatizados, la propiedad debe proveer las tomas electricas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DESC</v>
      </c>
      <c r="Y65" s="220">
        <f>IF(P64&lt;&gt;"",'CALCULATOR SHEET'!T63,0)</f>
        <v>492.8</v>
      </c>
    </row>
    <row r="66" spans="3:25" s="64" customFormat="1" ht="20.100000000000001" customHeight="1">
      <c r="C66" s="64" t="str">
        <f>IF('CALCULATOR SHEET'!$W$2=2,'CALCULATOR SHEET'!B93,'CALCULATOR SHEET'!B85)</f>
        <v>Para instalar, la propiedad debe de estar lista para instalacion o puede que existan cargos adicionales</v>
      </c>
      <c r="O66" s="163" t="str">
        <f>IF(Y63&gt;0,X65,"")</f>
        <v>TOTAL INC. DESC</v>
      </c>
      <c r="P66" s="351">
        <f>IF(Y65=0,"",Y65)</f>
        <v>492.8</v>
      </c>
      <c r="Q66" s="196"/>
      <c r="R66" s="180"/>
      <c r="S66" s="180"/>
      <c r="X66" s="163" t="str">
        <f>IF('CALCULATOR SHEET'!$W$2=1,GENERAL!Q39,GENERAL!S39)</f>
        <v>SERVICIOS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En integracion a sistemas inteligentes, un tecnico debe de evaluar las condiciones para asegurar un correcto funcionamiento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IVA 16%</v>
      </c>
      <c r="Y67" s="220">
        <f>IF('CALCULATOR SHEET'!T64&lt;&gt;0,'CALCULATOR SHEET'!T64,0)</f>
        <v>0</v>
      </c>
    </row>
    <row r="68" spans="3:25" s="64" customFormat="1" ht="20.100000000000001" customHeight="1">
      <c r="C68" s="240" t="s">
        <v>139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DEPOSITO</v>
      </c>
      <c r="Y68" s="220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Expertos en: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 TOTAL=</v>
      </c>
      <c r="Y69" s="222">
        <f>'CALCULATOR SHEET'!T66</f>
        <v>492.8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M70" s="1"/>
      <c r="O70" s="163" t="str">
        <f>X69</f>
        <v>GRAN TOTAL=</v>
      </c>
      <c r="P70" s="350">
        <f>Y69</f>
        <v>492.8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M71" s="364" t="s">
        <v>464</v>
      </c>
      <c r="N71" s="364"/>
      <c r="O71" s="365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Cotizado por:</v>
      </c>
      <c r="P74" s="163" t="str">
        <f>IF('CALCULATOR SHEET'!S70="","",'CALCULATOR SHEET'!S70)</f>
        <v>DENNYS FLORES</v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307</v>
      </c>
    </row>
    <row r="106" spans="3:3" ht="24.95" customHeight="1">
      <c r="C106" s="12" t="s">
        <v>304</v>
      </c>
    </row>
    <row r="107" spans="3:3" ht="24.95" customHeight="1">
      <c r="C107" s="12" t="s">
        <v>305</v>
      </c>
    </row>
    <row r="108" spans="3:3" ht="24.95" customHeight="1">
      <c r="C108" s="12" t="s">
        <v>306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432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49.75</v>
      </c>
      <c r="AK7" s="53">
        <f>'CALCULATOR SHEET'!J13</f>
        <v>47.5</v>
      </c>
      <c r="AL7" s="53">
        <f>IF(AJ7=0,"",MATCH(CEILING(AJ7,6),$D$4:$Z$4,0))</f>
        <v>6</v>
      </c>
      <c r="AM7" s="53">
        <f>IF(AK7=0,"",MATCH(CEILING(AK7,6),$C$7:$C$28,0))</f>
        <v>5</v>
      </c>
      <c r="AN7" s="54">
        <f>IF(AL7="","",INDEX($D$7:$Z$28,AM7,AL7))</f>
        <v>128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34</v>
      </c>
      <c r="AK8" s="53">
        <f>'CALCULATOR SHEET'!J14</f>
        <v>37.5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4</v>
      </c>
      <c r="AN8" s="54">
        <f t="shared" ref="AN8:AN71" si="2">IF(AL8="","",INDEX($D$7:$Z$28,AM8,AL8))</f>
        <v>96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77.625</v>
      </c>
      <c r="AK9" s="53">
        <f>'CALCULATOR SHEET'!J15</f>
        <v>38.375</v>
      </c>
      <c r="AL9" s="53">
        <f t="shared" si="0"/>
        <v>10</v>
      </c>
      <c r="AM9" s="53">
        <f t="shared" si="1"/>
        <v>4</v>
      </c>
      <c r="AN9" s="54">
        <f t="shared" si="2"/>
        <v>172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L2" s="92" t="s">
        <v>429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49.75</v>
      </c>
      <c r="AK7" s="53">
        <f>'CALCULATOR SHEET'!J13</f>
        <v>47.5</v>
      </c>
      <c r="AL7" s="53">
        <f t="shared" ref="AL7:AL70" si="0">IF(AJ7=0,"",MATCH(CEILING(AJ7,6),$D$4:$Z$4,0))</f>
        <v>6</v>
      </c>
      <c r="AM7" s="53">
        <f>IF(AK7=0,"",MATCH(CEILING(AK7,6),$C$7:$C$28,0))</f>
        <v>5</v>
      </c>
      <c r="AN7" s="54">
        <f t="shared" ref="AN7:AN70" si="1">IF(AL7="","",INDEX($D$7:$Z$28,AM7,AL7))</f>
        <v>149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34</v>
      </c>
      <c r="AK8" s="53">
        <f>'CALCULATOR SHEET'!J14</f>
        <v>37.5</v>
      </c>
      <c r="AL8" s="53">
        <f t="shared" si="0"/>
        <v>3</v>
      </c>
      <c r="AM8" s="53">
        <f t="shared" ref="AM8:AM71" si="2">IF(AK8=0,"",MATCH(CEILING(AK8,6),$C$7:$C$28,0))</f>
        <v>4</v>
      </c>
      <c r="AN8" s="54">
        <f t="shared" si="1"/>
        <v>108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77.625</v>
      </c>
      <c r="AK9" s="53">
        <f>'CALCULATOR SHEET'!J15</f>
        <v>38.375</v>
      </c>
      <c r="AL9" s="53">
        <f t="shared" si="0"/>
        <v>10</v>
      </c>
      <c r="AM9" s="53">
        <f t="shared" si="2"/>
        <v>4</v>
      </c>
      <c r="AN9" s="54">
        <f t="shared" si="1"/>
        <v>199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402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K2" s="92"/>
      <c r="M2" s="317" t="s">
        <v>382</v>
      </c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1" t="s">
        <v>346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339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49.75</v>
      </c>
      <c r="AK7" s="53">
        <f>'CALCULATOR SHEET'!J13</f>
        <v>47.5</v>
      </c>
      <c r="AL7" s="53">
        <f>IF(AJ7=0,"",MATCH(CEILING(AJ7,6),$D$4:$Z$4,0))</f>
        <v>6</v>
      </c>
      <c r="AM7" s="53">
        <f>IF(AK7=0,"",MATCH(CEILING(AK7,6),$C$7:$C$28,0))</f>
        <v>5</v>
      </c>
      <c r="AN7" s="54">
        <f>IF(AL7="","",INDEX($D$7:$Z$28,AM7,AL7))</f>
        <v>152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34</v>
      </c>
      <c r="AK8" s="53">
        <f>'CALCULATOR SHEET'!J14</f>
        <v>37.5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4</v>
      </c>
      <c r="AN8" s="54">
        <f t="shared" ref="AN8:AN71" si="2">IF(AL8="","",INDEX($D$7:$Z$28,AM8,AL8))</f>
        <v>110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77.625</v>
      </c>
      <c r="AK9" s="53">
        <f>'CALCULATOR SHEET'!J15</f>
        <v>38.375</v>
      </c>
      <c r="AL9" s="53">
        <f t="shared" si="0"/>
        <v>10</v>
      </c>
      <c r="AM9" s="53">
        <f t="shared" si="1"/>
        <v>4</v>
      </c>
      <c r="AN9" s="54">
        <f t="shared" si="2"/>
        <v>203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J2" s="92" t="s">
        <v>430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49.75</v>
      </c>
      <c r="AK7" s="53">
        <f>'CALCULATOR SHEET'!J13</f>
        <v>47.5</v>
      </c>
      <c r="AL7" s="53">
        <f>IF(AJ7=0,"",MATCH(CEILING(AJ7,6),$D$4:$Z$4,0))</f>
        <v>6</v>
      </c>
      <c r="AM7" s="53">
        <f>IF(AK7=0,"",MATCH(CEILING(AK7,6),$C$7:$C$28,0))</f>
        <v>5</v>
      </c>
      <c r="AN7" s="54">
        <f>IF(AL7="","",INDEX($D$7:$Z$28,AM7,AL7))</f>
        <v>176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34</v>
      </c>
      <c r="AK8" s="53">
        <f>'CALCULATOR SHEET'!J14</f>
        <v>37.5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4</v>
      </c>
      <c r="AN8" s="54">
        <f t="shared" ref="AN8:AN71" si="2">IF(AL8="","",INDEX($D$7:$Z$28,AM8,AL8))</f>
        <v>125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77.625</v>
      </c>
      <c r="AK9" s="53">
        <f>'CALCULATOR SHEET'!J15</f>
        <v>38.375</v>
      </c>
      <c r="AL9" s="53">
        <f t="shared" si="0"/>
        <v>10</v>
      </c>
      <c r="AM9" s="53">
        <f t="shared" si="1"/>
        <v>4</v>
      </c>
      <c r="AN9" s="54">
        <f t="shared" si="2"/>
        <v>235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2" s="1" customFormat="1" ht="18" customHeight="1">
      <c r="E2" s="20"/>
      <c r="L2" s="92" t="s">
        <v>383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344</v>
      </c>
    </row>
    <row r="4" spans="1:42" ht="24.95" customHeight="1" thickBot="1">
      <c r="C4" s="6" t="s">
        <v>400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400</v>
      </c>
      <c r="AC4" s="3"/>
      <c r="AE4" s="3"/>
      <c r="AH4" t="s">
        <v>337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128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49.75</v>
      </c>
      <c r="AK7" s="53">
        <f>'CALCULATOR SHEET'!J13</f>
        <v>47.5</v>
      </c>
      <c r="AL7" s="53">
        <f>IF(AJ7=0,"",MATCH(CEILING(AJ7,6),$D$4:$Z$4,0))</f>
        <v>6</v>
      </c>
      <c r="AM7" s="53">
        <f>IF(AK7=0,"",MATCH(CEILING(AK7,6),$C$7:$C$28,0))</f>
        <v>5</v>
      </c>
      <c r="AN7" s="54">
        <f>IF(AL7="","",INDEX($D$7:$Z$28,AM7,AL7))</f>
        <v>198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34</v>
      </c>
      <c r="AK8" s="53">
        <f>'CALCULATOR SHEET'!J14</f>
        <v>37.5</v>
      </c>
      <c r="AL8" s="53">
        <f t="shared" ref="AL8:AL71" si="1">IF(AJ8=0,"",MATCH(CEILING(AJ8,6),$D$4:$Z$4,0))</f>
        <v>3</v>
      </c>
      <c r="AM8" s="53">
        <f t="shared" ref="AM8:AM71" si="2">IF(AK8=0,"",MATCH(CEILING(AK8,6),$C$7:$C$28,0))</f>
        <v>4</v>
      </c>
      <c r="AN8" s="54">
        <f t="shared" ref="AN8:AN71" si="3">IF(AL8="","",INDEX($D$7:$Z$28,AM8,AL8))</f>
        <v>138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77.625</v>
      </c>
      <c r="AK9" s="53">
        <f>'CALCULATOR SHEET'!J15</f>
        <v>38.375</v>
      </c>
      <c r="AL9" s="53">
        <f>IF(AJ9=0,"",MATCH(CEILING(AJ9,6),$D$4:$Z$4,0))</f>
        <v>10</v>
      </c>
      <c r="AM9" s="53">
        <f t="shared" si="2"/>
        <v>4</v>
      </c>
      <c r="AN9" s="54">
        <f t="shared" si="3"/>
        <v>264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5" t="s">
        <v>297</v>
      </c>
      <c r="N1" s="385"/>
      <c r="O1" s="385"/>
      <c r="P1" s="385"/>
      <c r="Q1" s="385"/>
      <c r="R1" s="385"/>
      <c r="S1" s="385"/>
      <c r="T1" s="385"/>
      <c r="W1" s="24" t="s">
        <v>4</v>
      </c>
      <c r="X1" s="383">
        <v>44656</v>
      </c>
      <c r="Y1" s="383"/>
      <c r="AF1" s="8"/>
      <c r="AG1" s="8"/>
    </row>
    <row r="2" spans="1:93" s="1" customFormat="1" ht="18" customHeight="1">
      <c r="E2" s="20"/>
      <c r="M2" s="385"/>
      <c r="N2" s="385"/>
      <c r="O2" s="385"/>
      <c r="P2" s="385"/>
      <c r="Q2" s="385"/>
      <c r="R2" s="385"/>
      <c r="S2" s="385"/>
      <c r="T2" s="385"/>
      <c r="W2" s="25"/>
      <c r="AF2" s="8"/>
      <c r="AG2" s="8"/>
    </row>
    <row r="3" spans="1:93" s="1" customFormat="1" ht="18" customHeight="1" thickBot="1">
      <c r="E3" s="15"/>
      <c r="M3" s="386"/>
      <c r="N3" s="386"/>
      <c r="O3" s="386"/>
      <c r="P3" s="386"/>
      <c r="Q3" s="386"/>
      <c r="R3" s="386"/>
      <c r="S3" s="386"/>
      <c r="T3" s="386"/>
      <c r="AF3" s="8"/>
      <c r="AG3" s="8"/>
    </row>
    <row r="4" spans="1:9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49.75</v>
      </c>
      <c r="AK7" s="53">
        <f>'CALCULATOR SHEET'!J13</f>
        <v>47.5</v>
      </c>
      <c r="AL7" s="53">
        <f>IF(AJ7=0,"",MATCH(CEILING(AJ7,6),$D$4:$Z$4,0))</f>
        <v>6</v>
      </c>
      <c r="AM7" s="53">
        <f>IF(AK7=0,"",MATCH(CEILING(AK7,6),$C$7:$C$28,0))</f>
        <v>5</v>
      </c>
      <c r="AN7" s="54">
        <f>IF(AL7="","",INDEX($D$7:$Z$28,AM7,AL7))</f>
        <v>245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34</v>
      </c>
      <c r="AK8" s="53">
        <f>'CALCULATOR SHEET'!J14</f>
        <v>37.5</v>
      </c>
      <c r="AL8" s="53">
        <f t="shared" ref="AL8:AL71" si="17">IF(AJ8=0,"",MATCH(CEILING(AJ8,6),$D$4:$Z$4,0))</f>
        <v>3</v>
      </c>
      <c r="AM8" s="53">
        <f t="shared" ref="AM8:AM71" si="18">IF(AK8=0,"",MATCH(CEILING(AK8,6),$C$7:$C$28,0))</f>
        <v>4</v>
      </c>
      <c r="AN8" s="54">
        <f t="shared" ref="AN8:AN71" si="19">IF(AL8="","",INDEX($D$7:$Z$28,AM8,AL8))</f>
        <v>169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77.625</v>
      </c>
      <c r="AK9" s="53">
        <f>'CALCULATOR SHEET'!J15</f>
        <v>38.375</v>
      </c>
      <c r="AL9" s="53">
        <f t="shared" si="17"/>
        <v>10</v>
      </c>
      <c r="AM9" s="53">
        <f t="shared" si="18"/>
        <v>4</v>
      </c>
      <c r="AN9" s="54">
        <f t="shared" si="19"/>
        <v>305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223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377</v>
      </c>
      <c r="W6" s="34" t="s">
        <v>375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215</v>
      </c>
      <c r="AF6" s="34" t="s">
        <v>281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7" t="s">
        <v>215</v>
      </c>
      <c r="V7" s="147"/>
      <c r="W7" s="147" t="str">
        <f>'CALCULATOR SHEET'!E13</f>
        <v>GROUP 4</v>
      </c>
      <c r="X7" s="1">
        <v>1</v>
      </c>
      <c r="Y7" s="7">
        <f>'CALCULATOR SHEET'!I13</f>
        <v>49.75</v>
      </c>
      <c r="Z7" s="7">
        <f>'CALCULATOR SHEET'!J13</f>
        <v>47.5</v>
      </c>
      <c r="AA7" s="7">
        <f>IF(Y7=0,"",MATCH(CEILING(Y7,6),$C$7:$R$7,0))</f>
        <v>5</v>
      </c>
      <c r="AB7" s="7">
        <f>IF(Z7=0,"",MATCH(CEILING(Z7,6),$B$10:$B$26,0))</f>
        <v>3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203</v>
      </c>
      <c r="AF7" s="13">
        <f>IF(Y7&gt;0,HLOOKUP(AA7,$C$29:$R$30,2,FALSE),"")</f>
        <v>0</v>
      </c>
    </row>
    <row r="8" spans="2:32" ht="15.75">
      <c r="U8" s="387"/>
      <c r="V8" s="147"/>
      <c r="W8" s="147" t="str">
        <f>'CALCULATOR SHEET'!E14</f>
        <v>GROUP 4</v>
      </c>
      <c r="X8" s="1">
        <f>+X7+1</f>
        <v>2</v>
      </c>
      <c r="Y8" s="7">
        <f>'CALCULATOR SHEET'!I14</f>
        <v>34</v>
      </c>
      <c r="Z8" s="7">
        <f>'CALCULATOR SHEET'!J14</f>
        <v>37.5</v>
      </c>
      <c r="AA8" s="7">
        <f t="shared" ref="AA8:AA28" si="1">IF(Y8=0,"",MATCH(CEILING(Y8,6),$C$7:$R$7,0))</f>
        <v>2</v>
      </c>
      <c r="AB8" s="7">
        <f t="shared" ref="AB8:AB28" si="2">IF(Z8=0,"",MATCH(CEILING(Z8,6),$B$10:$B$26,0))</f>
        <v>2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201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4</v>
      </c>
      <c r="X9" s="1">
        <f t="shared" ref="X9:X28" si="6">+X8+1</f>
        <v>3</v>
      </c>
      <c r="Y9" s="7">
        <f>'CALCULATOR SHEET'!I15</f>
        <v>77.625</v>
      </c>
      <c r="Z9" s="7">
        <f>'CALCULATOR SHEET'!J15</f>
        <v>38.375</v>
      </c>
      <c r="AA9" s="7">
        <f t="shared" si="1"/>
        <v>9</v>
      </c>
      <c r="AB9" s="7">
        <f t="shared" si="2"/>
        <v>2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201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279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376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94.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 t="str">
        <f>'CALCULATOR SHEET'!E54</f>
        <v>FASCIAS DE ALUMINIO BLANCO PARA LAS 3 ROLLER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398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49.75</v>
      </c>
      <c r="W7" s="7">
        <f>'CALCULATOR SHEET'!J13</f>
        <v>47.5</v>
      </c>
      <c r="X7" s="7">
        <f>IF(V7=0,"",MATCH(CEILING(V7,6),$C$8:$Q$8,0))</f>
        <v>6</v>
      </c>
      <c r="Y7" s="7">
        <f>IF(W7=0,"",MATCH(CEILING(W7,6),$B$10:$B$26,0))</f>
        <v>5</v>
      </c>
      <c r="Z7" s="146">
        <f>IF(X7="","",INDEX($C$12:$Q$26,Y7,X7))</f>
        <v>225</v>
      </c>
      <c r="AA7" s="13" t="str">
        <f>IF(AND('CALCULATOR SHEET'!P13="YES",'CALCULATOR SHEET'!Q13="YES"),HLOOKUP(CEILING(V7,6),$C$30:$Q$32,3,FALSE),"")</f>
        <v/>
      </c>
      <c r="AB7" s="13">
        <f>IF(AND('CALCULATOR SHEET'!P13="YES",'CALCULATOR SHEET'!Q13="NO"),HLOOKUP(CEILING(V7,6),$C$30:$Q$35,6,FALSE),"")</f>
        <v>57.5</v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34</v>
      </c>
      <c r="W8" s="7">
        <f>'CALCULATOR SHEET'!J14</f>
        <v>37.5</v>
      </c>
      <c r="X8" s="7">
        <f t="shared" ref="X8:X73" si="0">IF(V8=0,"",MATCH(CEILING(V8,6),$C$8:$Q$8,0))</f>
        <v>3</v>
      </c>
      <c r="Y8" s="7">
        <f t="shared" ref="Y8:Y71" si="1">IF(W8=0,"",MATCH(CEILING(W8,6),$B$10:$B$26,0))</f>
        <v>4</v>
      </c>
      <c r="Z8" s="146">
        <f>IF(X8="","",INDEX($C$12:$Q$26,Y8,X8))</f>
        <v>157</v>
      </c>
      <c r="AA8" s="13" t="str">
        <f>IF(AND('CALCULATOR SHEET'!P14="YES",'CALCULATOR SHEET'!Q14="YES"),HLOOKUP(CEILING(V8,6),$C$30:$Q$32,3,FALSE),"")</f>
        <v/>
      </c>
      <c r="AB8" s="13">
        <f>IF(AND('CALCULATOR SHEET'!P14="YES",'CALCULATOR SHEET'!Q14="NO"),HLOOKUP(CEILING(V8,6),$C$30:$Q$35,6,FALSE),"")</f>
        <v>40.5</v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77.625</v>
      </c>
      <c r="W9" s="7">
        <f>'CALCULATOR SHEET'!J15</f>
        <v>38.375</v>
      </c>
      <c r="X9" s="7">
        <f t="shared" si="0"/>
        <v>10</v>
      </c>
      <c r="Y9" s="7">
        <f t="shared" si="1"/>
        <v>4</v>
      </c>
      <c r="Z9" s="146">
        <f>IF(X9="","",INDEX($C$12:$Q$26,Y9,X9))</f>
        <v>307</v>
      </c>
      <c r="AA9" s="13" t="str">
        <f>IF(AND('CALCULATOR SHEET'!P15="YES",'CALCULATOR SHEET'!Q15="YES"),HLOOKUP(CEILING(V9,6),$C$30:$Q$32,3,FALSE),"")</f>
        <v/>
      </c>
      <c r="AB9" s="13">
        <f>IF(AND('CALCULATOR SHEET'!P15="YES",'CALCULATOR SHEET'!Q15="NO"),HLOOKUP(CEILING(V9,6),$C$30:$Q$35,6,FALSE),"")</f>
        <v>80</v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8" t="s">
        <v>14</v>
      </c>
      <c r="J3" s="388"/>
      <c r="K3" s="388"/>
      <c r="L3" s="388"/>
      <c r="R3" s="34" t="s">
        <v>435</v>
      </c>
    </row>
    <row r="4" spans="2:29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7" t="s">
        <v>72</v>
      </c>
      <c r="U7" s="147"/>
      <c r="V7" s="1">
        <v>1</v>
      </c>
      <c r="W7" s="7">
        <f>'CALCULATOR SHEET'!I13</f>
        <v>49.75</v>
      </c>
      <c r="X7" s="7">
        <f>'CALCULATOR SHEET'!J13</f>
        <v>47.5</v>
      </c>
      <c r="Y7" s="7">
        <f>IF(W7=0,"",MATCH(CEILING(W7,6),$C$7:$Q$7,0))</f>
        <v>6</v>
      </c>
      <c r="Z7" s="7">
        <f>IF(X7=0,"",MATCH(CEILING(X7,6),$B$10:$B$26,0))</f>
        <v>5</v>
      </c>
      <c r="AA7" s="146">
        <f>IF(Y7="","",INDEX($C$10:$Q$26,Z7,Y7))</f>
        <v>128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7"/>
      <c r="U8" s="147"/>
      <c r="V8" s="1">
        <f>+V7+1</f>
        <v>2</v>
      </c>
      <c r="W8" s="7">
        <f>'CALCULATOR SHEET'!I14</f>
        <v>34</v>
      </c>
      <c r="X8" s="7">
        <f>'CALCULATOR SHEET'!J14</f>
        <v>37.5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94</v>
      </c>
      <c r="AB8" s="13" t="str">
        <f>IF(AND('CALCULATOR SHEET'!P14="YES",'CALCULATOR SHEET'!Q14="YES"),HLOOKUP(CEILING(W8,6),$C$28:$Q$30,3,FALSE),"")</f>
        <v/>
      </c>
      <c r="AC8" s="13">
        <f>IF(AND('CALCULATOR SHEET'!P14="YES",'CALCULATOR SHEET'!Q14="NO"),HLOOKUP(CEILING(W8,6),$C$28:$Q$33,6,FALSE),"")</f>
        <v>0</v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77.625</v>
      </c>
      <c r="X9" s="7">
        <f>'CALCULATOR SHEET'!J15</f>
        <v>38.375</v>
      </c>
      <c r="Y9" s="7">
        <f t="shared" si="1"/>
        <v>10</v>
      </c>
      <c r="Z9" s="7">
        <f t="shared" si="2"/>
        <v>4</v>
      </c>
      <c r="AA9" s="146">
        <f t="shared" si="3"/>
        <v>183</v>
      </c>
      <c r="AB9" s="13" t="str">
        <f>IF(AND('CALCULATOR SHEET'!P15="YES",'CALCULATOR SHEET'!Q15="YES"),HLOOKUP(CEILING(W9,6),$C$28:$Q$30,3,FALSE),"")</f>
        <v/>
      </c>
      <c r="AC9" s="13">
        <f>IF(AND('CALCULATOR SHEET'!P15="YES",'CALCULATOR SHEET'!Q15="NO"),HLOOKUP(CEILING(W9,6),$C$28:$Q$33,6,FALSE),"")</f>
        <v>0</v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8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361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49.75</v>
      </c>
      <c r="X7" s="7">
        <f>'CALCULATOR SHEET'!J13</f>
        <v>47.5</v>
      </c>
      <c r="Y7" s="7">
        <f>IF(W7=0,"",MATCH(CEILING(W7,6),$C$7:$Q$7,0))</f>
        <v>6</v>
      </c>
      <c r="Z7" s="7">
        <f>IF(X7=0,"",MATCH(CEILING(X7,6),$B$10:$B$26,0))</f>
        <v>5</v>
      </c>
      <c r="AA7" s="146">
        <f>IF(Y7="","",INDEX($C$10:$Q$26,Z7,Y7))</f>
        <v>169</v>
      </c>
    </row>
    <row r="8" spans="2:27">
      <c r="T8" s="387"/>
      <c r="V8" s="1">
        <f>+V7+1</f>
        <v>2</v>
      </c>
      <c r="W8" s="7">
        <f>'CALCULATOR SHEET'!I14</f>
        <v>34</v>
      </c>
      <c r="X8" s="7">
        <f>'CALCULATOR SHEET'!J14</f>
        <v>37.5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120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77.625</v>
      </c>
      <c r="X9" s="7">
        <f>'CALCULATOR SHEET'!J15</f>
        <v>38.375</v>
      </c>
      <c r="Y9" s="7">
        <f t="shared" si="1"/>
        <v>10</v>
      </c>
      <c r="Z9" s="7">
        <f t="shared" si="2"/>
        <v>4</v>
      </c>
      <c r="AA9" s="146">
        <f t="shared" si="3"/>
        <v>251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4" zoomScaleNormal="84" workbookViewId="0">
      <selection activeCell="K63" sqref="K63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449</v>
      </c>
      <c r="W2" s="280">
        <f>IF(W3="english",1,2)</f>
        <v>2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9"/>
      <c r="Q3" s="369"/>
      <c r="R3" s="1"/>
      <c r="S3" s="1"/>
      <c r="T3" s="44"/>
      <c r="W3" s="275" t="s">
        <v>153</v>
      </c>
      <c r="X3" s="3" t="s">
        <v>225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6" t="s">
        <v>43</v>
      </c>
      <c r="Z4" s="372" t="s">
        <v>308</v>
      </c>
      <c r="AA4" s="371">
        <f>FLOOR(SUMIF(C8:C47,"&gt;0")/2,1)</f>
        <v>1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471</v>
      </c>
      <c r="W5" s="34" t="s">
        <v>133</v>
      </c>
      <c r="Z5" s="372"/>
      <c r="AA5" s="371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462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20.2</v>
      </c>
      <c r="X6" s="3" t="s">
        <v>132</v>
      </c>
      <c r="Y6"/>
      <c r="Z6" s="372"/>
      <c r="AA6" s="371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441</v>
      </c>
      <c r="H8" s="342"/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70" t="str">
        <f>IF(AA10&gt;(AA9/2),"REVISAR PERSIANAS","")</f>
        <v/>
      </c>
      <c r="Z8" s="370"/>
      <c r="AA8" s="370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468</v>
      </c>
      <c r="E9" s="39"/>
      <c r="F9" s="1"/>
      <c r="G9" s="38" t="s">
        <v>442</v>
      </c>
      <c r="H9" s="342"/>
      <c r="I9" s="1"/>
      <c r="J9" s="1"/>
      <c r="K9" s="1"/>
      <c r="L9" s="1"/>
      <c r="M9" s="254"/>
      <c r="N9" s="254"/>
      <c r="O9" s="254"/>
      <c r="P9" s="1"/>
      <c r="Q9" s="302" t="s">
        <v>286</v>
      </c>
      <c r="R9" s="301" t="s">
        <v>45</v>
      </c>
      <c r="S9" s="24" t="s">
        <v>40</v>
      </c>
      <c r="T9" s="189">
        <v>45966</v>
      </c>
      <c r="Z9" s="38" t="s">
        <v>303</v>
      </c>
      <c r="AA9" s="34">
        <f>SUMIF(C13:C52,"&gt;0")</f>
        <v>3</v>
      </c>
      <c r="AD9" s="368" t="s">
        <v>91</v>
      </c>
      <c r="AE9" s="368"/>
      <c r="AF9" s="368"/>
      <c r="AG9" s="368"/>
      <c r="AH9" s="368"/>
      <c r="AI9" s="368"/>
      <c r="AJ9" s="368"/>
      <c r="AK9" s="268"/>
      <c r="AL9" s="368" t="s">
        <v>92</v>
      </c>
      <c r="AM9" s="368"/>
      <c r="AN9" s="368"/>
      <c r="AO9" s="268"/>
      <c r="AP9" s="368" t="s">
        <v>93</v>
      </c>
      <c r="AQ9" s="368"/>
      <c r="AR9" s="368"/>
      <c r="AS9" s="268"/>
      <c r="AT9" s="368" t="s">
        <v>216</v>
      </c>
      <c r="AU9" s="368"/>
      <c r="AV9" s="14"/>
      <c r="AW9" s="14"/>
    </row>
    <row r="10" spans="1:73" ht="15.75">
      <c r="B10" s="43"/>
      <c r="C10" s="24" t="s">
        <v>39</v>
      </c>
      <c r="D10" s="191" t="s">
        <v>469</v>
      </c>
      <c r="E10" s="149"/>
      <c r="F10" s="1"/>
      <c r="G10" s="340" t="s">
        <v>443</v>
      </c>
      <c r="H10" s="342"/>
      <c r="I10" s="1"/>
      <c r="J10" s="3" t="s">
        <v>448</v>
      </c>
      <c r="K10" s="343"/>
      <c r="L10" s="1"/>
      <c r="M10" s="254"/>
      <c r="N10" s="254"/>
      <c r="O10" s="254"/>
      <c r="P10" s="1"/>
      <c r="Q10" s="1"/>
      <c r="R10" s="1"/>
      <c r="S10" s="1"/>
      <c r="T10" s="44"/>
      <c r="Z10" s="38" t="s">
        <v>302</v>
      </c>
      <c r="AA10" s="34">
        <f>COUNTIF(AA13:AA52,"&gt;0")</f>
        <v>0</v>
      </c>
      <c r="AB10" s="34" t="str">
        <f>IF(AA10=AA4,"MATCH","")</f>
        <v/>
      </c>
      <c r="AD10" s="368"/>
      <c r="AE10" s="368"/>
      <c r="AF10" s="368"/>
      <c r="AG10" s="368"/>
      <c r="AH10" s="368"/>
      <c r="AI10" s="368"/>
      <c r="AJ10" s="368"/>
      <c r="AL10" s="368"/>
      <c r="AM10" s="368"/>
      <c r="AN10" s="368"/>
      <c r="AP10" s="368"/>
      <c r="AQ10" s="368"/>
      <c r="AR10" s="368"/>
      <c r="AT10" s="368"/>
      <c r="AU10" s="368"/>
    </row>
    <row r="11" spans="1:73" ht="15.75" thickBot="1">
      <c r="B11" s="45"/>
      <c r="C11" s="48"/>
      <c r="D11" s="48"/>
      <c r="E11" s="46"/>
      <c r="F11" s="46"/>
      <c r="G11" s="341" t="s">
        <v>444</v>
      </c>
      <c r="H11" s="343"/>
      <c r="I11" s="46"/>
      <c r="J11" s="38" t="s">
        <v>447</v>
      </c>
      <c r="K11" s="300"/>
      <c r="L11" s="46"/>
      <c r="M11" s="258"/>
      <c r="N11" s="258"/>
      <c r="O11" s="312" t="s">
        <v>323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287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202</v>
      </c>
      <c r="L12" s="101" t="s">
        <v>205</v>
      </c>
      <c r="M12" s="101" t="s">
        <v>270</v>
      </c>
      <c r="N12" s="100" t="s">
        <v>210</v>
      </c>
      <c r="O12" s="101" t="s">
        <v>322</v>
      </c>
      <c r="P12" s="354" t="s">
        <v>459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256</v>
      </c>
      <c r="Z12" s="308" t="s">
        <v>300</v>
      </c>
      <c r="AA12" s="308" t="s">
        <v>301</v>
      </c>
      <c r="AB12" s="16" t="s">
        <v>80</v>
      </c>
      <c r="AD12" s="121" t="s">
        <v>49</v>
      </c>
      <c r="AE12" s="121" t="s">
        <v>287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280</v>
      </c>
      <c r="AW12" s="121" t="s">
        <v>215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22</v>
      </c>
      <c r="F13" s="69"/>
      <c r="G13" s="68" t="s">
        <v>470</v>
      </c>
      <c r="H13" s="68" t="s">
        <v>465</v>
      </c>
      <c r="I13" s="81">
        <v>49.75</v>
      </c>
      <c r="J13" s="81">
        <v>47.5</v>
      </c>
      <c r="K13" s="253" t="s">
        <v>96</v>
      </c>
      <c r="L13" s="70"/>
      <c r="M13" s="283"/>
      <c r="N13" s="253" t="s">
        <v>211</v>
      </c>
      <c r="O13" s="253"/>
      <c r="P13" s="70" t="s">
        <v>46</v>
      </c>
      <c r="Q13" s="70" t="s">
        <v>45</v>
      </c>
      <c r="R13" s="70" t="s">
        <v>45</v>
      </c>
      <c r="S13" s="71">
        <f>IF(U13="REVISAR MEDIDA","NO APLICA",W13+X13)</f>
        <v>200</v>
      </c>
      <c r="T13" s="315">
        <f t="shared" ref="T13:T52" si="0">IF(S13="","",S13*C13)</f>
        <v>200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200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0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128</v>
      </c>
      <c r="AE13" s="120" t="str">
        <f>IF(F13="YES",(((I13+4)*(J13+15))/144)*$AE$11,"")</f>
        <v/>
      </c>
      <c r="AF13" s="120">
        <f>IF(P13="YES",'ROLLER G1'!AP7,"")</f>
        <v>65</v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7</v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7</v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>
        <f>IF(P13="YES",'ROLLER EXT.'!AF7,"")</f>
        <v>0</v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22</v>
      </c>
      <c r="F14" s="69"/>
      <c r="G14" s="68" t="s">
        <v>470</v>
      </c>
      <c r="H14" s="68" t="s">
        <v>466</v>
      </c>
      <c r="I14" s="81">
        <v>34</v>
      </c>
      <c r="J14" s="81">
        <v>37.5</v>
      </c>
      <c r="K14" s="253" t="s">
        <v>96</v>
      </c>
      <c r="L14" s="70"/>
      <c r="M14" s="283"/>
      <c r="N14" s="253" t="s">
        <v>211</v>
      </c>
      <c r="O14" s="253"/>
      <c r="P14" s="70" t="s">
        <v>46</v>
      </c>
      <c r="Q14" s="70" t="s">
        <v>45</v>
      </c>
      <c r="R14" s="70" t="s">
        <v>45</v>
      </c>
      <c r="S14" s="71">
        <f t="shared" ref="S14:S52" si="1">IF(U14="REVISAR MEDIDA","NO APLICA",W14+X14)</f>
        <v>160</v>
      </c>
      <c r="T14" s="315">
        <f t="shared" si="0"/>
        <v>160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160</v>
      </c>
      <c r="X14" s="289">
        <v>0</v>
      </c>
      <c r="Y14" s="273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 t="str">
        <f t="shared" ref="AB14:AB52" si="5">D14</f>
        <v>ROLLER</v>
      </c>
      <c r="AC14" s="270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96</v>
      </c>
      <c r="AE14" s="120" t="str">
        <f>IF(F14="YES",(((I14+4)*(J14+15))/144)*$AE$11,"")</f>
        <v/>
      </c>
      <c r="AF14" s="120">
        <f>IF(P14="YES",'ROLLER G1'!AP8,"")</f>
        <v>57</v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7</v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7</v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>
        <f>IF(P14="YES",'ROLLER EXT.'!AF8,"")</f>
        <v>0</v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22</v>
      </c>
      <c r="F15" s="69"/>
      <c r="G15" s="68" t="s">
        <v>470</v>
      </c>
      <c r="H15" s="68" t="s">
        <v>467</v>
      </c>
      <c r="I15" s="81">
        <v>77.625</v>
      </c>
      <c r="J15" s="81">
        <v>38.375</v>
      </c>
      <c r="K15" s="253" t="s">
        <v>96</v>
      </c>
      <c r="L15" s="70"/>
      <c r="M15" s="283"/>
      <c r="N15" s="253" t="s">
        <v>211</v>
      </c>
      <c r="O15" s="253"/>
      <c r="P15" s="70" t="s">
        <v>46</v>
      </c>
      <c r="Q15" s="70" t="s">
        <v>45</v>
      </c>
      <c r="R15" s="70" t="s">
        <v>45</v>
      </c>
      <c r="S15" s="71">
        <f t="shared" si="1"/>
        <v>256</v>
      </c>
      <c r="T15" s="315">
        <f t="shared" si="0"/>
        <v>256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256</v>
      </c>
      <c r="X15" s="289">
        <v>0</v>
      </c>
      <c r="Y15" s="273">
        <f t="shared" si="3"/>
        <v>3</v>
      </c>
      <c r="Z15" s="128" t="s">
        <v>6</v>
      </c>
      <c r="AA15" s="309">
        <f t="shared" si="4"/>
        <v>0</v>
      </c>
      <c r="AB15" s="16" t="str">
        <f t="shared" si="5"/>
        <v>ROLLER</v>
      </c>
      <c r="AC15" s="270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172</v>
      </c>
      <c r="AE15" s="120" t="str">
        <f t="shared" ref="AE15:AE52" si="9">IF(F15="YES",(((I15+4)*(J15+15))/144)*$AE$11,"")</f>
        <v/>
      </c>
      <c r="AF15" s="120">
        <f>IF(P15="YES",'ROLLER G1'!AP9,"")</f>
        <v>77</v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7</v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6"/>
        <v>7</v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>
        <f>IF(P15="YES",'ROLLER EXT.'!AF9,"")</f>
        <v>0</v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3"/>
      <c r="L16" s="70"/>
      <c r="M16" s="283"/>
      <c r="N16" s="253"/>
      <c r="O16" s="253"/>
      <c r="P16" s="70" t="s">
        <v>45</v>
      </c>
      <c r="Q16" s="70" t="s">
        <v>45</v>
      </c>
      <c r="R16" s="70" t="s">
        <v>45</v>
      </c>
      <c r="S16" s="71">
        <f t="shared" si="1"/>
        <v>0</v>
      </c>
      <c r="T16" s="315">
        <f t="shared" si="0"/>
        <v>0</v>
      </c>
      <c r="U16" s="179" t="str">
        <f t="shared" si="2"/>
        <v/>
      </c>
      <c r="V16" s="120"/>
      <c r="W16" s="124">
        <f t="shared" si="8"/>
        <v>0</v>
      </c>
      <c r="X16" s="289">
        <v>0</v>
      </c>
      <c r="Y16" s="273">
        <f t="shared" si="3"/>
        <v>4</v>
      </c>
      <c r="Z16" s="128" t="s">
        <v>6</v>
      </c>
      <c r="AA16" s="309">
        <f t="shared" si="4"/>
        <v>0</v>
      </c>
      <c r="AB16" s="16">
        <f t="shared" si="5"/>
        <v>0</v>
      </c>
      <c r="AC16" s="270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3"/>
      <c r="L17" s="70"/>
      <c r="M17" s="283"/>
      <c r="N17" s="253"/>
      <c r="O17" s="253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5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89">
        <v>0</v>
      </c>
      <c r="Y17" s="273">
        <f t="shared" si="3"/>
        <v>5</v>
      </c>
      <c r="Z17" s="128" t="s">
        <v>6</v>
      </c>
      <c r="AA17" s="309">
        <f t="shared" si="4"/>
        <v>0</v>
      </c>
      <c r="AB17" s="16">
        <f t="shared" si="5"/>
        <v>0</v>
      </c>
      <c r="AC17" s="270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3"/>
      <c r="L18" s="70"/>
      <c r="M18" s="283"/>
      <c r="N18" s="253"/>
      <c r="O18" s="253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5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89">
        <v>0</v>
      </c>
      <c r="Y18" s="273">
        <f t="shared" si="3"/>
        <v>6</v>
      </c>
      <c r="Z18" s="128" t="s">
        <v>6</v>
      </c>
      <c r="AA18" s="309">
        <f t="shared" si="4"/>
        <v>0</v>
      </c>
      <c r="AB18" s="16">
        <f t="shared" si="5"/>
        <v>0</v>
      </c>
      <c r="AC18" s="270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3"/>
      <c r="L19" s="70"/>
      <c r="M19" s="283"/>
      <c r="N19" s="253"/>
      <c r="O19" s="253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5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89">
        <v>0</v>
      </c>
      <c r="Y19" s="273">
        <f t="shared" si="3"/>
        <v>7</v>
      </c>
      <c r="Z19" s="128" t="s">
        <v>6</v>
      </c>
      <c r="AA19" s="309">
        <f t="shared" si="4"/>
        <v>0</v>
      </c>
      <c r="AB19" s="16">
        <f t="shared" si="5"/>
        <v>0</v>
      </c>
      <c r="AC19" s="270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5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89">
        <v>0</v>
      </c>
      <c r="Y20" s="273">
        <f t="shared" si="3"/>
        <v>8</v>
      </c>
      <c r="Z20" s="128" t="s">
        <v>6</v>
      </c>
      <c r="AA20" s="309">
        <f t="shared" si="4"/>
        <v>0</v>
      </c>
      <c r="AB20" s="16">
        <f t="shared" si="5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5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89">
        <v>0</v>
      </c>
      <c r="Y21" s="273">
        <f t="shared" si="3"/>
        <v>9</v>
      </c>
      <c r="Z21" s="128" t="s">
        <v>6</v>
      </c>
      <c r="AA21" s="309">
        <f t="shared" si="4"/>
        <v>0</v>
      </c>
      <c r="AB21" s="16">
        <f t="shared" si="5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89">
        <v>0</v>
      </c>
      <c r="Y22" s="273">
        <f t="shared" si="3"/>
        <v>10</v>
      </c>
      <c r="Z22" s="128" t="s">
        <v>6</v>
      </c>
      <c r="AA22" s="309">
        <f t="shared" si="4"/>
        <v>0</v>
      </c>
      <c r="AB22" s="16">
        <f t="shared" si="5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89">
        <v>0</v>
      </c>
      <c r="Y23" s="273">
        <f t="shared" si="3"/>
        <v>11</v>
      </c>
      <c r="Z23" s="128" t="s">
        <v>6</v>
      </c>
      <c r="AA23" s="309">
        <f t="shared" si="4"/>
        <v>0</v>
      </c>
      <c r="AB23" s="16">
        <f t="shared" si="5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89">
        <v>0</v>
      </c>
      <c r="Y24" s="273">
        <f t="shared" si="3"/>
        <v>12</v>
      </c>
      <c r="Z24" s="128" t="s">
        <v>6</v>
      </c>
      <c r="AA24" s="309">
        <f t="shared" si="4"/>
        <v>0</v>
      </c>
      <c r="AB24" s="16">
        <f t="shared" si="5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89">
        <v>0</v>
      </c>
      <c r="Y25" s="273">
        <f t="shared" si="3"/>
        <v>13</v>
      </c>
      <c r="Z25" s="128" t="s">
        <v>6</v>
      </c>
      <c r="AA25" s="309">
        <f t="shared" si="4"/>
        <v>0</v>
      </c>
      <c r="AB25" s="16">
        <f t="shared" si="5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89">
        <v>0</v>
      </c>
      <c r="Y26" s="273">
        <f t="shared" si="3"/>
        <v>14</v>
      </c>
      <c r="Z26" s="128" t="s">
        <v>6</v>
      </c>
      <c r="AA26" s="309">
        <f t="shared" si="4"/>
        <v>0</v>
      </c>
      <c r="AB26" s="16">
        <f t="shared" si="5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89">
        <v>0</v>
      </c>
      <c r="Y27" s="273">
        <f t="shared" si="3"/>
        <v>15</v>
      </c>
      <c r="Z27" s="128" t="s">
        <v>6</v>
      </c>
      <c r="AA27" s="309">
        <f t="shared" si="4"/>
        <v>0</v>
      </c>
      <c r="AB27" s="16">
        <f t="shared" si="5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89">
        <v>0</v>
      </c>
      <c r="Y28" s="273">
        <f t="shared" si="3"/>
        <v>16</v>
      </c>
      <c r="Z28" s="128" t="s">
        <v>6</v>
      </c>
      <c r="AA28" s="309">
        <f t="shared" si="4"/>
        <v>0</v>
      </c>
      <c r="AB28" s="16">
        <f t="shared" si="5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89">
        <v>0</v>
      </c>
      <c r="Y29" s="273">
        <f t="shared" si="3"/>
        <v>17</v>
      </c>
      <c r="Z29" s="128" t="s">
        <v>6</v>
      </c>
      <c r="AA29" s="309">
        <f t="shared" si="4"/>
        <v>0</v>
      </c>
      <c r="AB29" s="16">
        <f t="shared" si="5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89">
        <v>0</v>
      </c>
      <c r="Y30" s="273">
        <f t="shared" si="3"/>
        <v>18</v>
      </c>
      <c r="Z30" s="128" t="s">
        <v>6</v>
      </c>
      <c r="AA30" s="309">
        <f t="shared" si="4"/>
        <v>0</v>
      </c>
      <c r="AB30" s="16">
        <f t="shared" si="5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89">
        <v>0</v>
      </c>
      <c r="Y31" s="273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89">
        <v>0</v>
      </c>
      <c r="Y32" s="273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89">
        <v>0</v>
      </c>
      <c r="Y33" s="273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89">
        <v>0</v>
      </c>
      <c r="Y34" s="273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89">
        <v>0</v>
      </c>
      <c r="Y35" s="273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89">
        <v>0</v>
      </c>
      <c r="Y36" s="273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89">
        <v>0</v>
      </c>
      <c r="Y37" s="273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89">
        <v>0</v>
      </c>
      <c r="Y38" s="273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89">
        <v>0</v>
      </c>
      <c r="Y39" s="273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89">
        <v>0</v>
      </c>
      <c r="Y40" s="273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89">
        <v>0</v>
      </c>
      <c r="Y41" s="273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89">
        <v>0</v>
      </c>
      <c r="Y42" s="273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89">
        <v>0</v>
      </c>
      <c r="Y43" s="273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89">
        <v>0</v>
      </c>
      <c r="Y44" s="273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89">
        <v>0</v>
      </c>
      <c r="Y45" s="273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89">
        <v>0</v>
      </c>
      <c r="Y46" s="273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89">
        <v>0</v>
      </c>
      <c r="Y47" s="273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89">
        <v>0</v>
      </c>
      <c r="Y48" s="273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89">
        <v>0</v>
      </c>
      <c r="Y49" s="273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89">
        <v>0</v>
      </c>
      <c r="Y50" s="273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89">
        <v>0</v>
      </c>
      <c r="Y51" s="273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89">
        <v>0</v>
      </c>
      <c r="Y52" s="273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359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 t="s">
        <v>472</v>
      </c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616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9">
        <v>0.2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123.2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450</v>
      </c>
      <c r="T63" s="76">
        <f>(T59-T61)+T62</f>
        <v>492.8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45</v>
      </c>
      <c r="S64" s="277" t="s">
        <v>460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278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154</v>
      </c>
      <c r="T66" s="107">
        <f>(T63+T64)-T65</f>
        <v>492.8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2" t="s">
        <v>461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146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155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145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195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197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196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198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153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147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148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149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150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151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152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437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438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phoneticPr fontId="64" type="noConversion"/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8" t="s">
        <v>9</v>
      </c>
      <c r="J3" s="388"/>
      <c r="K3" s="388"/>
      <c r="L3" s="388"/>
      <c r="S3" s="34" t="s">
        <v>436</v>
      </c>
    </row>
    <row r="4" spans="2:28" ht="25.5">
      <c r="D4" s="130"/>
      <c r="E4" s="131"/>
      <c r="I4" s="388"/>
      <c r="J4" s="388"/>
      <c r="K4" s="388"/>
      <c r="L4" s="388"/>
      <c r="N4" s="130"/>
      <c r="S4" s="132" t="s">
        <v>113</v>
      </c>
    </row>
    <row r="5" spans="2:28">
      <c r="P5" s="38"/>
      <c r="Q5" s="38"/>
      <c r="R5" s="38"/>
      <c r="S5" s="38" t="s">
        <v>360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7" t="s">
        <v>72</v>
      </c>
      <c r="V7" s="147"/>
      <c r="W7" s="1">
        <v>1</v>
      </c>
      <c r="X7" s="7">
        <f>'CALCULATOR SHEET'!I13</f>
        <v>49.75</v>
      </c>
      <c r="Y7" s="7">
        <f>'CALCULATOR SHEET'!J13</f>
        <v>47.5</v>
      </c>
      <c r="Z7" s="7">
        <f>IF(X7=0,"",MATCH(CEILING(X7,6),$C$7:$R$7,0))</f>
        <v>6</v>
      </c>
      <c r="AA7" s="7">
        <f>IF(Y7=0,"",MATCH(CEILING(Y7,6),$B$10:$B$26,0))</f>
        <v>5</v>
      </c>
      <c r="AB7" s="146">
        <f>IF(Z7="","",INDEX($C$10:$R$26,AA7,Z7))</f>
        <v>184</v>
      </c>
    </row>
    <row r="8" spans="2:28" ht="15.75">
      <c r="U8" s="387"/>
      <c r="V8" s="147"/>
      <c r="W8" s="1">
        <f>+W7+1</f>
        <v>2</v>
      </c>
      <c r="X8" s="7">
        <f>'CALCULATOR SHEET'!I14</f>
        <v>34</v>
      </c>
      <c r="Y8" s="7">
        <f>'CALCULATOR SHEET'!J14</f>
        <v>37.5</v>
      </c>
      <c r="Z8" s="7">
        <f t="shared" ref="Z8:Z71" si="0">IF(X8=0,"",MATCH(CEILING(X8,6),$C$7:$R$7,0))</f>
        <v>3</v>
      </c>
      <c r="AA8" s="7">
        <f t="shared" ref="AA8:AA71" si="1">IF(Y8=0,"",MATCH(CEILING(Y8,6),$B$10:$B$26,0))</f>
        <v>4</v>
      </c>
      <c r="AB8" s="146">
        <f t="shared" ref="AB8:AB71" si="2">IF(Z8="","",INDEX($C$10:$R$26,AA8,Z8))</f>
        <v>130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77.625</v>
      </c>
      <c r="Y9" s="7">
        <f>'CALCULATOR SHEET'!J15</f>
        <v>38.375</v>
      </c>
      <c r="Z9" s="7">
        <f t="shared" si="0"/>
        <v>10</v>
      </c>
      <c r="AA9" s="7">
        <f t="shared" si="1"/>
        <v>4</v>
      </c>
      <c r="AB9" s="146">
        <f t="shared" si="2"/>
        <v>277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10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49.75</v>
      </c>
      <c r="X7" s="7">
        <f>'CALCULATOR SHEET'!J13</f>
        <v>47.5</v>
      </c>
      <c r="Y7" s="7">
        <f>IF(W7=0,"",MATCH(CEILING(W7,6),$C$7:$Q$7,0))</f>
        <v>6</v>
      </c>
      <c r="Z7" s="7">
        <f>IF(X7=0,"",MATCH(CEILING(X7,6),$B$10:$B$26,0))</f>
        <v>5</v>
      </c>
      <c r="AA7" s="146">
        <f>IF(Y7="","",INDEX($C$10:$Q$26,Z7,Y7))</f>
        <v>203</v>
      </c>
    </row>
    <row r="8" spans="2:27">
      <c r="T8" s="387"/>
      <c r="V8" s="1">
        <f>+V7+1</f>
        <v>2</v>
      </c>
      <c r="W8" s="7">
        <f>'CALCULATOR SHEET'!I14</f>
        <v>34</v>
      </c>
      <c r="X8" s="7">
        <f>'CALCULATOR SHEET'!J14</f>
        <v>37.5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140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77.625</v>
      </c>
      <c r="X9" s="7">
        <f>'CALCULATOR SHEET'!J15</f>
        <v>38.375</v>
      </c>
      <c r="Y9" s="7">
        <f t="shared" si="1"/>
        <v>10</v>
      </c>
      <c r="Z9" s="7">
        <f t="shared" si="2"/>
        <v>4</v>
      </c>
      <c r="AA9" s="146">
        <f t="shared" si="3"/>
        <v>310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11</v>
      </c>
      <c r="J3" s="388"/>
      <c r="K3" s="388"/>
      <c r="L3" s="388"/>
      <c r="R3" s="34" t="s">
        <v>384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49.75</v>
      </c>
      <c r="X7" s="7">
        <f>'CALCULATOR SHEET'!J13</f>
        <v>47.5</v>
      </c>
      <c r="Y7" s="7">
        <f>IF(W7=0,"",MATCH(CEILING(W7,6),$C$7:$Q$7,0))</f>
        <v>6</v>
      </c>
      <c r="Z7" s="7">
        <f>IF(X7=0,"",MATCH(CEILING(X7,6),$B$10:$B$26,0))</f>
        <v>5</v>
      </c>
      <c r="AA7" s="146">
        <f>IF(Y7="","",INDEX($C$10:$Q$26,Z7,Y7))</f>
        <v>195</v>
      </c>
    </row>
    <row r="8" spans="2:27" ht="15" customHeight="1">
      <c r="T8" s="387"/>
      <c r="V8" s="1">
        <f>+V7+1</f>
        <v>2</v>
      </c>
      <c r="W8" s="7">
        <f>'CALCULATOR SHEET'!I14</f>
        <v>34</v>
      </c>
      <c r="X8" s="7">
        <f>'CALCULATOR SHEET'!J14</f>
        <v>37.5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135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77.625</v>
      </c>
      <c r="X9" s="7">
        <f>'CALCULATOR SHEET'!J15</f>
        <v>38.375</v>
      </c>
      <c r="Y9" s="7">
        <f t="shared" si="1"/>
        <v>10</v>
      </c>
      <c r="Z9" s="7">
        <f t="shared" si="2"/>
        <v>4</v>
      </c>
      <c r="AA9" s="146">
        <f t="shared" si="3"/>
        <v>299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12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404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49.75</v>
      </c>
      <c r="X7" s="7">
        <f>'CALCULATOR SHEET'!J13</f>
        <v>47.5</v>
      </c>
      <c r="Y7" s="7">
        <f>IF(W7=0,"",MATCH(CEILING(W7,6),$C$7:$Q$7,0))</f>
        <v>6</v>
      </c>
      <c r="Z7" s="7">
        <f>IF(X7=0,"",MATCH(CEILING(X7,6),$B$10:$B$26,0))</f>
        <v>5</v>
      </c>
      <c r="AA7" s="146">
        <f>IF(Y7="","",INDEX($C$10:$Q$26,Z7,Y7))</f>
        <v>244</v>
      </c>
    </row>
    <row r="8" spans="2:27" ht="15" customHeight="1">
      <c r="T8" s="387"/>
      <c r="V8" s="1">
        <f>+V7+1</f>
        <v>2</v>
      </c>
      <c r="W8" s="7">
        <f>'CALCULATOR SHEET'!I14</f>
        <v>34</v>
      </c>
      <c r="X8" s="7">
        <f>'CALCULATOR SHEET'!J14</f>
        <v>37.5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165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77.625</v>
      </c>
      <c r="X9" s="7">
        <f>'CALCULATOR SHEET'!J15</f>
        <v>38.375</v>
      </c>
      <c r="Y9" s="7">
        <f t="shared" si="1"/>
        <v>10</v>
      </c>
      <c r="Z9" s="7">
        <f t="shared" si="2"/>
        <v>4</v>
      </c>
      <c r="AA9" s="146">
        <f t="shared" si="3"/>
        <v>383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13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49.75</v>
      </c>
      <c r="X7" s="7">
        <f>'CALCULATOR SHEET'!J13</f>
        <v>47.5</v>
      </c>
      <c r="Y7" s="7">
        <f>IF(W7=0,"",MATCH(CEILING(W7,6),$C$7:$Q$7,0))</f>
        <v>6</v>
      </c>
      <c r="Z7" s="7">
        <f>IF(X7=0,"",MATCH(CEILING(X7,6),$B$10:$B$26,0))</f>
        <v>5</v>
      </c>
      <c r="AA7" s="146">
        <f>IF(Y7="","",INDEX($C$10:$Q$26,Z7,Y7))</f>
        <v>253</v>
      </c>
    </row>
    <row r="8" spans="2:27" ht="15" customHeight="1">
      <c r="T8" s="387"/>
      <c r="V8" s="1">
        <f>+V7+1</f>
        <v>2</v>
      </c>
      <c r="W8" s="7">
        <f>'CALCULATOR SHEET'!I14</f>
        <v>34</v>
      </c>
      <c r="X8" s="7">
        <f>'CALCULATOR SHEET'!J14</f>
        <v>37.5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171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77.625</v>
      </c>
      <c r="X9" s="7">
        <f>'CALCULATOR SHEET'!J15</f>
        <v>38.375</v>
      </c>
      <c r="Y9" s="7">
        <f t="shared" si="1"/>
        <v>10</v>
      </c>
      <c r="Z9" s="7">
        <f t="shared" si="2"/>
        <v>4</v>
      </c>
      <c r="AA9" s="146">
        <f t="shared" si="3"/>
        <v>400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8" t="s">
        <v>294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427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49.75</v>
      </c>
      <c r="X7" s="7">
        <f>'CALCULATOR SHEET'!J13</f>
        <v>47.5</v>
      </c>
      <c r="Y7" s="7">
        <f>IF(W7=0,"",MATCH(CEILING(W7,6),$C$7:$Q$7,0))</f>
        <v>6</v>
      </c>
      <c r="Z7" s="7">
        <f>IF(X7=0,"",MATCH(CEILING(X7,6),$B$10:$B$26,0))</f>
        <v>5</v>
      </c>
      <c r="AA7" s="146">
        <f>IF(Y7="","",INDEX($C$10:$Q$26,Z7,Y7))</f>
        <v>242</v>
      </c>
    </row>
    <row r="8" spans="2:27" ht="15" customHeight="1">
      <c r="T8" s="387"/>
      <c r="V8" s="1">
        <f>+V7+1</f>
        <v>2</v>
      </c>
      <c r="W8" s="7">
        <f>'CALCULATOR SHEET'!I14</f>
        <v>34</v>
      </c>
      <c r="X8" s="7">
        <f>'CALCULATOR SHEET'!J14</f>
        <v>37.5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4</v>
      </c>
      <c r="AA8" s="146">
        <f t="shared" ref="AA8:AA71" si="3">IF(Y8="","",INDEX($C$10:$Q$26,Z8,Y8))</f>
        <v>161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77.625</v>
      </c>
      <c r="X9" s="7">
        <f>'CALCULATOR SHEET'!J15</f>
        <v>38.375</v>
      </c>
      <c r="Y9" s="7">
        <f t="shared" si="1"/>
        <v>10</v>
      </c>
      <c r="Z9" s="7">
        <f t="shared" si="2"/>
        <v>4</v>
      </c>
      <c r="AA9" s="146">
        <f t="shared" si="3"/>
        <v>387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9" t="s">
        <v>104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</row>
    <row r="2" spans="1:33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</row>
    <row r="3" spans="1:33" ht="15.75" thickBot="1"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</row>
    <row r="4" spans="1:33" ht="21" customHeight="1" thickBot="1">
      <c r="B4" s="6" t="s">
        <v>246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252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255</v>
      </c>
      <c r="AE4" s="34"/>
      <c r="AF4" s="34" t="s">
        <v>253</v>
      </c>
      <c r="AG4" s="34" t="s">
        <v>254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49.75</v>
      </c>
      <c r="Y5" s="7">
        <f>'PM-ORDER'!P5</f>
        <v>47.5</v>
      </c>
      <c r="Z5" s="7">
        <f>IF(X5&lt;&gt;"",MATCH(CEILING(X5,6),$C$4:$S$4,0),"")</f>
        <v>6</v>
      </c>
      <c r="AA5" s="7">
        <f>IF(X5&lt;&gt;"",MATCH(CEILING(Y5,6),$B$7:$B$26,0),"")</f>
        <v>5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34</v>
      </c>
      <c r="Y6" s="7">
        <f>'PM-ORDER'!P6</f>
        <v>37.5</v>
      </c>
      <c r="Z6" s="7">
        <f t="shared" ref="Z6:Z44" si="0">IF(X6&lt;&gt;"",MATCH(CEILING(X6,6),$C$4:$S$4,0),"")</f>
        <v>3</v>
      </c>
      <c r="AA6" s="7">
        <f t="shared" ref="AA6:AA44" si="1">IF(X6&lt;&gt;"",MATCH(CEILING(Y6,6),$B$7:$B$26,0),"")</f>
        <v>4</v>
      </c>
      <c r="AC6" s="7" t="str">
        <f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248</v>
      </c>
      <c r="D7" s="87" t="s">
        <v>248</v>
      </c>
      <c r="E7" s="87" t="s">
        <v>248</v>
      </c>
      <c r="F7" s="87" t="s">
        <v>248</v>
      </c>
      <c r="G7" s="87" t="s">
        <v>248</v>
      </c>
      <c r="H7" s="87" t="s">
        <v>248</v>
      </c>
      <c r="I7" s="87" t="s">
        <v>248</v>
      </c>
      <c r="J7" s="87" t="s">
        <v>248</v>
      </c>
      <c r="K7" s="87" t="s">
        <v>248</v>
      </c>
      <c r="L7" s="88" t="s">
        <v>249</v>
      </c>
      <c r="M7" s="88" t="s">
        <v>249</v>
      </c>
      <c r="N7" s="88" t="s">
        <v>249</v>
      </c>
      <c r="O7" s="88" t="s">
        <v>249</v>
      </c>
      <c r="P7" s="89" t="s">
        <v>250</v>
      </c>
      <c r="Q7" s="89" t="s">
        <v>250</v>
      </c>
      <c r="R7" s="89" t="s">
        <v>250</v>
      </c>
      <c r="S7" s="89" t="s">
        <v>250</v>
      </c>
      <c r="W7" s="1">
        <f t="shared" ref="W7:W44" si="3">W6+1</f>
        <v>3</v>
      </c>
      <c r="X7" s="7">
        <f>'PM-ORDER'!O7</f>
        <v>77.625</v>
      </c>
      <c r="Y7" s="7">
        <f>'PM-ORDER'!P7</f>
        <v>38.375</v>
      </c>
      <c r="Z7" s="7">
        <f t="shared" si="0"/>
        <v>10</v>
      </c>
      <c r="AA7" s="7">
        <f t="shared" si="1"/>
        <v>4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248</v>
      </c>
      <c r="D8" s="87" t="s">
        <v>248</v>
      </c>
      <c r="E8" s="87" t="s">
        <v>248</v>
      </c>
      <c r="F8" s="87" t="s">
        <v>248</v>
      </c>
      <c r="G8" s="87" t="s">
        <v>248</v>
      </c>
      <c r="H8" s="87" t="s">
        <v>248</v>
      </c>
      <c r="I8" s="87" t="s">
        <v>248</v>
      </c>
      <c r="J8" s="87" t="s">
        <v>248</v>
      </c>
      <c r="K8" s="87" t="s">
        <v>248</v>
      </c>
      <c r="L8" s="88" t="s">
        <v>249</v>
      </c>
      <c r="M8" s="88" t="s">
        <v>249</v>
      </c>
      <c r="N8" s="88" t="s">
        <v>249</v>
      </c>
      <c r="O8" s="88" t="s">
        <v>249</v>
      </c>
      <c r="P8" s="89" t="s">
        <v>250</v>
      </c>
      <c r="Q8" s="89" t="s">
        <v>250</v>
      </c>
      <c r="R8" s="89" t="s">
        <v>250</v>
      </c>
      <c r="S8" s="89" t="s">
        <v>250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248</v>
      </c>
      <c r="D9" s="87" t="s">
        <v>248</v>
      </c>
      <c r="E9" s="87" t="s">
        <v>248</v>
      </c>
      <c r="F9" s="87" t="s">
        <v>248</v>
      </c>
      <c r="G9" s="87" t="s">
        <v>248</v>
      </c>
      <c r="H9" s="87" t="s">
        <v>248</v>
      </c>
      <c r="I9" s="87" t="s">
        <v>248</v>
      </c>
      <c r="J9" s="87" t="s">
        <v>248</v>
      </c>
      <c r="K9" s="87" t="s">
        <v>248</v>
      </c>
      <c r="L9" s="88" t="s">
        <v>249</v>
      </c>
      <c r="M9" s="88" t="s">
        <v>249</v>
      </c>
      <c r="N9" s="88" t="s">
        <v>249</v>
      </c>
      <c r="O9" s="88" t="s">
        <v>249</v>
      </c>
      <c r="P9" s="89" t="s">
        <v>250</v>
      </c>
      <c r="Q9" s="89" t="s">
        <v>250</v>
      </c>
      <c r="R9" s="89" t="s">
        <v>250</v>
      </c>
      <c r="S9" s="89" t="s">
        <v>250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248</v>
      </c>
      <c r="D10" s="87" t="s">
        <v>248</v>
      </c>
      <c r="E10" s="87" t="s">
        <v>248</v>
      </c>
      <c r="F10" s="87" t="s">
        <v>248</v>
      </c>
      <c r="G10" s="87" t="s">
        <v>248</v>
      </c>
      <c r="H10" s="87" t="s">
        <v>248</v>
      </c>
      <c r="I10" s="87" t="s">
        <v>248</v>
      </c>
      <c r="J10" s="87" t="s">
        <v>248</v>
      </c>
      <c r="K10" s="87" t="s">
        <v>248</v>
      </c>
      <c r="L10" s="88" t="s">
        <v>249</v>
      </c>
      <c r="M10" s="88" t="s">
        <v>249</v>
      </c>
      <c r="N10" s="88" t="s">
        <v>249</v>
      </c>
      <c r="O10" s="88" t="s">
        <v>249</v>
      </c>
      <c r="P10" s="89" t="s">
        <v>250</v>
      </c>
      <c r="Q10" s="89" t="s">
        <v>250</v>
      </c>
      <c r="R10" s="89" t="s">
        <v>250</v>
      </c>
      <c r="S10" s="89" t="s">
        <v>250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248</v>
      </c>
      <c r="D11" s="87" t="s">
        <v>248</v>
      </c>
      <c r="E11" s="87" t="s">
        <v>248</v>
      </c>
      <c r="F11" s="87" t="s">
        <v>248</v>
      </c>
      <c r="G11" s="87" t="s">
        <v>248</v>
      </c>
      <c r="H11" s="87" t="s">
        <v>248</v>
      </c>
      <c r="I11" s="87" t="s">
        <v>248</v>
      </c>
      <c r="J11" s="87" t="s">
        <v>248</v>
      </c>
      <c r="K11" s="87" t="s">
        <v>248</v>
      </c>
      <c r="L11" s="88" t="s">
        <v>249</v>
      </c>
      <c r="M11" s="88" t="s">
        <v>249</v>
      </c>
      <c r="N11" s="88" t="s">
        <v>249</v>
      </c>
      <c r="O11" s="88" t="s">
        <v>249</v>
      </c>
      <c r="P11" s="89" t="s">
        <v>250</v>
      </c>
      <c r="Q11" s="89" t="s">
        <v>250</v>
      </c>
      <c r="R11" s="89" t="s">
        <v>250</v>
      </c>
      <c r="S11" s="89" t="s">
        <v>250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248</v>
      </c>
      <c r="D12" s="87" t="s">
        <v>248</v>
      </c>
      <c r="E12" s="87" t="s">
        <v>248</v>
      </c>
      <c r="F12" s="87" t="s">
        <v>248</v>
      </c>
      <c r="G12" s="87" t="s">
        <v>248</v>
      </c>
      <c r="H12" s="87" t="s">
        <v>248</v>
      </c>
      <c r="I12" s="87" t="s">
        <v>248</v>
      </c>
      <c r="J12" s="87" t="s">
        <v>248</v>
      </c>
      <c r="K12" s="87" t="s">
        <v>248</v>
      </c>
      <c r="L12" s="88" t="s">
        <v>249</v>
      </c>
      <c r="M12" s="88" t="s">
        <v>249</v>
      </c>
      <c r="N12" s="88" t="s">
        <v>249</v>
      </c>
      <c r="O12" s="88" t="s">
        <v>249</v>
      </c>
      <c r="P12" s="89" t="s">
        <v>250</v>
      </c>
      <c r="Q12" s="89" t="s">
        <v>250</v>
      </c>
      <c r="R12" s="89" t="s">
        <v>250</v>
      </c>
      <c r="S12" s="89" t="s">
        <v>250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248</v>
      </c>
      <c r="D13" s="87" t="s">
        <v>248</v>
      </c>
      <c r="E13" s="87" t="s">
        <v>248</v>
      </c>
      <c r="F13" s="87" t="s">
        <v>248</v>
      </c>
      <c r="G13" s="87" t="s">
        <v>248</v>
      </c>
      <c r="H13" s="87" t="s">
        <v>248</v>
      </c>
      <c r="I13" s="87" t="s">
        <v>248</v>
      </c>
      <c r="J13" s="87" t="s">
        <v>248</v>
      </c>
      <c r="K13" s="87" t="s">
        <v>248</v>
      </c>
      <c r="L13" s="88" t="s">
        <v>249</v>
      </c>
      <c r="M13" s="88" t="s">
        <v>249</v>
      </c>
      <c r="N13" s="88" t="s">
        <v>249</v>
      </c>
      <c r="O13" s="88" t="s">
        <v>249</v>
      </c>
      <c r="P13" s="89" t="s">
        <v>250</v>
      </c>
      <c r="Q13" s="89" t="s">
        <v>250</v>
      </c>
      <c r="R13" s="89" t="s">
        <v>250</v>
      </c>
      <c r="S13" s="89" t="s">
        <v>250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248</v>
      </c>
      <c r="D14" s="87" t="s">
        <v>248</v>
      </c>
      <c r="E14" s="87" t="s">
        <v>248</v>
      </c>
      <c r="F14" s="87" t="s">
        <v>248</v>
      </c>
      <c r="G14" s="87" t="s">
        <v>248</v>
      </c>
      <c r="H14" s="87" t="s">
        <v>248</v>
      </c>
      <c r="I14" s="87" t="s">
        <v>248</v>
      </c>
      <c r="J14" s="87" t="s">
        <v>248</v>
      </c>
      <c r="K14" s="87" t="s">
        <v>248</v>
      </c>
      <c r="L14" s="88" t="s">
        <v>249</v>
      </c>
      <c r="M14" s="88" t="s">
        <v>249</v>
      </c>
      <c r="N14" s="88" t="s">
        <v>249</v>
      </c>
      <c r="O14" s="88" t="s">
        <v>249</v>
      </c>
      <c r="P14" s="89" t="s">
        <v>250</v>
      </c>
      <c r="Q14" s="89" t="s">
        <v>250</v>
      </c>
      <c r="R14" s="89" t="s">
        <v>250</v>
      </c>
      <c r="S14" s="89" t="s">
        <v>250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248</v>
      </c>
      <c r="D15" s="87" t="s">
        <v>248</v>
      </c>
      <c r="E15" s="87" t="s">
        <v>248</v>
      </c>
      <c r="F15" s="87" t="s">
        <v>248</v>
      </c>
      <c r="G15" s="87" t="s">
        <v>248</v>
      </c>
      <c r="H15" s="87" t="s">
        <v>248</v>
      </c>
      <c r="I15" s="87" t="s">
        <v>248</v>
      </c>
      <c r="J15" s="87" t="s">
        <v>248</v>
      </c>
      <c r="K15" s="87" t="s">
        <v>248</v>
      </c>
      <c r="L15" s="88" t="s">
        <v>249</v>
      </c>
      <c r="M15" s="88" t="s">
        <v>249</v>
      </c>
      <c r="N15" s="88" t="s">
        <v>249</v>
      </c>
      <c r="O15" s="88" t="s">
        <v>249</v>
      </c>
      <c r="P15" s="89" t="s">
        <v>250</v>
      </c>
      <c r="Q15" s="89" t="s">
        <v>250</v>
      </c>
      <c r="R15" s="89" t="s">
        <v>250</v>
      </c>
      <c r="S15" s="89" t="s">
        <v>250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248</v>
      </c>
      <c r="D16" s="87" t="s">
        <v>248</v>
      </c>
      <c r="E16" s="87" t="s">
        <v>248</v>
      </c>
      <c r="F16" s="87" t="s">
        <v>248</v>
      </c>
      <c r="G16" s="87" t="s">
        <v>248</v>
      </c>
      <c r="H16" s="87" t="s">
        <v>248</v>
      </c>
      <c r="I16" s="87" t="s">
        <v>248</v>
      </c>
      <c r="J16" s="87" t="s">
        <v>248</v>
      </c>
      <c r="K16" s="87" t="s">
        <v>248</v>
      </c>
      <c r="L16" s="88" t="s">
        <v>249</v>
      </c>
      <c r="M16" s="88" t="s">
        <v>249</v>
      </c>
      <c r="N16" s="88" t="s">
        <v>249</v>
      </c>
      <c r="O16" s="88" t="s">
        <v>249</v>
      </c>
      <c r="P16" s="89" t="s">
        <v>250</v>
      </c>
      <c r="Q16" s="89" t="s">
        <v>250</v>
      </c>
      <c r="R16" s="89" t="s">
        <v>250</v>
      </c>
      <c r="S16" s="89" t="s">
        <v>250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248</v>
      </c>
      <c r="D17" s="87" t="s">
        <v>248</v>
      </c>
      <c r="E17" s="87" t="s">
        <v>248</v>
      </c>
      <c r="F17" s="87" t="s">
        <v>248</v>
      </c>
      <c r="G17" s="87" t="s">
        <v>248</v>
      </c>
      <c r="H17" s="87" t="s">
        <v>248</v>
      </c>
      <c r="I17" s="87" t="s">
        <v>248</v>
      </c>
      <c r="J17" s="87" t="s">
        <v>248</v>
      </c>
      <c r="K17" s="87" t="s">
        <v>248</v>
      </c>
      <c r="L17" s="88" t="s">
        <v>249</v>
      </c>
      <c r="M17" s="88" t="s">
        <v>249</v>
      </c>
      <c r="N17" s="88" t="s">
        <v>249</v>
      </c>
      <c r="O17" s="88" t="s">
        <v>249</v>
      </c>
      <c r="P17" s="89" t="s">
        <v>250</v>
      </c>
      <c r="Q17" s="89" t="s">
        <v>250</v>
      </c>
      <c r="R17" s="89" t="s">
        <v>250</v>
      </c>
      <c r="S17" s="89" t="s">
        <v>250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248</v>
      </c>
      <c r="D18" s="87" t="s">
        <v>248</v>
      </c>
      <c r="E18" s="87" t="s">
        <v>248</v>
      </c>
      <c r="F18" s="87" t="s">
        <v>248</v>
      </c>
      <c r="G18" s="87" t="s">
        <v>248</v>
      </c>
      <c r="H18" s="87" t="s">
        <v>248</v>
      </c>
      <c r="I18" s="87" t="s">
        <v>248</v>
      </c>
      <c r="J18" s="87" t="s">
        <v>248</v>
      </c>
      <c r="K18" s="87" t="s">
        <v>248</v>
      </c>
      <c r="L18" s="88" t="s">
        <v>249</v>
      </c>
      <c r="M18" s="88" t="s">
        <v>249</v>
      </c>
      <c r="N18" s="88" t="s">
        <v>249</v>
      </c>
      <c r="O18" s="88" t="s">
        <v>249</v>
      </c>
      <c r="P18" s="89" t="s">
        <v>250</v>
      </c>
      <c r="Q18" s="89" t="s">
        <v>250</v>
      </c>
      <c r="R18" s="89" t="s">
        <v>250</v>
      </c>
      <c r="S18" s="89" t="s">
        <v>250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249</v>
      </c>
      <c r="D19" s="88" t="s">
        <v>249</v>
      </c>
      <c r="E19" s="88" t="s">
        <v>249</v>
      </c>
      <c r="F19" s="88" t="s">
        <v>249</v>
      </c>
      <c r="G19" s="88" t="s">
        <v>249</v>
      </c>
      <c r="H19" s="88" t="s">
        <v>249</v>
      </c>
      <c r="I19" s="88" t="s">
        <v>249</v>
      </c>
      <c r="J19" s="88" t="s">
        <v>249</v>
      </c>
      <c r="K19" s="88" t="s">
        <v>249</v>
      </c>
      <c r="L19" s="88" t="s">
        <v>249</v>
      </c>
      <c r="M19" s="88" t="s">
        <v>249</v>
      </c>
      <c r="N19" s="88" t="s">
        <v>249</v>
      </c>
      <c r="O19" s="88" t="s">
        <v>249</v>
      </c>
      <c r="P19" s="89" t="s">
        <v>250</v>
      </c>
      <c r="Q19" s="89" t="s">
        <v>250</v>
      </c>
      <c r="R19" s="89" t="s">
        <v>250</v>
      </c>
      <c r="S19" s="89" t="s">
        <v>250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249</v>
      </c>
      <c r="D20" s="88" t="s">
        <v>249</v>
      </c>
      <c r="E20" s="88" t="s">
        <v>249</v>
      </c>
      <c r="F20" s="88" t="s">
        <v>249</v>
      </c>
      <c r="G20" s="88" t="s">
        <v>249</v>
      </c>
      <c r="H20" s="88" t="s">
        <v>249</v>
      </c>
      <c r="I20" s="88" t="s">
        <v>249</v>
      </c>
      <c r="J20" s="88" t="s">
        <v>249</v>
      </c>
      <c r="K20" s="88" t="s">
        <v>249</v>
      </c>
      <c r="L20" s="88" t="s">
        <v>249</v>
      </c>
      <c r="M20" s="88" t="s">
        <v>249</v>
      </c>
      <c r="N20" s="88" t="s">
        <v>249</v>
      </c>
      <c r="O20" s="88" t="s">
        <v>249</v>
      </c>
      <c r="P20" s="89" t="s">
        <v>250</v>
      </c>
      <c r="Q20" s="89" t="s">
        <v>250</v>
      </c>
      <c r="R20" s="89" t="s">
        <v>250</v>
      </c>
      <c r="S20" s="89" t="s">
        <v>250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249</v>
      </c>
      <c r="D21" s="88" t="s">
        <v>249</v>
      </c>
      <c r="E21" s="88" t="s">
        <v>249</v>
      </c>
      <c r="F21" s="88" t="s">
        <v>249</v>
      </c>
      <c r="G21" s="88" t="s">
        <v>249</v>
      </c>
      <c r="H21" s="88" t="s">
        <v>249</v>
      </c>
      <c r="I21" s="88" t="s">
        <v>249</v>
      </c>
      <c r="J21" s="88" t="s">
        <v>249</v>
      </c>
      <c r="K21" s="88" t="s">
        <v>249</v>
      </c>
      <c r="L21" s="88" t="s">
        <v>249</v>
      </c>
      <c r="M21" s="88" t="s">
        <v>249</v>
      </c>
      <c r="N21" s="88" t="s">
        <v>249</v>
      </c>
      <c r="O21" s="88" t="s">
        <v>249</v>
      </c>
      <c r="P21" s="89" t="s">
        <v>250</v>
      </c>
      <c r="Q21" s="89" t="s">
        <v>250</v>
      </c>
      <c r="R21" s="89" t="s">
        <v>250</v>
      </c>
      <c r="S21" s="89" t="s">
        <v>250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249</v>
      </c>
      <c r="D22" s="88" t="s">
        <v>249</v>
      </c>
      <c r="E22" s="88" t="s">
        <v>249</v>
      </c>
      <c r="F22" s="88" t="s">
        <v>249</v>
      </c>
      <c r="G22" s="88" t="s">
        <v>249</v>
      </c>
      <c r="H22" s="88" t="s">
        <v>249</v>
      </c>
      <c r="I22" s="88" t="s">
        <v>249</v>
      </c>
      <c r="J22" s="88" t="s">
        <v>249</v>
      </c>
      <c r="K22" s="88" t="s">
        <v>249</v>
      </c>
      <c r="L22" s="88" t="s">
        <v>249</v>
      </c>
      <c r="M22" s="88" t="s">
        <v>249</v>
      </c>
      <c r="N22" s="88" t="s">
        <v>249</v>
      </c>
      <c r="O22" s="88" t="s">
        <v>249</v>
      </c>
      <c r="P22" s="89" t="s">
        <v>250</v>
      </c>
      <c r="Q22" s="89" t="s">
        <v>250</v>
      </c>
      <c r="R22" s="89" t="s">
        <v>250</v>
      </c>
      <c r="S22" s="89" t="s">
        <v>250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249</v>
      </c>
      <c r="D23" s="88" t="s">
        <v>249</v>
      </c>
      <c r="E23" s="88" t="s">
        <v>249</v>
      </c>
      <c r="F23" s="88" t="s">
        <v>249</v>
      </c>
      <c r="G23" s="88" t="s">
        <v>249</v>
      </c>
      <c r="H23" s="88" t="s">
        <v>249</v>
      </c>
      <c r="I23" s="88" t="s">
        <v>249</v>
      </c>
      <c r="J23" s="88" t="s">
        <v>249</v>
      </c>
      <c r="K23" s="88" t="s">
        <v>249</v>
      </c>
      <c r="L23" s="88" t="s">
        <v>249</v>
      </c>
      <c r="M23" s="88" t="s">
        <v>249</v>
      </c>
      <c r="N23" s="88" t="s">
        <v>249</v>
      </c>
      <c r="O23" s="88" t="s">
        <v>249</v>
      </c>
      <c r="P23" s="89" t="s">
        <v>250</v>
      </c>
      <c r="Q23" s="89" t="s">
        <v>250</v>
      </c>
      <c r="R23" s="89" t="s">
        <v>250</v>
      </c>
      <c r="S23" s="89" t="s">
        <v>250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249</v>
      </c>
      <c r="D24" s="88" t="s">
        <v>249</v>
      </c>
      <c r="E24" s="88" t="s">
        <v>249</v>
      </c>
      <c r="F24" s="88" t="s">
        <v>249</v>
      </c>
      <c r="G24" s="88" t="s">
        <v>249</v>
      </c>
      <c r="H24" s="88" t="s">
        <v>249</v>
      </c>
      <c r="I24" s="88" t="s">
        <v>249</v>
      </c>
      <c r="J24" s="88" t="s">
        <v>249</v>
      </c>
      <c r="K24" s="88" t="s">
        <v>249</v>
      </c>
      <c r="L24" s="88" t="s">
        <v>249</v>
      </c>
      <c r="M24" s="88" t="s">
        <v>249</v>
      </c>
      <c r="N24" s="88" t="s">
        <v>249</v>
      </c>
      <c r="O24" s="88" t="s">
        <v>249</v>
      </c>
      <c r="P24" s="89" t="s">
        <v>250</v>
      </c>
      <c r="Q24" s="89" t="s">
        <v>250</v>
      </c>
      <c r="R24" s="89" t="s">
        <v>250</v>
      </c>
      <c r="S24" s="89" t="s">
        <v>250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250</v>
      </c>
      <c r="D25" s="89" t="s">
        <v>250</v>
      </c>
      <c r="E25" s="89" t="s">
        <v>250</v>
      </c>
      <c r="F25" s="89" t="s">
        <v>250</v>
      </c>
      <c r="G25" s="89" t="s">
        <v>250</v>
      </c>
      <c r="H25" s="89" t="s">
        <v>250</v>
      </c>
      <c r="I25" s="89" t="s">
        <v>250</v>
      </c>
      <c r="J25" s="89" t="s">
        <v>250</v>
      </c>
      <c r="K25" s="89" t="s">
        <v>250</v>
      </c>
      <c r="L25" s="89" t="s">
        <v>250</v>
      </c>
      <c r="M25" s="89" t="s">
        <v>250</v>
      </c>
      <c r="N25" s="89" t="s">
        <v>250</v>
      </c>
      <c r="O25" s="89" t="s">
        <v>250</v>
      </c>
      <c r="P25" s="89" t="s">
        <v>250</v>
      </c>
      <c r="Q25" s="89" t="s">
        <v>250</v>
      </c>
      <c r="R25" s="89" t="s">
        <v>250</v>
      </c>
      <c r="S25" s="89" t="s">
        <v>250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250</v>
      </c>
      <c r="D26" s="89" t="s">
        <v>250</v>
      </c>
      <c r="E26" s="89" t="s">
        <v>250</v>
      </c>
      <c r="F26" s="89" t="s">
        <v>250</v>
      </c>
      <c r="G26" s="89" t="s">
        <v>250</v>
      </c>
      <c r="H26" s="89" t="s">
        <v>250</v>
      </c>
      <c r="I26" s="89" t="s">
        <v>250</v>
      </c>
      <c r="J26" s="89" t="s">
        <v>250</v>
      </c>
      <c r="K26" s="89" t="s">
        <v>250</v>
      </c>
      <c r="L26" s="89" t="s">
        <v>250</v>
      </c>
      <c r="M26" s="89" t="s">
        <v>250</v>
      </c>
      <c r="N26" s="89" t="s">
        <v>250</v>
      </c>
      <c r="O26" s="89" t="s">
        <v>250</v>
      </c>
      <c r="P26" s="89" t="s">
        <v>250</v>
      </c>
      <c r="Q26" s="89" t="s">
        <v>250</v>
      </c>
      <c r="R26" s="89" t="s">
        <v>250</v>
      </c>
      <c r="S26" s="89" t="s">
        <v>250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9" t="s">
        <v>93</v>
      </c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246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251</v>
      </c>
      <c r="D35" s="265" t="s">
        <v>251</v>
      </c>
      <c r="E35" s="265" t="s">
        <v>251</v>
      </c>
      <c r="F35" s="265" t="s">
        <v>251</v>
      </c>
      <c r="G35" s="265" t="s">
        <v>251</v>
      </c>
      <c r="H35" s="265" t="s">
        <v>251</v>
      </c>
      <c r="I35" s="265" t="s">
        <v>251</v>
      </c>
      <c r="J35" s="265" t="s">
        <v>251</v>
      </c>
      <c r="K35" s="265" t="s">
        <v>251</v>
      </c>
      <c r="L35" s="265" t="s">
        <v>251</v>
      </c>
      <c r="M35" s="265" t="s">
        <v>251</v>
      </c>
      <c r="N35" s="265" t="s">
        <v>251</v>
      </c>
      <c r="O35" s="265" t="s">
        <v>251</v>
      </c>
      <c r="P35" s="265" t="s">
        <v>251</v>
      </c>
      <c r="Q35" s="265" t="s">
        <v>251</v>
      </c>
      <c r="R35" s="265" t="s">
        <v>251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251</v>
      </c>
      <c r="D36" s="265" t="s">
        <v>251</v>
      </c>
      <c r="E36" s="265" t="s">
        <v>251</v>
      </c>
      <c r="F36" s="265" t="s">
        <v>251</v>
      </c>
      <c r="G36" s="265" t="s">
        <v>251</v>
      </c>
      <c r="H36" s="265" t="s">
        <v>251</v>
      </c>
      <c r="I36" s="265" t="s">
        <v>251</v>
      </c>
      <c r="J36" s="265" t="s">
        <v>251</v>
      </c>
      <c r="K36" s="265" t="s">
        <v>251</v>
      </c>
      <c r="L36" s="265" t="s">
        <v>251</v>
      </c>
      <c r="M36" s="265" t="s">
        <v>251</v>
      </c>
      <c r="N36" s="265" t="s">
        <v>251</v>
      </c>
      <c r="O36" s="265" t="s">
        <v>251</v>
      </c>
      <c r="P36" s="265" t="s">
        <v>251</v>
      </c>
      <c r="Q36" s="265" t="s">
        <v>251</v>
      </c>
      <c r="R36" s="265" t="s">
        <v>251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251</v>
      </c>
      <c r="D37" s="265" t="s">
        <v>251</v>
      </c>
      <c r="E37" s="265" t="s">
        <v>251</v>
      </c>
      <c r="F37" s="265" t="s">
        <v>251</v>
      </c>
      <c r="G37" s="265" t="s">
        <v>251</v>
      </c>
      <c r="H37" s="265" t="s">
        <v>251</v>
      </c>
      <c r="I37" s="265" t="s">
        <v>251</v>
      </c>
      <c r="J37" s="265" t="s">
        <v>251</v>
      </c>
      <c r="K37" s="265" t="s">
        <v>251</v>
      </c>
      <c r="L37" s="265" t="s">
        <v>251</v>
      </c>
      <c r="M37" s="265" t="s">
        <v>251</v>
      </c>
      <c r="N37" s="265" t="s">
        <v>251</v>
      </c>
      <c r="O37" s="265" t="s">
        <v>251</v>
      </c>
      <c r="P37" s="265" t="s">
        <v>251</v>
      </c>
      <c r="Q37" s="265" t="s">
        <v>251</v>
      </c>
      <c r="R37" s="265" t="s">
        <v>251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251</v>
      </c>
      <c r="D38" s="265" t="s">
        <v>251</v>
      </c>
      <c r="E38" s="265" t="s">
        <v>251</v>
      </c>
      <c r="F38" s="265" t="s">
        <v>251</v>
      </c>
      <c r="G38" s="265" t="s">
        <v>251</v>
      </c>
      <c r="H38" s="265" t="s">
        <v>251</v>
      </c>
      <c r="I38" s="265" t="s">
        <v>251</v>
      </c>
      <c r="J38" s="265" t="s">
        <v>251</v>
      </c>
      <c r="K38" s="265" t="s">
        <v>251</v>
      </c>
      <c r="L38" s="265" t="s">
        <v>251</v>
      </c>
      <c r="M38" s="265" t="s">
        <v>251</v>
      </c>
      <c r="N38" s="265" t="s">
        <v>251</v>
      </c>
      <c r="O38" s="265" t="s">
        <v>251</v>
      </c>
      <c r="P38" s="265" t="s">
        <v>251</v>
      </c>
      <c r="Q38" s="265" t="s">
        <v>251</v>
      </c>
      <c r="R38" s="265" t="s">
        <v>251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251</v>
      </c>
      <c r="D39" s="265" t="s">
        <v>251</v>
      </c>
      <c r="E39" s="265" t="s">
        <v>251</v>
      </c>
      <c r="F39" s="265" t="s">
        <v>251</v>
      </c>
      <c r="G39" s="265" t="s">
        <v>251</v>
      </c>
      <c r="H39" s="265" t="s">
        <v>251</v>
      </c>
      <c r="I39" s="265" t="s">
        <v>251</v>
      </c>
      <c r="J39" s="265" t="s">
        <v>251</v>
      </c>
      <c r="K39" s="265" t="s">
        <v>251</v>
      </c>
      <c r="L39" s="265" t="s">
        <v>251</v>
      </c>
      <c r="M39" s="265" t="s">
        <v>251</v>
      </c>
      <c r="N39" s="265" t="s">
        <v>251</v>
      </c>
      <c r="O39" s="265" t="s">
        <v>251</v>
      </c>
      <c r="P39" s="265" t="s">
        <v>251</v>
      </c>
      <c r="Q39" s="265" t="s">
        <v>251</v>
      </c>
      <c r="R39" s="265" t="s">
        <v>251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251</v>
      </c>
      <c r="D40" s="265" t="s">
        <v>251</v>
      </c>
      <c r="E40" s="265" t="s">
        <v>251</v>
      </c>
      <c r="F40" s="265" t="s">
        <v>251</v>
      </c>
      <c r="G40" s="265" t="s">
        <v>251</v>
      </c>
      <c r="H40" s="265" t="s">
        <v>251</v>
      </c>
      <c r="I40" s="265" t="s">
        <v>251</v>
      </c>
      <c r="J40" s="265" t="s">
        <v>251</v>
      </c>
      <c r="K40" s="265" t="s">
        <v>251</v>
      </c>
      <c r="L40" s="265" t="s">
        <v>251</v>
      </c>
      <c r="M40" s="265" t="s">
        <v>251</v>
      </c>
      <c r="N40" s="265" t="s">
        <v>251</v>
      </c>
      <c r="O40" s="265" t="s">
        <v>251</v>
      </c>
      <c r="P40" s="265" t="s">
        <v>251</v>
      </c>
      <c r="Q40" s="265" t="s">
        <v>251</v>
      </c>
      <c r="R40" s="265" t="s">
        <v>251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251</v>
      </c>
      <c r="D41" s="265" t="s">
        <v>251</v>
      </c>
      <c r="E41" s="265" t="s">
        <v>251</v>
      </c>
      <c r="F41" s="265" t="s">
        <v>251</v>
      </c>
      <c r="G41" s="265" t="s">
        <v>251</v>
      </c>
      <c r="H41" s="265" t="s">
        <v>251</v>
      </c>
      <c r="I41" s="265" t="s">
        <v>251</v>
      </c>
      <c r="J41" s="265" t="s">
        <v>251</v>
      </c>
      <c r="K41" s="265" t="s">
        <v>251</v>
      </c>
      <c r="L41" s="265" t="s">
        <v>251</v>
      </c>
      <c r="M41" s="265" t="s">
        <v>251</v>
      </c>
      <c r="N41" s="265" t="s">
        <v>251</v>
      </c>
      <c r="O41" s="265" t="s">
        <v>251</v>
      </c>
      <c r="P41" s="265" t="s">
        <v>251</v>
      </c>
      <c r="Q41" s="265" t="s">
        <v>251</v>
      </c>
      <c r="R41" s="265" t="s">
        <v>251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251</v>
      </c>
      <c r="D42" s="265" t="s">
        <v>251</v>
      </c>
      <c r="E42" s="265" t="s">
        <v>251</v>
      </c>
      <c r="F42" s="265" t="s">
        <v>251</v>
      </c>
      <c r="G42" s="265" t="s">
        <v>251</v>
      </c>
      <c r="H42" s="265" t="s">
        <v>251</v>
      </c>
      <c r="I42" s="265" t="s">
        <v>251</v>
      </c>
      <c r="J42" s="265" t="s">
        <v>251</v>
      </c>
      <c r="K42" s="265" t="s">
        <v>251</v>
      </c>
      <c r="L42" s="265" t="s">
        <v>251</v>
      </c>
      <c r="M42" s="265" t="s">
        <v>251</v>
      </c>
      <c r="N42" s="265" t="s">
        <v>251</v>
      </c>
      <c r="O42" s="265" t="s">
        <v>251</v>
      </c>
      <c r="P42" s="265" t="s">
        <v>251</v>
      </c>
      <c r="Q42" s="265" t="s">
        <v>251</v>
      </c>
      <c r="R42" s="265" t="s">
        <v>251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251</v>
      </c>
      <c r="D43" s="265" t="s">
        <v>251</v>
      </c>
      <c r="E43" s="265" t="s">
        <v>251</v>
      </c>
      <c r="F43" s="265" t="s">
        <v>251</v>
      </c>
      <c r="G43" s="265" t="s">
        <v>251</v>
      </c>
      <c r="H43" s="265" t="s">
        <v>251</v>
      </c>
      <c r="I43" s="265" t="s">
        <v>251</v>
      </c>
      <c r="J43" s="265" t="s">
        <v>251</v>
      </c>
      <c r="K43" s="265" t="s">
        <v>251</v>
      </c>
      <c r="L43" s="265" t="s">
        <v>251</v>
      </c>
      <c r="M43" s="265" t="s">
        <v>251</v>
      </c>
      <c r="N43" s="265" t="s">
        <v>251</v>
      </c>
      <c r="O43" s="265" t="s">
        <v>251</v>
      </c>
      <c r="P43" s="265" t="s">
        <v>251</v>
      </c>
      <c r="Q43" s="265" t="s">
        <v>251</v>
      </c>
      <c r="R43" s="265" t="s">
        <v>251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251</v>
      </c>
      <c r="D44" s="265" t="s">
        <v>251</v>
      </c>
      <c r="E44" s="265" t="s">
        <v>251</v>
      </c>
      <c r="F44" s="265" t="s">
        <v>251</v>
      </c>
      <c r="G44" s="265" t="s">
        <v>251</v>
      </c>
      <c r="H44" s="265" t="s">
        <v>251</v>
      </c>
      <c r="I44" s="265" t="s">
        <v>251</v>
      </c>
      <c r="J44" s="265" t="s">
        <v>251</v>
      </c>
      <c r="K44" s="265" t="s">
        <v>251</v>
      </c>
      <c r="L44" s="265" t="s">
        <v>251</v>
      </c>
      <c r="M44" s="265" t="s">
        <v>251</v>
      </c>
      <c r="N44" s="265" t="s">
        <v>251</v>
      </c>
      <c r="O44" s="265" t="s">
        <v>251</v>
      </c>
      <c r="P44" s="265" t="s">
        <v>251</v>
      </c>
      <c r="Q44" s="265" t="s">
        <v>251</v>
      </c>
      <c r="R44" s="265" t="s">
        <v>251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251</v>
      </c>
      <c r="D45" s="265" t="s">
        <v>251</v>
      </c>
      <c r="E45" s="265" t="s">
        <v>251</v>
      </c>
      <c r="F45" s="265" t="s">
        <v>251</v>
      </c>
      <c r="G45" s="265" t="s">
        <v>251</v>
      </c>
      <c r="H45" s="265" t="s">
        <v>251</v>
      </c>
      <c r="I45" s="265" t="s">
        <v>251</v>
      </c>
      <c r="J45" s="265" t="s">
        <v>251</v>
      </c>
      <c r="K45" s="265" t="s">
        <v>251</v>
      </c>
      <c r="L45" s="265" t="s">
        <v>251</v>
      </c>
      <c r="M45" s="265" t="s">
        <v>251</v>
      </c>
      <c r="N45" s="265" t="s">
        <v>251</v>
      </c>
      <c r="O45" s="265" t="s">
        <v>251</v>
      </c>
      <c r="P45" s="265" t="s">
        <v>251</v>
      </c>
      <c r="Q45" s="265" t="s">
        <v>251</v>
      </c>
      <c r="R45" s="265" t="s">
        <v>251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251</v>
      </c>
      <c r="D46" s="265" t="s">
        <v>251</v>
      </c>
      <c r="E46" s="265" t="s">
        <v>251</v>
      </c>
      <c r="F46" s="265" t="s">
        <v>251</v>
      </c>
      <c r="G46" s="265" t="s">
        <v>251</v>
      </c>
      <c r="H46" s="265" t="s">
        <v>251</v>
      </c>
      <c r="I46" s="265" t="s">
        <v>251</v>
      </c>
      <c r="J46" s="265" t="s">
        <v>251</v>
      </c>
      <c r="K46" s="265" t="s">
        <v>251</v>
      </c>
      <c r="L46" s="265" t="s">
        <v>251</v>
      </c>
      <c r="M46" s="265" t="s">
        <v>251</v>
      </c>
      <c r="N46" s="265" t="s">
        <v>251</v>
      </c>
      <c r="O46" s="265" t="s">
        <v>251</v>
      </c>
      <c r="P46" s="265" t="s">
        <v>251</v>
      </c>
      <c r="Q46" s="265" t="s">
        <v>251</v>
      </c>
      <c r="R46" s="265" t="s">
        <v>251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251</v>
      </c>
      <c r="D47" s="265" t="s">
        <v>251</v>
      </c>
      <c r="E47" s="265" t="s">
        <v>251</v>
      </c>
      <c r="F47" s="265" t="s">
        <v>251</v>
      </c>
      <c r="G47" s="265" t="s">
        <v>251</v>
      </c>
      <c r="H47" s="265" t="s">
        <v>251</v>
      </c>
      <c r="I47" s="265" t="s">
        <v>251</v>
      </c>
      <c r="J47" s="265" t="s">
        <v>251</v>
      </c>
      <c r="K47" s="265" t="s">
        <v>251</v>
      </c>
      <c r="L47" s="265" t="s">
        <v>251</v>
      </c>
      <c r="M47" s="265" t="s">
        <v>251</v>
      </c>
      <c r="N47" s="265" t="s">
        <v>251</v>
      </c>
      <c r="O47" s="265" t="s">
        <v>251</v>
      </c>
      <c r="P47" s="265" t="s">
        <v>251</v>
      </c>
      <c r="Q47" s="265" t="s">
        <v>251</v>
      </c>
      <c r="R47" s="265" t="s">
        <v>251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251</v>
      </c>
      <c r="D48" s="265" t="s">
        <v>251</v>
      </c>
      <c r="E48" s="265" t="s">
        <v>251</v>
      </c>
      <c r="F48" s="265" t="s">
        <v>251</v>
      </c>
      <c r="G48" s="265" t="s">
        <v>251</v>
      </c>
      <c r="H48" s="265" t="s">
        <v>251</v>
      </c>
      <c r="I48" s="265" t="s">
        <v>251</v>
      </c>
      <c r="J48" s="265" t="s">
        <v>251</v>
      </c>
      <c r="K48" s="265" t="s">
        <v>251</v>
      </c>
      <c r="L48" s="265" t="s">
        <v>251</v>
      </c>
      <c r="M48" s="265" t="s">
        <v>251</v>
      </c>
      <c r="N48" s="265" t="s">
        <v>251</v>
      </c>
      <c r="O48" s="265" t="s">
        <v>251</v>
      </c>
      <c r="P48" s="265" t="s">
        <v>251</v>
      </c>
      <c r="Q48" s="265" t="s">
        <v>251</v>
      </c>
      <c r="R48" s="265" t="s">
        <v>251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251</v>
      </c>
      <c r="D49" s="265" t="s">
        <v>251</v>
      </c>
      <c r="E49" s="265" t="s">
        <v>251</v>
      </c>
      <c r="F49" s="265" t="s">
        <v>251</v>
      </c>
      <c r="G49" s="265" t="s">
        <v>251</v>
      </c>
      <c r="H49" s="265" t="s">
        <v>251</v>
      </c>
      <c r="I49" s="265" t="s">
        <v>251</v>
      </c>
      <c r="J49" s="265" t="s">
        <v>251</v>
      </c>
      <c r="K49" s="265" t="s">
        <v>251</v>
      </c>
      <c r="L49" s="265" t="s">
        <v>251</v>
      </c>
      <c r="M49" s="265" t="s">
        <v>251</v>
      </c>
      <c r="N49" s="265" t="s">
        <v>251</v>
      </c>
      <c r="O49" s="265" t="s">
        <v>251</v>
      </c>
      <c r="P49" s="265" t="s">
        <v>251</v>
      </c>
      <c r="Q49" s="265" t="s">
        <v>251</v>
      </c>
      <c r="R49" s="265" t="s">
        <v>251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251</v>
      </c>
      <c r="D50" s="265" t="s">
        <v>251</v>
      </c>
      <c r="E50" s="265" t="s">
        <v>251</v>
      </c>
      <c r="F50" s="265" t="s">
        <v>251</v>
      </c>
      <c r="G50" s="265" t="s">
        <v>251</v>
      </c>
      <c r="H50" s="265" t="s">
        <v>251</v>
      </c>
      <c r="I50" s="265" t="s">
        <v>251</v>
      </c>
      <c r="J50" s="265" t="s">
        <v>251</v>
      </c>
      <c r="K50" s="265" t="s">
        <v>251</v>
      </c>
      <c r="L50" s="265" t="s">
        <v>251</v>
      </c>
      <c r="M50" s="265" t="s">
        <v>251</v>
      </c>
      <c r="N50" s="265" t="s">
        <v>251</v>
      </c>
      <c r="O50" s="265" t="s">
        <v>251</v>
      </c>
      <c r="P50" s="265" t="s">
        <v>251</v>
      </c>
      <c r="Q50" s="265" t="s">
        <v>251</v>
      </c>
      <c r="R50" s="265" t="s">
        <v>251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251</v>
      </c>
      <c r="D51" s="265" t="s">
        <v>251</v>
      </c>
      <c r="E51" s="265" t="s">
        <v>251</v>
      </c>
      <c r="F51" s="265" t="s">
        <v>251</v>
      </c>
      <c r="G51" s="265" t="s">
        <v>251</v>
      </c>
      <c r="H51" s="265" t="s">
        <v>251</v>
      </c>
      <c r="I51" s="265" t="s">
        <v>251</v>
      </c>
      <c r="J51" s="265" t="s">
        <v>251</v>
      </c>
      <c r="K51" s="265" t="s">
        <v>251</v>
      </c>
      <c r="L51" s="265" t="s">
        <v>251</v>
      </c>
      <c r="M51" s="265" t="s">
        <v>251</v>
      </c>
      <c r="N51" s="265" t="s">
        <v>251</v>
      </c>
      <c r="O51" s="265" t="s">
        <v>251</v>
      </c>
      <c r="P51" s="265" t="s">
        <v>251</v>
      </c>
      <c r="Q51" s="265" t="s">
        <v>251</v>
      </c>
      <c r="R51" s="265" t="s">
        <v>251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309</v>
      </c>
      <c r="G4" s="3" t="s">
        <v>85</v>
      </c>
      <c r="H4" s="3" t="s">
        <v>86</v>
      </c>
      <c r="I4" s="3" t="s">
        <v>257</v>
      </c>
      <c r="J4" s="3" t="s">
        <v>87</v>
      </c>
      <c r="K4" s="3" t="s">
        <v>269</v>
      </c>
      <c r="L4" s="3" t="s">
        <v>121</v>
      </c>
      <c r="M4" s="3" t="s">
        <v>203</v>
      </c>
      <c r="N4" s="3" t="s">
        <v>210</v>
      </c>
      <c r="O4" s="3" t="s">
        <v>226</v>
      </c>
      <c r="P4" s="3" t="s">
        <v>287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201</v>
      </c>
      <c r="V4" s="159" t="s">
        <v>51</v>
      </c>
      <c r="W4" s="159" t="s">
        <v>53</v>
      </c>
      <c r="X4" s="159" t="s">
        <v>54</v>
      </c>
      <c r="Y4" s="159" t="s">
        <v>202</v>
      </c>
      <c r="Z4" s="159" t="s">
        <v>208</v>
      </c>
      <c r="AA4" s="159" t="s">
        <v>135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310</v>
      </c>
      <c r="F6" s="336">
        <v>320</v>
      </c>
      <c r="G6" s="1" t="s">
        <v>70</v>
      </c>
      <c r="H6" s="1" t="s">
        <v>206</v>
      </c>
      <c r="I6" s="1" t="s">
        <v>275</v>
      </c>
      <c r="J6" s="1" t="s">
        <v>88</v>
      </c>
      <c r="K6" s="1" t="s">
        <v>262</v>
      </c>
      <c r="L6" s="7" t="s">
        <v>128</v>
      </c>
      <c r="M6" s="1" t="s">
        <v>321</v>
      </c>
      <c r="N6" s="1" t="s">
        <v>211</v>
      </c>
      <c r="O6" s="1" t="s">
        <v>153</v>
      </c>
      <c r="P6" s="1" t="s">
        <v>45</v>
      </c>
      <c r="Q6" s="158" t="s">
        <v>31</v>
      </c>
      <c r="R6" s="159" t="s">
        <v>237</v>
      </c>
      <c r="S6" s="159" t="s">
        <v>87</v>
      </c>
      <c r="T6" s="159" t="s">
        <v>228</v>
      </c>
      <c r="U6" s="159" t="s">
        <v>229</v>
      </c>
      <c r="V6" s="159" t="s">
        <v>230</v>
      </c>
      <c r="W6" s="159" t="s">
        <v>231</v>
      </c>
      <c r="X6" s="159" t="s">
        <v>232</v>
      </c>
      <c r="Y6" s="159" t="s">
        <v>233</v>
      </c>
      <c r="Z6" s="159" t="s">
        <v>234</v>
      </c>
      <c r="AA6" s="159" t="s">
        <v>235</v>
      </c>
      <c r="AB6" s="159" t="s">
        <v>236</v>
      </c>
      <c r="AC6" s="159"/>
      <c r="AD6" s="159" t="s">
        <v>134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311</v>
      </c>
      <c r="F7" s="336">
        <v>570</v>
      </c>
      <c r="G7" s="1" t="s">
        <v>69</v>
      </c>
      <c r="H7" s="1" t="s">
        <v>207</v>
      </c>
      <c r="I7" s="1" t="s">
        <v>258</v>
      </c>
      <c r="J7" s="1" t="s">
        <v>89</v>
      </c>
      <c r="K7" s="1" t="s">
        <v>263</v>
      </c>
      <c r="L7" s="7" t="s">
        <v>129</v>
      </c>
      <c r="M7" s="1" t="s">
        <v>204</v>
      </c>
      <c r="N7" s="1" t="s">
        <v>212</v>
      </c>
      <c r="O7" s="1" t="s">
        <v>227</v>
      </c>
      <c r="P7" s="1" t="s">
        <v>46</v>
      </c>
    </row>
    <row r="8" spans="2:30">
      <c r="B8" s="1" t="s">
        <v>21</v>
      </c>
      <c r="C8" s="50">
        <v>0.1</v>
      </c>
      <c r="E8" s="1" t="s">
        <v>312</v>
      </c>
      <c r="F8" s="336">
        <v>380</v>
      </c>
      <c r="H8" s="1" t="s">
        <v>96</v>
      </c>
      <c r="I8" s="1" t="s">
        <v>259</v>
      </c>
      <c r="J8" s="1" t="s">
        <v>90</v>
      </c>
      <c r="K8" s="1" t="s">
        <v>90</v>
      </c>
      <c r="L8" s="7" t="s">
        <v>130</v>
      </c>
      <c r="N8" s="1" t="s">
        <v>284</v>
      </c>
    </row>
    <row r="9" spans="2:30">
      <c r="B9" s="1" t="s">
        <v>22</v>
      </c>
      <c r="C9" s="50">
        <v>0.15</v>
      </c>
      <c r="E9" s="1" t="s">
        <v>313</v>
      </c>
      <c r="F9" s="336">
        <v>320</v>
      </c>
      <c r="H9" s="1" t="s">
        <v>273</v>
      </c>
      <c r="I9" s="1" t="s">
        <v>274</v>
      </c>
      <c r="J9" s="1" t="s">
        <v>209</v>
      </c>
      <c r="K9" s="1" t="s">
        <v>264</v>
      </c>
      <c r="L9" s="7" t="s">
        <v>131</v>
      </c>
      <c r="N9" s="1" t="s">
        <v>285</v>
      </c>
    </row>
    <row r="10" spans="2:30">
      <c r="B10" s="1" t="s">
        <v>23</v>
      </c>
      <c r="C10" s="50">
        <v>0.2</v>
      </c>
      <c r="E10" s="1" t="s">
        <v>314</v>
      </c>
      <c r="F10" s="336">
        <v>290</v>
      </c>
      <c r="H10" s="1" t="s">
        <v>245</v>
      </c>
      <c r="I10" s="1" t="s">
        <v>260</v>
      </c>
      <c r="J10" s="1" t="s">
        <v>244</v>
      </c>
      <c r="K10" s="1" t="s">
        <v>265</v>
      </c>
      <c r="L10" s="7" t="s">
        <v>192</v>
      </c>
    </row>
    <row r="11" spans="2:30" ht="15.75" thickBot="1">
      <c r="B11" s="1" t="s">
        <v>24</v>
      </c>
      <c r="C11" s="50">
        <v>0.25</v>
      </c>
      <c r="E11" s="1" t="s">
        <v>315</v>
      </c>
      <c r="F11" s="336">
        <v>720</v>
      </c>
      <c r="H11" s="1" t="s">
        <v>214</v>
      </c>
      <c r="I11" s="1" t="s">
        <v>261</v>
      </c>
      <c r="J11" s="1" t="s">
        <v>156</v>
      </c>
      <c r="K11" s="1" t="s">
        <v>266</v>
      </c>
      <c r="Q11" s="156"/>
      <c r="R11" s="1"/>
      <c r="S11" s="367"/>
      <c r="T11" s="367"/>
      <c r="U11" s="367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316</v>
      </c>
      <c r="F12" s="336">
        <v>880</v>
      </c>
      <c r="J12" s="1" t="s">
        <v>191</v>
      </c>
      <c r="K12" s="1" t="s">
        <v>267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142</v>
      </c>
    </row>
    <row r="13" spans="2:30">
      <c r="B13" s="1" t="s">
        <v>288</v>
      </c>
      <c r="C13" s="50">
        <v>0.35</v>
      </c>
      <c r="J13" s="1" t="s">
        <v>157</v>
      </c>
      <c r="K13" s="1" t="s">
        <v>268</v>
      </c>
      <c r="Q13" s="1"/>
      <c r="R13" s="1"/>
      <c r="S13" s="1"/>
      <c r="W13" s="1"/>
      <c r="X13" s="1"/>
      <c r="Y13" s="1"/>
    </row>
    <row r="14" spans="2:30" ht="15.75" thickBot="1">
      <c r="B14" s="1" t="s">
        <v>289</v>
      </c>
      <c r="C14" s="50">
        <v>0.4</v>
      </c>
      <c r="Q14" s="156"/>
      <c r="R14" s="1"/>
      <c r="S14" s="367"/>
      <c r="T14" s="367"/>
      <c r="U14" s="367"/>
      <c r="W14" s="367"/>
      <c r="X14" s="367"/>
      <c r="Y14" s="367"/>
    </row>
    <row r="15" spans="2:30" ht="15.75" thickTop="1">
      <c r="C15" s="50">
        <v>0.45</v>
      </c>
      <c r="Q15" s="9" t="s">
        <v>125</v>
      </c>
      <c r="R15" s="1"/>
      <c r="S15" s="9" t="s">
        <v>445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240</v>
      </c>
      <c r="R18" s="1"/>
      <c r="S18" s="9" t="s">
        <v>241</v>
      </c>
      <c r="W18" s="3" t="s">
        <v>242</v>
      </c>
      <c r="X18" s="3"/>
      <c r="Y18" s="34" t="s">
        <v>243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298</v>
      </c>
      <c r="E20" s="3" t="s">
        <v>317</v>
      </c>
      <c r="G20" s="3" t="s">
        <v>396</v>
      </c>
      <c r="H20" s="13"/>
      <c r="I20" s="140" t="s">
        <v>397</v>
      </c>
      <c r="Q20" s="156"/>
      <c r="R20" s="1"/>
      <c r="S20" s="367"/>
      <c r="T20" s="367"/>
      <c r="U20" s="367"/>
      <c r="W20" s="367"/>
      <c r="X20" s="367"/>
      <c r="Y20" s="367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239</v>
      </c>
      <c r="R21" s="1"/>
      <c r="S21" s="9" t="s">
        <v>446</v>
      </c>
      <c r="W21" s="9" t="s">
        <v>238</v>
      </c>
      <c r="X21" s="9"/>
      <c r="Y21" s="1"/>
    </row>
    <row r="22" spans="2:25">
      <c r="B22" s="1" t="s">
        <v>6</v>
      </c>
      <c r="E22" s="1" t="s">
        <v>318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299</v>
      </c>
      <c r="E23" s="1" t="s">
        <v>319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320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140</v>
      </c>
      <c r="R26" s="211" t="s">
        <v>141</v>
      </c>
      <c r="S26" s="212"/>
      <c r="T26" s="212"/>
      <c r="U26" s="213" t="s">
        <v>403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385</v>
      </c>
      <c r="F29" s="34" t="s">
        <v>388</v>
      </c>
      <c r="G29" s="3" t="s">
        <v>392</v>
      </c>
      <c r="H29" s="34" t="s">
        <v>395</v>
      </c>
      <c r="Q29" s="210" t="s">
        <v>237</v>
      </c>
      <c r="R29" s="211" t="s">
        <v>271</v>
      </c>
      <c r="S29" s="212"/>
      <c r="T29" s="212"/>
      <c r="U29" s="213" t="s">
        <v>359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386</v>
      </c>
      <c r="F31" s="13">
        <v>70.55</v>
      </c>
      <c r="G31" s="13">
        <f>F31/$G$28</f>
        <v>3.617948717948718</v>
      </c>
    </row>
    <row r="32" spans="2:25">
      <c r="E32" s="8" t="s">
        <v>387</v>
      </c>
      <c r="F32" s="13">
        <v>104.13</v>
      </c>
      <c r="G32" s="13">
        <f>F32/$G$28</f>
        <v>5.34</v>
      </c>
    </row>
    <row r="33" spans="5:19">
      <c r="E33" s="8" t="s">
        <v>389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390</v>
      </c>
      <c r="F35" s="34" t="s">
        <v>388</v>
      </c>
      <c r="G35" s="3" t="s">
        <v>392</v>
      </c>
      <c r="L35" s="13"/>
      <c r="Q35" s="163" t="s">
        <v>134</v>
      </c>
      <c r="S35" s="163" t="s">
        <v>134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138</v>
      </c>
      <c r="S36" s="163" t="s">
        <v>276</v>
      </c>
    </row>
    <row r="37" spans="5:19" ht="15.75">
      <c r="E37" s="8" t="s">
        <v>386</v>
      </c>
      <c r="F37" s="13">
        <v>191.25</v>
      </c>
      <c r="G37" s="13">
        <f t="shared" si="0"/>
        <v>9.8076923076923084</v>
      </c>
      <c r="L37" s="13"/>
      <c r="Q37" s="163" t="s">
        <v>453</v>
      </c>
      <c r="S37" s="163" t="s">
        <v>454</v>
      </c>
    </row>
    <row r="38" spans="5:19" ht="15.75">
      <c r="E38" s="8" t="s">
        <v>387</v>
      </c>
      <c r="F38" s="13">
        <v>104.13</v>
      </c>
      <c r="G38" s="13">
        <f t="shared" si="0"/>
        <v>5.34</v>
      </c>
      <c r="L38" s="13"/>
      <c r="Q38" s="163" t="s">
        <v>451</v>
      </c>
      <c r="S38" s="163" t="s">
        <v>452</v>
      </c>
    </row>
    <row r="39" spans="5:19" ht="15.75">
      <c r="E39" s="8" t="s">
        <v>389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403</v>
      </c>
      <c r="S39" s="163" t="s">
        <v>359</v>
      </c>
    </row>
    <row r="40" spans="5:19" ht="15.75">
      <c r="G40" s="13"/>
      <c r="L40" s="13"/>
      <c r="Q40" s="163" t="s">
        <v>455</v>
      </c>
      <c r="S40" s="163" t="s">
        <v>458</v>
      </c>
    </row>
    <row r="41" spans="5:19" ht="15.75">
      <c r="E41" s="3" t="s">
        <v>391</v>
      </c>
      <c r="F41" s="34" t="s">
        <v>388</v>
      </c>
      <c r="G41" s="3" t="s">
        <v>392</v>
      </c>
      <c r="L41" s="13"/>
      <c r="Q41" s="163" t="s">
        <v>456</v>
      </c>
      <c r="S41" s="163" t="s">
        <v>457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154</v>
      </c>
      <c r="S42" s="163" t="s">
        <v>277</v>
      </c>
    </row>
    <row r="43" spans="5:19">
      <c r="E43" s="8" t="s">
        <v>387</v>
      </c>
      <c r="F43" s="13">
        <v>104.13</v>
      </c>
      <c r="G43" s="13">
        <f t="shared" si="0"/>
        <v>5.34</v>
      </c>
      <c r="L43" s="13"/>
    </row>
    <row r="44" spans="5:19">
      <c r="E44" s="8" t="s">
        <v>389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393</v>
      </c>
      <c r="F46" s="34" t="s">
        <v>388</v>
      </c>
      <c r="G46" s="3" t="s">
        <v>392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387</v>
      </c>
      <c r="F48" s="13">
        <v>104.13</v>
      </c>
      <c r="G48" s="13">
        <f t="shared" si="1"/>
        <v>5.34</v>
      </c>
      <c r="L48" s="13"/>
    </row>
    <row r="49" spans="5:12">
      <c r="E49" s="8" t="s">
        <v>389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394</v>
      </c>
      <c r="F51" s="34" t="s">
        <v>388</v>
      </c>
      <c r="G51" s="3" t="s">
        <v>392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387</v>
      </c>
      <c r="F53" s="13">
        <v>104.13</v>
      </c>
      <c r="G53" s="13">
        <f t="shared" si="2"/>
        <v>5.34</v>
      </c>
      <c r="L53" s="13"/>
    </row>
    <row r="54" spans="5:12">
      <c r="E54" s="8" t="s">
        <v>389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407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408</v>
      </c>
      <c r="F64" s="330" t="s">
        <v>409</v>
      </c>
      <c r="G64" s="330" t="s">
        <v>419</v>
      </c>
      <c r="H64" s="330" t="s">
        <v>410</v>
      </c>
      <c r="I64" s="330" t="s">
        <v>411</v>
      </c>
      <c r="J64" s="330" t="s">
        <v>412</v>
      </c>
    </row>
    <row r="65" spans="5:10" ht="15.75">
      <c r="E65" s="329" t="s">
        <v>413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414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415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416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417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418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3" t="s">
        <v>90</v>
      </c>
      <c r="I82" s="373"/>
      <c r="J82" s="373" t="s">
        <v>439</v>
      </c>
      <c r="K82" s="373"/>
    </row>
    <row r="83" spans="5:12">
      <c r="H83" s="3" t="s">
        <v>47</v>
      </c>
      <c r="I83" s="34" t="s">
        <v>309</v>
      </c>
      <c r="K83" s="3" t="s">
        <v>47</v>
      </c>
      <c r="L83" s="34" t="s">
        <v>309</v>
      </c>
    </row>
    <row r="84" spans="5:12">
      <c r="E84" s="373" t="s">
        <v>88</v>
      </c>
      <c r="F84" s="373"/>
    </row>
    <row r="85" spans="5:12">
      <c r="E85" s="3" t="s">
        <v>47</v>
      </c>
      <c r="F85" s="34" t="s">
        <v>309</v>
      </c>
      <c r="H85" s="1" t="s">
        <v>45</v>
      </c>
      <c r="K85" s="1" t="s">
        <v>45</v>
      </c>
    </row>
    <row r="86" spans="5:12">
      <c r="E86" s="1" t="s">
        <v>45</v>
      </c>
      <c r="H86" s="1" t="s">
        <v>310</v>
      </c>
      <c r="I86" s="336">
        <v>320</v>
      </c>
      <c r="K86" s="1" t="s">
        <v>312</v>
      </c>
      <c r="L86" s="336">
        <v>380</v>
      </c>
    </row>
    <row r="87" spans="5:12">
      <c r="E87" s="1" t="s">
        <v>310</v>
      </c>
      <c r="F87" s="336">
        <v>320</v>
      </c>
      <c r="H87" s="1" t="s">
        <v>312</v>
      </c>
      <c r="I87" s="336">
        <v>380</v>
      </c>
      <c r="K87" s="1" t="s">
        <v>313</v>
      </c>
      <c r="L87" s="336">
        <v>320</v>
      </c>
    </row>
    <row r="88" spans="5:12">
      <c r="E88" s="1" t="s">
        <v>311</v>
      </c>
      <c r="F88" s="336">
        <v>570</v>
      </c>
      <c r="H88" s="1" t="s">
        <v>313</v>
      </c>
      <c r="I88" s="336">
        <v>320</v>
      </c>
      <c r="K88" s="1" t="s">
        <v>314</v>
      </c>
      <c r="L88" s="336">
        <v>290</v>
      </c>
    </row>
    <row r="89" spans="5:12">
      <c r="E89" s="1" t="s">
        <v>312</v>
      </c>
      <c r="F89" s="336">
        <v>380</v>
      </c>
    </row>
    <row r="90" spans="5:12">
      <c r="E90" s="1" t="s">
        <v>313</v>
      </c>
      <c r="F90" s="336">
        <v>320</v>
      </c>
    </row>
    <row r="91" spans="5:12">
      <c r="E91" s="1" t="s">
        <v>314</v>
      </c>
      <c r="F91" s="336">
        <v>290</v>
      </c>
    </row>
    <row r="92" spans="5:12">
      <c r="E92" s="1" t="s">
        <v>315</v>
      </c>
      <c r="F92" s="336">
        <v>720</v>
      </c>
    </row>
    <row r="93" spans="5:12">
      <c r="E93" s="1" t="s">
        <v>316</v>
      </c>
      <c r="F93" s="336">
        <v>880</v>
      </c>
    </row>
    <row r="101" spans="7:7">
      <c r="G101" s="3" t="s">
        <v>440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4" t="s">
        <v>213</v>
      </c>
      <c r="V1" s="374"/>
      <c r="AG1" s="376" t="s">
        <v>217</v>
      </c>
      <c r="AH1" s="377"/>
      <c r="AI1" s="377"/>
      <c r="AJ1" s="377"/>
      <c r="AK1" s="377"/>
      <c r="AL1" s="377"/>
      <c r="AM1" s="377"/>
      <c r="AN1" s="377"/>
      <c r="AO1" s="293"/>
    </row>
    <row r="2" spans="2:41" ht="15" customHeight="1">
      <c r="C2" s="223" t="str">
        <f>'CALCULATOR SHEET'!T2</f>
        <v>REV.4.13 MAY1722</v>
      </c>
      <c r="D2" s="125" t="s">
        <v>190</v>
      </c>
      <c r="F2" s="38" t="s">
        <v>158</v>
      </c>
      <c r="G2" s="224">
        <f ca="1">TODAY()</f>
        <v>45966</v>
      </c>
      <c r="H2" s="223"/>
      <c r="U2" s="374"/>
      <c r="V2" s="374"/>
      <c r="AG2" s="378"/>
      <c r="AH2" s="379"/>
      <c r="AI2" s="379"/>
      <c r="AJ2" s="379"/>
      <c r="AK2" s="379"/>
      <c r="AL2" s="379"/>
      <c r="AM2" s="379"/>
      <c r="AN2" s="379"/>
      <c r="AO2" s="293"/>
    </row>
    <row r="3" spans="2:41" ht="15" customHeight="1">
      <c r="C3" s="223" t="s">
        <v>159</v>
      </c>
      <c r="G3" s="226"/>
      <c r="I3" s="34">
        <v>0</v>
      </c>
      <c r="U3" s="375"/>
      <c r="V3" s="375"/>
      <c r="AG3" s="380"/>
      <c r="AH3" s="381"/>
      <c r="AI3" s="381"/>
      <c r="AJ3" s="381"/>
      <c r="AK3" s="381"/>
      <c r="AL3" s="381"/>
      <c r="AM3" s="381"/>
      <c r="AN3" s="381"/>
      <c r="AO3" s="293"/>
    </row>
    <row r="4" spans="2:41" s="246" customFormat="1" ht="50.1" customHeight="1">
      <c r="B4" s="247" t="s">
        <v>160</v>
      </c>
      <c r="C4" s="247" t="s">
        <v>161</v>
      </c>
      <c r="D4" s="248" t="s">
        <v>162</v>
      </c>
      <c r="E4" s="248" t="s">
        <v>163</v>
      </c>
      <c r="F4" s="247" t="s">
        <v>164</v>
      </c>
      <c r="G4" s="247" t="s">
        <v>165</v>
      </c>
      <c r="H4" s="249" t="s">
        <v>247</v>
      </c>
      <c r="I4" s="247" t="s">
        <v>166</v>
      </c>
      <c r="J4" s="266" t="s">
        <v>167</v>
      </c>
      <c r="K4" s="247" t="s">
        <v>168</v>
      </c>
      <c r="L4" s="247" t="s">
        <v>169</v>
      </c>
      <c r="M4" s="266" t="s">
        <v>170</v>
      </c>
      <c r="N4" s="247" t="s">
        <v>179</v>
      </c>
      <c r="O4" s="247" t="s">
        <v>171</v>
      </c>
      <c r="P4" s="247" t="s">
        <v>172</v>
      </c>
      <c r="Q4" s="247" t="s">
        <v>173</v>
      </c>
      <c r="R4" s="247" t="s">
        <v>174</v>
      </c>
      <c r="S4" s="247" t="s">
        <v>175</v>
      </c>
      <c r="T4" s="247" t="s">
        <v>176</v>
      </c>
      <c r="U4" s="247" t="s">
        <v>177</v>
      </c>
      <c r="V4" s="247" t="s">
        <v>178</v>
      </c>
      <c r="W4" s="247" t="s">
        <v>180</v>
      </c>
      <c r="X4" s="247" t="s">
        <v>181</v>
      </c>
      <c r="Y4" s="247" t="s">
        <v>182</v>
      </c>
      <c r="Z4" s="247" t="s">
        <v>183</v>
      </c>
      <c r="AA4" s="247" t="s">
        <v>184</v>
      </c>
      <c r="AB4" s="247" t="s">
        <v>185</v>
      </c>
      <c r="AC4" s="247" t="s">
        <v>186</v>
      </c>
      <c r="AD4" s="247" t="s">
        <v>187</v>
      </c>
      <c r="AE4" s="247" t="s">
        <v>188</v>
      </c>
      <c r="AG4" s="250" t="s">
        <v>51</v>
      </c>
      <c r="AH4" s="250" t="s">
        <v>282</v>
      </c>
      <c r="AI4" s="250" t="s">
        <v>218</v>
      </c>
      <c r="AJ4" s="250" t="s">
        <v>219</v>
      </c>
      <c r="AK4" s="250" t="s">
        <v>220</v>
      </c>
      <c r="AL4" s="250" t="s">
        <v>221</v>
      </c>
      <c r="AM4" s="247" t="s">
        <v>222</v>
      </c>
      <c r="AN4" s="250" t="s">
        <v>189</v>
      </c>
      <c r="AO4" s="298" t="s">
        <v>283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251105-Z</v>
      </c>
      <c r="D5" s="229">
        <f>IF('CALCULATOR SHEET'!D13&lt;&gt;"",'CALCULATOR SHEET'!$T$9,"")</f>
        <v>45966</v>
      </c>
      <c r="E5" s="230" t="str">
        <f>IF(D5&lt;&gt;"","BAJA SHADES","")</f>
        <v>BAJA SHADES</v>
      </c>
      <c r="F5" s="231" t="str">
        <f>IF(C5&lt;&gt;"",'CALCULATOR SHEET'!$D$9,"")</f>
        <v>PRIVADA SAN SEBASTIAN</v>
      </c>
      <c r="G5" s="231" t="str">
        <f>IF('CALCULATOR SHEET'!D13&lt;&gt;"",'CALCULATOR SHEET'!D13,"")</f>
        <v>ROLLER</v>
      </c>
      <c r="H5" s="231" t="str">
        <f>IF(Q5="CCL",BOMS!AG5,"")</f>
        <v>RL-MAN -BSCH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BO TEXTURE GREY</v>
      </c>
      <c r="M5" s="231">
        <f>IF(C5&lt;&gt;"",'CALCULATOR SHEET'!O13,"")</f>
        <v>0</v>
      </c>
      <c r="N5" s="231" t="str">
        <f>IF(C5&lt;&gt;"",'CALCULATOR SHEET'!H13,"")</f>
        <v xml:space="preserve">SALA </v>
      </c>
      <c r="O5" s="233">
        <f>IF(D5&lt;&gt;"",'CALCULATOR SHEET'!I13,"")</f>
        <v>49.75</v>
      </c>
      <c r="P5" s="233">
        <f>IF(E5&lt;&gt;"",'CALCULATOR SHEET'!J13,"")</f>
        <v>47.5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>
        <f>IF(C5&lt;&gt;"",'CALCULATOR SHEET'!M13,"")</f>
        <v>0</v>
      </c>
      <c r="S5" s="230" t="str">
        <f>IF(D5&lt;&gt;"",'CALCULATOR SHEET'!N13,"")</f>
        <v>INSIDE</v>
      </c>
      <c r="T5" s="232"/>
      <c r="U5" s="245"/>
      <c r="V5" s="245"/>
      <c r="W5" s="230" t="str">
        <f>IF(C5&lt;&gt;"",'CALCULATOR SHEET'!R13,"")</f>
        <v>NO</v>
      </c>
      <c r="X5" s="230"/>
      <c r="Y5" s="230">
        <v>1</v>
      </c>
      <c r="Z5" s="232"/>
      <c r="AA5" s="232">
        <f>IF(C5&lt;&gt;"",'CALCULATOR SHEET'!$H$9,"")</f>
        <v>0</v>
      </c>
      <c r="AB5" s="232"/>
      <c r="AC5" s="232"/>
      <c r="AD5" s="234"/>
      <c r="AE5" s="235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7">
        <v>2</v>
      </c>
      <c r="C6" s="228" t="str">
        <f>IF('CALCULATOR SHEET'!D14&lt;&gt;"",'CALCULATOR SHEET'!$T$5,"")</f>
        <v>251105-Z</v>
      </c>
      <c r="D6" s="229">
        <f>IF('CALCULATOR SHEET'!D14&lt;&gt;"",'CALCULATOR SHEET'!$T$9,"")</f>
        <v>45966</v>
      </c>
      <c r="E6" s="230" t="str">
        <f t="shared" ref="E6:E69" si="0">IF(D6&lt;&gt;"","BAJA SHADES","")</f>
        <v>BAJA SHADES</v>
      </c>
      <c r="F6" s="231" t="str">
        <f>IF(C6&lt;&gt;"",'CALCULATOR SHEET'!$D$9,"")</f>
        <v>PRIVADA SAN SEBASTIAN</v>
      </c>
      <c r="G6" s="231" t="str">
        <f>IF('CALCULATOR SHEET'!D14&lt;&gt;"",'CALCULATOR SHEET'!D14,"")</f>
        <v>ROLLER</v>
      </c>
      <c r="H6" s="231" t="str">
        <f>IF(Q6="CCL",BOMS!AG6,"")</f>
        <v>RL-MAN -BSCH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>BO TEXTURE GREY</v>
      </c>
      <c r="M6" s="231">
        <f>IF(C6&lt;&gt;"",'CALCULATOR SHEET'!O14,"")</f>
        <v>0</v>
      </c>
      <c r="N6" s="231" t="str">
        <f>IF(C6&lt;&gt;"",'CALCULATOR SHEET'!H14,"")</f>
        <v>ESCALERA</v>
      </c>
      <c r="O6" s="233">
        <f>IF(D6&lt;&gt;"",'CALCULATOR SHEET'!I14,"")</f>
        <v>34</v>
      </c>
      <c r="P6" s="233">
        <f>IF(E6&lt;&gt;"",'CALCULATOR SHEET'!J14,"")</f>
        <v>37.5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>
        <f>IF(C6&lt;&gt;"",'CALCULATOR SHEET'!M14,"")</f>
        <v>0</v>
      </c>
      <c r="S6" s="230" t="str">
        <f>IF(D6&lt;&gt;"",'CALCULATOR SHEET'!N14,"")</f>
        <v>INSIDE</v>
      </c>
      <c r="T6" s="232"/>
      <c r="U6" s="245"/>
      <c r="V6" s="245"/>
      <c r="W6" s="230" t="str">
        <f>IF(C6&lt;&gt;"",'CALCULATOR SHEET'!R14,"")</f>
        <v>NO</v>
      </c>
      <c r="X6" s="230"/>
      <c r="Y6" s="230">
        <v>1</v>
      </c>
      <c r="Z6" s="232"/>
      <c r="AA6" s="232">
        <f>IF(C6&lt;&gt;"",'CALCULATOR SHEET'!$H$9,"")</f>
        <v>0</v>
      </c>
      <c r="AB6" s="232"/>
      <c r="AC6" s="232"/>
      <c r="AD6" s="234"/>
      <c r="AE6" s="235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7">
        <v>3</v>
      </c>
      <c r="C7" s="228" t="str">
        <f>IF('CALCULATOR SHEET'!D15&lt;&gt;"",'CALCULATOR SHEET'!$T$5,"")</f>
        <v>251105-Z</v>
      </c>
      <c r="D7" s="229">
        <f>IF('CALCULATOR SHEET'!D15&lt;&gt;"",'CALCULATOR SHEET'!$T$9,"")</f>
        <v>45966</v>
      </c>
      <c r="E7" s="230" t="str">
        <f t="shared" si="0"/>
        <v>BAJA SHADES</v>
      </c>
      <c r="F7" s="231" t="str">
        <f>IF(C7&lt;&gt;"",'CALCULATOR SHEET'!$D$9,"")</f>
        <v>PRIVADA SAN SEBASTIAN</v>
      </c>
      <c r="G7" s="231" t="str">
        <f>IF('CALCULATOR SHEET'!D15&lt;&gt;"",'CALCULATOR SHEET'!D15,"")</f>
        <v>ROLLER</v>
      </c>
      <c r="H7" s="231" t="str">
        <f>IF(Q7="CCL",BOMS!AG7,"")</f>
        <v>RL-MAN-BSMD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>BO TEXTURE GREY</v>
      </c>
      <c r="M7" s="231">
        <f>IF(C7&lt;&gt;"",'CALCULATOR SHEET'!O15,"")</f>
        <v>0</v>
      </c>
      <c r="N7" s="231" t="str">
        <f>IF(C7&lt;&gt;"",'CALCULATOR SHEET'!H15,"")</f>
        <v>CUARTO</v>
      </c>
      <c r="O7" s="233">
        <f>IF(D7&lt;&gt;"",'CALCULATOR SHEET'!I15,"")</f>
        <v>77.625</v>
      </c>
      <c r="P7" s="233">
        <f>IF(E7&lt;&gt;"",'CALCULATOR SHEET'!J15,"")</f>
        <v>38.375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>
        <f>IF(C7&lt;&gt;"",'CALCULATOR SHEET'!M15,"")</f>
        <v>0</v>
      </c>
      <c r="S7" s="230" t="str">
        <f>IF(D7&lt;&gt;"",'CALCULATOR SHEET'!N15,"")</f>
        <v>INSIDE</v>
      </c>
      <c r="T7" s="232"/>
      <c r="U7" s="245"/>
      <c r="V7" s="245"/>
      <c r="W7" s="230" t="str">
        <f>IF(C7&lt;&gt;"",'CALCULATOR SHEET'!R15,"")</f>
        <v>NO</v>
      </c>
      <c r="X7" s="230"/>
      <c r="Y7" s="230">
        <v>1</v>
      </c>
      <c r="Z7" s="232"/>
      <c r="AA7" s="232">
        <f>IF(C7&lt;&gt;"",'CALCULATOR SHEET'!$H$9,"")</f>
        <v>0</v>
      </c>
      <c r="AB7" s="232"/>
      <c r="AC7" s="232"/>
      <c r="AD7" s="234"/>
      <c r="AE7" s="235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7">
        <v>4</v>
      </c>
      <c r="C8" s="228" t="str">
        <f>IF('CALCULATOR SHEET'!D16&lt;&gt;"",'CALCULATOR SHEET'!$T$5,"")</f>
        <v/>
      </c>
      <c r="D8" s="229" t="str">
        <f>IF('CALCULATOR SHEET'!D16&lt;&gt;"",'CALCULATOR SHEET'!$T$9,"")</f>
        <v/>
      </c>
      <c r="E8" s="230" t="str">
        <f t="shared" si="0"/>
        <v/>
      </c>
      <c r="F8" s="231" t="str">
        <f>IF(C8&lt;&gt;"",'CALCULATOR SHEET'!$D$9,"")</f>
        <v/>
      </c>
      <c r="G8" s="231" t="str">
        <f>IF('CALCULATOR SHEET'!D16&lt;&gt;"",'CALCULATOR SHEET'!D16,"")</f>
        <v/>
      </c>
      <c r="H8" s="231" t="str">
        <f>IF(Q8="CCL",BOMS!AG8,"")</f>
        <v/>
      </c>
      <c r="I8" s="230">
        <v>1</v>
      </c>
      <c r="J8" s="231" t="str">
        <f>IF(C8&lt;&gt;"",'CALCULATOR SHEET'!K16,"")</f>
        <v/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/>
      </c>
      <c r="M8" s="231" t="str">
        <f>IF(C8&lt;&gt;"",'CALCULATOR SHEET'!O16,"")</f>
        <v/>
      </c>
      <c r="N8" s="231" t="str">
        <f>IF(C8&lt;&gt;"",'CALCULATOR SHEET'!H16,"")</f>
        <v/>
      </c>
      <c r="O8" s="233" t="str">
        <f>IF(D8&lt;&gt;"",'CALCULATOR SHEET'!I16,"")</f>
        <v/>
      </c>
      <c r="P8" s="233" t="str">
        <f>IF(E8&lt;&gt;"",'CALCULATOR SHEET'!J16,"")</f>
        <v/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 t="str">
        <f>IF(C8&lt;&gt;"",'CALCULATOR SHEET'!M16,"")</f>
        <v/>
      </c>
      <c r="S8" s="230" t="str">
        <f>IF(D8&lt;&gt;"",'CALCULATOR SHEET'!N16,"")</f>
        <v/>
      </c>
      <c r="T8" s="232"/>
      <c r="U8" s="245"/>
      <c r="V8" s="245"/>
      <c r="W8" s="230" t="str">
        <f>IF(C8&lt;&gt;"",'CALCULATOR SHEET'!R16,"")</f>
        <v/>
      </c>
      <c r="X8" s="230"/>
      <c r="Y8" s="230">
        <v>1</v>
      </c>
      <c r="Z8" s="232"/>
      <c r="AA8" s="232" t="str">
        <f>IF(C8&lt;&gt;"",'CALCULATOR SHEET'!$H$9,"")</f>
        <v/>
      </c>
      <c r="AB8" s="232"/>
      <c r="AC8" s="232"/>
      <c r="AD8" s="234"/>
      <c r="AE8" s="235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5"/>
      <c r="V9" s="245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5"/>
      <c r="V10" s="245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5"/>
      <c r="V11" s="245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5"/>
      <c r="V12" s="245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5"/>
      <c r="V13" s="245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5"/>
      <c r="V14" s="245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5"/>
      <c r="V15" s="245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5"/>
      <c r="V16" s="245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5"/>
      <c r="V17" s="245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5"/>
      <c r="V18" s="245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5"/>
      <c r="V19" s="245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5"/>
      <c r="V20" s="245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5"/>
      <c r="V21" s="245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5"/>
      <c r="V22" s="245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5"/>
      <c r="V23" s="245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5"/>
      <c r="V24" s="245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5"/>
      <c r="V25" s="245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5"/>
      <c r="V26" s="245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5"/>
      <c r="V27" s="245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5"/>
      <c r="V28" s="245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5"/>
      <c r="V29" s="245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5"/>
      <c r="V30" s="245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5"/>
      <c r="V31" s="245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5"/>
      <c r="V32" s="245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5"/>
      <c r="V33" s="245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5"/>
      <c r="V34" s="245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5"/>
      <c r="V35" s="245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5"/>
      <c r="V36" s="245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5"/>
      <c r="V37" s="245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5"/>
      <c r="V38" s="245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5"/>
      <c r="V39" s="245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5"/>
      <c r="V40" s="245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5"/>
      <c r="V41" s="245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5"/>
      <c r="V42" s="245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5"/>
      <c r="V43" s="245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5"/>
      <c r="V44" s="245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5"/>
      <c r="V45" s="245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5"/>
      <c r="V46" s="245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5"/>
      <c r="V47" s="245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5"/>
      <c r="V48" s="245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5"/>
      <c r="V49" s="245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5"/>
      <c r="V50" s="245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5"/>
      <c r="V51" s="245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5"/>
      <c r="V52" s="245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5"/>
      <c r="V53" s="245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5"/>
      <c r="V54" s="245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5"/>
      <c r="V55" s="245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5"/>
      <c r="V56" s="245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5"/>
      <c r="V57" s="245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5"/>
      <c r="V58" s="245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5"/>
      <c r="V59" s="245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5"/>
      <c r="V60" s="245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5"/>
      <c r="V61" s="245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5"/>
      <c r="V62" s="245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5"/>
      <c r="V63" s="245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5"/>
      <c r="V64" s="245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5"/>
      <c r="V65" s="245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5"/>
      <c r="V66" s="245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5"/>
      <c r="V67" s="245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5"/>
      <c r="V68" s="245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5"/>
      <c r="V69" s="245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5"/>
      <c r="V70" s="245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5"/>
      <c r="V71" s="245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5"/>
      <c r="V72" s="245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5"/>
      <c r="V73" s="245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5"/>
      <c r="V74" s="245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5"/>
      <c r="V75" s="245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5"/>
      <c r="V76" s="245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5"/>
      <c r="V77" s="245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5"/>
      <c r="V78" s="245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5"/>
      <c r="V79" s="245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5"/>
      <c r="V80" s="245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5"/>
      <c r="V81" s="245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5"/>
      <c r="V82" s="245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5"/>
      <c r="V83" s="245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5"/>
      <c r="V84" s="245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5"/>
      <c r="V85" s="245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5"/>
      <c r="V86" s="245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5"/>
      <c r="V87" s="245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5"/>
      <c r="V88" s="245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5"/>
      <c r="V89" s="245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5"/>
      <c r="V90" s="245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5"/>
      <c r="V91" s="245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5"/>
      <c r="V92" s="245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5"/>
      <c r="V93" s="245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5"/>
      <c r="V94" s="245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5"/>
      <c r="V95" s="245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5"/>
      <c r="V96" s="245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5"/>
      <c r="V97" s="245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5"/>
      <c r="V98" s="245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5"/>
      <c r="V99" s="245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5"/>
      <c r="V100" s="245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5"/>
      <c r="V101" s="245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5"/>
      <c r="V102" s="245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5"/>
      <c r="V103" s="245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5"/>
      <c r="V104" s="245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5"/>
      <c r="V105" s="245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5"/>
      <c r="V106" s="245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5"/>
      <c r="V107" s="245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5"/>
      <c r="V108" s="245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5"/>
      <c r="V109" s="245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272</v>
      </c>
      <c r="B110" s="1" t="s">
        <v>272</v>
      </c>
      <c r="C110" s="1" t="s">
        <v>272</v>
      </c>
      <c r="D110" s="1" t="s">
        <v>272</v>
      </c>
      <c r="E110" s="1" t="s">
        <v>272</v>
      </c>
      <c r="F110" s="1" t="s">
        <v>272</v>
      </c>
      <c r="G110" s="1" t="s">
        <v>272</v>
      </c>
      <c r="H110" s="1" t="s">
        <v>272</v>
      </c>
      <c r="I110" s="1" t="s">
        <v>272</v>
      </c>
      <c r="J110" s="1" t="s">
        <v>272</v>
      </c>
      <c r="K110" s="1" t="s">
        <v>272</v>
      </c>
      <c r="L110" s="1" t="s">
        <v>272</v>
      </c>
      <c r="M110" s="1" t="s">
        <v>272</v>
      </c>
      <c r="N110" s="1" t="s">
        <v>272</v>
      </c>
      <c r="O110" s="1" t="s">
        <v>272</v>
      </c>
      <c r="P110" s="1" t="s">
        <v>272</v>
      </c>
      <c r="Q110" s="1" t="s">
        <v>272</v>
      </c>
      <c r="R110" s="1" t="s">
        <v>272</v>
      </c>
      <c r="S110" s="1" t="s">
        <v>272</v>
      </c>
      <c r="T110" s="1" t="s">
        <v>272</v>
      </c>
      <c r="U110" s="1" t="s">
        <v>272</v>
      </c>
      <c r="V110" s="1" t="s">
        <v>272</v>
      </c>
      <c r="W110" s="1" t="s">
        <v>272</v>
      </c>
      <c r="X110" s="1" t="s">
        <v>272</v>
      </c>
      <c r="Y110" s="1" t="s">
        <v>272</v>
      </c>
      <c r="Z110" s="1" t="s">
        <v>272</v>
      </c>
      <c r="AA110" s="1" t="s">
        <v>272</v>
      </c>
      <c r="AB110" s="1" t="s">
        <v>272</v>
      </c>
      <c r="AC110" s="1" t="s">
        <v>272</v>
      </c>
      <c r="AD110" s="1" t="s">
        <v>272</v>
      </c>
      <c r="AE110" s="1" t="s">
        <v>272</v>
      </c>
      <c r="AF110" s="1" t="s">
        <v>272</v>
      </c>
      <c r="AG110" s="1" t="s">
        <v>272</v>
      </c>
      <c r="AH110" s="1"/>
      <c r="AI110" s="1" t="s">
        <v>272</v>
      </c>
      <c r="AJ110" s="1" t="s">
        <v>272</v>
      </c>
      <c r="AK110" s="1" t="s">
        <v>272</v>
      </c>
      <c r="AL110" s="1" t="s">
        <v>272</v>
      </c>
      <c r="AM110" s="1" t="s">
        <v>272</v>
      </c>
      <c r="AN110" s="1" t="s">
        <v>272</v>
      </c>
      <c r="AO110" s="1" t="s">
        <v>272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2" t="s">
        <v>104</v>
      </c>
      <c r="D2" s="382"/>
      <c r="F2" s="382" t="s">
        <v>89</v>
      </c>
      <c r="G2" s="382"/>
      <c r="I2" s="382" t="s">
        <v>93</v>
      </c>
      <c r="J2" s="382"/>
    </row>
    <row r="3" spans="3:10">
      <c r="C3" s="382"/>
      <c r="D3" s="382"/>
      <c r="F3" s="382"/>
      <c r="G3" s="382"/>
      <c r="I3" s="382"/>
      <c r="J3" s="382"/>
    </row>
    <row r="4" spans="3:10">
      <c r="C4" s="382"/>
      <c r="D4" s="382"/>
      <c r="F4" s="382"/>
      <c r="G4" s="382"/>
      <c r="I4" s="382"/>
      <c r="J4" s="382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290</v>
      </c>
    </row>
    <row r="21" spans="3:4">
      <c r="C21" s="111" t="s">
        <v>11</v>
      </c>
      <c r="D21" s="39"/>
    </row>
    <row r="22" spans="3:4">
      <c r="D22" s="14" t="s">
        <v>291</v>
      </c>
    </row>
    <row r="24" spans="3:4">
      <c r="C24" s="111" t="s">
        <v>12</v>
      </c>
      <c r="D24" s="39"/>
    </row>
    <row r="25" spans="3:4">
      <c r="D25" s="14" t="s">
        <v>292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293</v>
      </c>
    </row>
    <row r="31" spans="3:4">
      <c r="C31" s="111" t="s">
        <v>294</v>
      </c>
      <c r="D31" s="39"/>
    </row>
    <row r="32" spans="3:4">
      <c r="D32" s="14" t="s">
        <v>296</v>
      </c>
    </row>
    <row r="34" spans="3:4">
      <c r="C34" s="111" t="s">
        <v>295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434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370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294</v>
      </c>
      <c r="J4" s="314" t="s">
        <v>295</v>
      </c>
      <c r="M4" s="1"/>
      <c r="N4" s="1"/>
      <c r="O4" s="1"/>
      <c r="P4" s="1"/>
      <c r="Q4" s="1"/>
    </row>
    <row r="5" spans="1:17">
      <c r="B5" s="7" t="s">
        <v>349</v>
      </c>
      <c r="C5" s="7" t="s">
        <v>346</v>
      </c>
      <c r="D5" s="7" t="s">
        <v>351</v>
      </c>
      <c r="E5" s="7" t="s">
        <v>347</v>
      </c>
      <c r="F5" s="7" t="s">
        <v>350</v>
      </c>
      <c r="G5" s="7" t="s">
        <v>345</v>
      </c>
      <c r="H5" s="7" t="s">
        <v>348</v>
      </c>
      <c r="I5" s="7" t="s">
        <v>344</v>
      </c>
    </row>
    <row r="6" spans="1:17">
      <c r="B6" s="7" t="s">
        <v>341</v>
      </c>
      <c r="C6" s="7" t="s">
        <v>339</v>
      </c>
      <c r="D6" s="7" t="s">
        <v>343</v>
      </c>
      <c r="F6" s="7" t="s">
        <v>342</v>
      </c>
      <c r="G6" s="7" t="s">
        <v>338</v>
      </c>
      <c r="H6" s="7" t="s">
        <v>340</v>
      </c>
      <c r="I6" s="7" t="s">
        <v>337</v>
      </c>
    </row>
    <row r="7" spans="1:17">
      <c r="B7" s="7" t="s">
        <v>334</v>
      </c>
      <c r="D7" s="7" t="s">
        <v>336</v>
      </c>
      <c r="F7" s="7" t="s">
        <v>335</v>
      </c>
      <c r="G7" s="7" t="s">
        <v>332</v>
      </c>
      <c r="H7" s="7" t="s">
        <v>333</v>
      </c>
    </row>
    <row r="8" spans="1:17">
      <c r="B8" s="7" t="s">
        <v>330</v>
      </c>
      <c r="D8" s="7" t="s">
        <v>331</v>
      </c>
      <c r="F8" s="7" t="s">
        <v>329</v>
      </c>
      <c r="G8" s="7" t="s">
        <v>328</v>
      </c>
      <c r="H8" s="7" t="s">
        <v>327</v>
      </c>
    </row>
    <row r="9" spans="1:17">
      <c r="B9" s="7" t="s">
        <v>369</v>
      </c>
      <c r="D9" s="7" t="s">
        <v>374</v>
      </c>
      <c r="G9" s="7" t="s">
        <v>326</v>
      </c>
      <c r="H9" s="7" t="s">
        <v>325</v>
      </c>
    </row>
    <row r="10" spans="1:17">
      <c r="G10" s="7" t="s">
        <v>352</v>
      </c>
      <c r="H10" s="7" t="s">
        <v>324</v>
      </c>
    </row>
    <row r="14" spans="1:17">
      <c r="I14" s="226" t="s">
        <v>426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371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294</v>
      </c>
      <c r="J16" s="314"/>
      <c r="P16" s="352"/>
    </row>
    <row r="17" spans="1:16">
      <c r="B17" s="7" t="s">
        <v>105</v>
      </c>
      <c r="C17" s="7" t="s">
        <v>353</v>
      </c>
      <c r="D17" s="7" t="s">
        <v>354</v>
      </c>
      <c r="E17" s="7" t="s">
        <v>356</v>
      </c>
      <c r="F17" s="7" t="s">
        <v>112</v>
      </c>
      <c r="G17" s="7" t="s">
        <v>358</v>
      </c>
      <c r="H17" s="7" t="s">
        <v>366</v>
      </c>
      <c r="I17" s="7" t="s">
        <v>425</v>
      </c>
      <c r="P17" s="12"/>
    </row>
    <row r="18" spans="1:16">
      <c r="C18" s="7" t="s">
        <v>373</v>
      </c>
      <c r="D18" s="7" t="s">
        <v>355</v>
      </c>
      <c r="E18" s="7" t="s">
        <v>357</v>
      </c>
      <c r="F18" s="7" t="s">
        <v>424</v>
      </c>
      <c r="G18" s="7" t="s">
        <v>362</v>
      </c>
      <c r="H18" s="7" t="s">
        <v>363</v>
      </c>
      <c r="P18" s="12"/>
    </row>
    <row r="19" spans="1:16">
      <c r="C19" s="7" t="s">
        <v>420</v>
      </c>
      <c r="E19" s="7" t="s">
        <v>367</v>
      </c>
      <c r="G19" s="7" t="s">
        <v>364</v>
      </c>
      <c r="H19" s="7" t="s">
        <v>365</v>
      </c>
      <c r="P19" s="12"/>
    </row>
    <row r="20" spans="1:16">
      <c r="E20" s="7" t="s">
        <v>421</v>
      </c>
      <c r="G20" s="7" t="s">
        <v>368</v>
      </c>
      <c r="P20" s="12"/>
    </row>
    <row r="21" spans="1:16">
      <c r="G21" s="7" t="s">
        <v>372</v>
      </c>
      <c r="P21" s="12"/>
    </row>
    <row r="22" spans="1:16">
      <c r="G22" s="7" t="s">
        <v>422</v>
      </c>
      <c r="P22" s="12"/>
    </row>
    <row r="23" spans="1:16">
      <c r="G23" s="7" t="s">
        <v>423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378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377</v>
      </c>
      <c r="C31" s="7" t="s">
        <v>379</v>
      </c>
      <c r="D31" s="7" t="s">
        <v>224</v>
      </c>
    </row>
    <row r="38" spans="2:2">
      <c r="B38" s="7" t="s">
        <v>433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73" s="1" customFormat="1" ht="18" customHeight="1">
      <c r="E2" s="20"/>
      <c r="L2" s="92" t="s">
        <v>399</v>
      </c>
      <c r="M2" s="94"/>
      <c r="N2" s="94"/>
      <c r="O2" s="94"/>
      <c r="P2" s="94"/>
      <c r="Q2" s="92"/>
      <c r="R2" s="92"/>
      <c r="S2" s="92"/>
      <c r="T2" s="92"/>
      <c r="W2" s="25" t="s">
        <v>381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380</v>
      </c>
      <c r="O3" s="96"/>
      <c r="P3" s="96"/>
      <c r="Q3" s="316" t="s">
        <v>369</v>
      </c>
      <c r="R3" s="93"/>
      <c r="S3" s="93"/>
      <c r="T3" s="93"/>
      <c r="AF3" s="8"/>
      <c r="AG3" s="8"/>
    </row>
    <row r="4" spans="1:7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/>
      <c r="AE4" s="3"/>
      <c r="AW4" s="1"/>
      <c r="AX4" s="1"/>
      <c r="AY4" s="1"/>
      <c r="AZ4" s="1"/>
      <c r="BA4" s="1"/>
      <c r="BB4" s="384" t="s">
        <v>60</v>
      </c>
      <c r="BC4" s="384"/>
      <c r="BD4" s="384"/>
      <c r="BE4" s="384"/>
      <c r="BF4" s="384"/>
      <c r="BG4" s="384"/>
      <c r="BH4" s="384"/>
      <c r="BI4" s="384"/>
      <c r="BJ4" s="384"/>
      <c r="BK4" s="384"/>
      <c r="BL4" s="384"/>
      <c r="BM4" s="384"/>
      <c r="BN4" s="384"/>
      <c r="BO4" s="384"/>
      <c r="BP4" s="384"/>
      <c r="BQ4" s="384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401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49.75</v>
      </c>
      <c r="AK7" s="36">
        <f>'CALCULATOR SHEET'!J13</f>
        <v>47.5</v>
      </c>
      <c r="AL7" s="36">
        <f>IF(AJ7=0,"",MATCH(CEILING(AJ7,6),$D$4:$Z$4,0))</f>
        <v>6</v>
      </c>
      <c r="AM7" s="36">
        <f>IF(AK7=0,"",MATCH(CEILING(AK7,6),$C$7:$C$28,0))</f>
        <v>5</v>
      </c>
      <c r="AN7" s="57">
        <f>IF(AL7="","",INDEX($D$7:$Z$28,AM7,AL7))</f>
        <v>103</v>
      </c>
      <c r="AO7" s="58"/>
      <c r="AP7" s="57">
        <f>IF(AJ7&gt;0,HLOOKUP(CEILING(AJ7,6),$D$30:$Z$31,2,0),"")</f>
        <v>65</v>
      </c>
      <c r="AQ7" s="57">
        <f>IF(AJ7&gt;0,HLOOKUP(CEILING(AJ7,6),$D$33:$Z$34,2,0),"")</f>
        <v>65</v>
      </c>
      <c r="AR7" s="59">
        <f>IF(AJ7&gt;0,HLOOKUP(CEILING(AJ7,6),$D$36:$Z$37,2,0))</f>
        <v>33</v>
      </c>
      <c r="AS7" s="57">
        <f>IF(AL7="","",INDEX($AX$6:$BT$27,AM7,AL7))</f>
        <v>471</v>
      </c>
      <c r="AT7" s="37">
        <f>IF(AK7&gt;0,VLOOKUP(CEILING(AK7,6),$AA$7:$AB$28,2,0),"")</f>
        <v>40</v>
      </c>
      <c r="AU7" s="109">
        <f>IF(AK7&gt;0,VLOOKUP(CEILING(AK7,6),$AA$7:$AC$28,3,0),"")</f>
        <v>7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34</v>
      </c>
      <c r="AK8" s="36">
        <f>'CALCULATOR SHEET'!J14</f>
        <v>37.5</v>
      </c>
      <c r="AL8" s="36">
        <f t="shared" ref="AL8:AL71" si="0">IF(AJ8=0,"",MATCH(CEILING(AJ8,6),$D$4:$Z$4,0))</f>
        <v>3</v>
      </c>
      <c r="AM8" s="36">
        <f t="shared" ref="AM8:AM71" si="1">IF(AK8=0,"",MATCH(CEILING(AK8,6),$C$7:$C$28,0))</f>
        <v>4</v>
      </c>
      <c r="AN8" s="57">
        <f t="shared" ref="AN8:AN71" si="2">IF(AL8="","",INDEX($D$7:$Z$28,AM8,AL8))</f>
        <v>81</v>
      </c>
      <c r="AO8" s="58"/>
      <c r="AP8" s="57">
        <f t="shared" ref="AP8:AP71" si="3">IF(AJ8&gt;0,HLOOKUP(CEILING(AJ8,6),$D$30:$Z$31,2,0),"")</f>
        <v>57</v>
      </c>
      <c r="AQ8" s="57">
        <f t="shared" ref="AQ8:AQ71" si="4">IF(AJ8&gt;0,HLOOKUP(CEILING(AJ8,6),$D$33:$Z$34,2,0),"")</f>
        <v>45</v>
      </c>
      <c r="AR8" s="59">
        <f t="shared" ref="AR8:AR71" si="5">IF(AJ8&gt;0,HLOOKUP(CEILING(AJ8,6),$D$36:$Z$37,2,0))</f>
        <v>22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35</v>
      </c>
      <c r="AU8" s="109">
        <f t="shared" ref="AU8:AU71" si="8">IF(AK8&gt;0,VLOOKUP(CEILING(AK8,6),$AA$7:$AC$28,3,0),"")</f>
        <v>7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77.625</v>
      </c>
      <c r="AK9" s="36">
        <f>'CALCULATOR SHEET'!J15</f>
        <v>38.375</v>
      </c>
      <c r="AL9" s="36">
        <f t="shared" si="0"/>
        <v>10</v>
      </c>
      <c r="AM9" s="36">
        <f t="shared" si="1"/>
        <v>4</v>
      </c>
      <c r="AN9" s="57">
        <f t="shared" si="2"/>
        <v>139</v>
      </c>
      <c r="AO9" s="58"/>
      <c r="AP9" s="57">
        <f t="shared" si="3"/>
        <v>77</v>
      </c>
      <c r="AQ9" s="57">
        <f t="shared" si="4"/>
        <v>90</v>
      </c>
      <c r="AR9" s="59">
        <f t="shared" si="5"/>
        <v>48</v>
      </c>
      <c r="AS9" s="57">
        <f t="shared" si="6"/>
        <v>471</v>
      </c>
      <c r="AT9" s="37">
        <f t="shared" si="7"/>
        <v>35</v>
      </c>
      <c r="AU9" s="109">
        <f t="shared" si="8"/>
        <v>7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M2" s="92" t="s">
        <v>428</v>
      </c>
      <c r="W2" s="25" t="s">
        <v>381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49.75</v>
      </c>
      <c r="AK7" s="53">
        <f>'CALCULATOR SHEET'!J13</f>
        <v>47.5</v>
      </c>
      <c r="AL7" s="53">
        <f>IF(AJ7=0,"",MATCH(CEILING(AJ7,6),$D$4:$Z$4,0))</f>
        <v>6</v>
      </c>
      <c r="AM7" s="53">
        <f>IF(AK7=0,"",MATCH(CEILING(AK7,6),$C$7:$C$28,0))</f>
        <v>5</v>
      </c>
      <c r="AN7" s="54">
        <f>IF(AL7="","",INDEX($D$7:$Z$28,AM7,AL7))</f>
        <v>109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34</v>
      </c>
      <c r="AK8" s="53">
        <f>'CALCULATOR SHEET'!J14</f>
        <v>37.5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4</v>
      </c>
      <c r="AN8" s="54">
        <f t="shared" ref="AN8:AN71" si="2">IF(AL8="","",INDEX($D$7:$Z$28,AM8,AL8))</f>
        <v>84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77.625</v>
      </c>
      <c r="AK9" s="53">
        <f>'CALCULATOR SHEET'!J15</f>
        <v>38.375</v>
      </c>
      <c r="AL9" s="53">
        <f t="shared" si="0"/>
        <v>10</v>
      </c>
      <c r="AM9" s="53">
        <f t="shared" si="1"/>
        <v>4</v>
      </c>
      <c r="AN9" s="54">
        <f t="shared" si="2"/>
        <v>147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J2" s="92" t="s">
        <v>431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  <c r="AH2" s="1" t="s">
        <v>348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340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  <c r="AH4" t="s">
        <v>333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329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327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49.75</v>
      </c>
      <c r="AK7" s="53">
        <f>'CALCULATOR SHEET'!J13</f>
        <v>47.5</v>
      </c>
      <c r="AL7" s="53">
        <f t="shared" ref="AL7:AL70" si="0">IF(AJ7=0,"",MATCH(CEILING(AJ7,6),$D$4:$Z$4,0))</f>
        <v>6</v>
      </c>
      <c r="AM7" s="53">
        <f>IF(AK7=0,"",MATCH(CEILING(AK7,6),$C$7:$C$28,0))</f>
        <v>5</v>
      </c>
      <c r="AN7" s="54">
        <f t="shared" ref="AN7:AN70" si="1">IF(AL7="","",INDEX($D$7:$Z$28,AM7,AL7))</f>
        <v>122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34</v>
      </c>
      <c r="AK8" s="53">
        <f>'CALCULATOR SHEET'!J14</f>
        <v>37.5</v>
      </c>
      <c r="AL8" s="53">
        <f t="shared" si="0"/>
        <v>3</v>
      </c>
      <c r="AM8" s="53">
        <f t="shared" ref="AM8:AM71" si="2">IF(AK8=0,"",MATCH(CEILING(AK8,6),$C$7:$C$28,0))</f>
        <v>4</v>
      </c>
      <c r="AN8" s="54">
        <f t="shared" si="1"/>
        <v>92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77.625</v>
      </c>
      <c r="AK9" s="53">
        <f>'CALCULATOR SHEET'!J15</f>
        <v>38.375</v>
      </c>
      <c r="AL9" s="53">
        <f t="shared" si="0"/>
        <v>10</v>
      </c>
      <c r="AM9" s="53">
        <f t="shared" si="2"/>
        <v>4</v>
      </c>
      <c r="AN9" s="54">
        <f t="shared" si="1"/>
        <v>164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Dennise Flores</cp:lastModifiedBy>
  <cp:lastPrinted>2025-11-05T23:37:30Z</cp:lastPrinted>
  <dcterms:created xsi:type="dcterms:W3CDTF">2016-09-27T19:33:28Z</dcterms:created>
  <dcterms:modified xsi:type="dcterms:W3CDTF">2025-11-05T23:38:07Z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