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ardo.Garcia\Desktop\CAMILLE MARKS NUEW ORDER\"/>
    </mc:Choice>
  </mc:AlternateContent>
  <xr:revisionPtr revIDLastSave="0" documentId="8_{6FC3BE3F-271E-44D7-BD8D-9C3C4AA602D3}" xr6:coauthVersionLast="47" xr6:coauthVersionMax="47" xr10:uidLastSave="{00000000-0000-0000-0000-000000000000}"/>
  <bookViews>
    <workbookView xWindow="20370" yWindow="-3540" windowWidth="29040" windowHeight="15840" tabRatio="988" activeTab="1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38" l="1"/>
  <c r="S14" i="38"/>
  <c r="T64" i="38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AA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31" i="59" l="1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D25" i="38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D23" i="38" s="1"/>
  <c r="AN16" i="52"/>
  <c r="AD22" i="38" s="1"/>
  <c r="AN15" i="52"/>
  <c r="AD21" i="38" s="1"/>
  <c r="AN14" i="52"/>
  <c r="AD20" i="38" s="1"/>
  <c r="AN13" i="52"/>
  <c r="AN11" i="52"/>
  <c r="AN10" i="52"/>
  <c r="AN9" i="52"/>
  <c r="AN8" i="52"/>
  <c r="AN12" i="52"/>
  <c r="AN29" i="52"/>
  <c r="AN26" i="52"/>
  <c r="AN18" i="52"/>
  <c r="AD24" i="38" s="1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C12" i="50"/>
  <c r="AC14" i="50"/>
  <c r="AC16" i="50"/>
  <c r="AF7" i="50"/>
  <c r="T58" i="46"/>
  <c r="T57" i="46"/>
  <c r="T56" i="46"/>
  <c r="AG13" i="50" l="1"/>
  <c r="H13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D15" i="38" s="1"/>
  <c r="AN11" i="35"/>
  <c r="AD17" i="38" s="1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D14" i="38" l="1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<sst xmlns="http://schemas.openxmlformats.org/spreadsheetml/2006/main" count="3320" uniqueCount="477">
  <si>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</si>
  <si>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</si>
  <si>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</si>
  <si>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</si>
  <si>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</si>
  <si>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</si>
  <si>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</si>
  <si>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</si>
  <si>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</si>
  <si>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</si>
  <si>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</si>
  <si>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</si>
  <si>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</si>
  <si>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</si>
  <si>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</si>
  <si>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</si>
  <si>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</si>
  <si>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</si>
  <si>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</si>
  <si>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</si>
  <si>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</si>
  <si>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</si>
  <si>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</si>
  <si>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</si>
  <si>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</si>
  <si>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</si>
  <si>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</si>
  <si>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</si>
  <si>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</si>
  <si>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</si>
  <si>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</si>
  <si>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</si>
  <si>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</si>
  <si>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</si>
  <si>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</si>
  <si>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</si>
  <si>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</si>
  <si>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</si>
  <si>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</si>
  <si>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</si>
  <si>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</si>
  <si>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</si>
  <si>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</si>
  <si>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</si>
  <si>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</si>
  <si>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</si>
  <si>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</si>
  <si>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</si>
  <si>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</si>
  <si>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</si>
  <si>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</si>
  <si>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</si>
  <si>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</si>
  <si>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</si>
  <si>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</si>
  <si>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</si>
  <si>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</si>
  <si>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</si>
  <si>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</si>
  <si>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</si>
  <si>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</si>
  <si>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</si>
  <si>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</si>
  <si>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</si>
  <si>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</si>
  <si>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</si>
  <si>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</si>
  <si>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</si>
  <si>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</si>
  <si>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</si>
  <si>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</si>
  <si>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</si>
  <si>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</si>
  <si>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</si>
  <si>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</si>
  <si>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</si>
  <si>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</si>
  <si>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</si>
  <si>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</si>
  <si>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</si>
  <si>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</si>
  <si>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</si>
  <si>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</si>
  <si>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</si>
  <si>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</si>
  <si>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</si>
  <si>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</si>
  <si>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</si>
  <si>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</si>
  <si>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</si>
  <si>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</si>
  <si>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</si>
  <si>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</si>
  <si>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</si>
  <si>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</si>
  <si>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</si>
  <si>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</si>
  <si>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</si>
  <si>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</si>
  <si>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</si>
  <si>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</si>
  <si>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</si>
  <si>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</si>
  <si>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</si>
  <si>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</si>
  <si>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</si>
  <si>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</si>
  <si>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</si>
  <si>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</si>
  <si>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</si>
  <si>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</si>
  <si>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</si>
  <si>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</si>
  <si>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</si>
  <si>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</si>
  <si>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</si>
  <si>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</si>
  <si>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</si>
  <si>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</si>
  <si>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</si>
  <si>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</si>
  <si>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</si>
  <si>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</si>
  <si>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</si>
  <si>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</si>
  <si>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</si>
  <si>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</si>
  <si>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</si>
  <si>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</si>
  <si>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</si>
  <si>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</si>
  <si>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</si>
  <si>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</si>
  <si>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</si>
  <si>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</si>
  <si>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</si>
  <si>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</si>
  <si>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</si>
  <si>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</si>
  <si>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</si>
  <si>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</si>
  <si>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</si>
  <si>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</si>
  <si>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</si>
  <si>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</si>
  <si>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</si>
  <si>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</si>
  <si>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</si>
  <si>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</si>
  <si>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</si>
  <si>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</si>
  <si>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</si>
  <si>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</si>
  <si>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</si>
  <si>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</si>
  <si>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</si>
  <si>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</si>
  <si>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</si>
  <si>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</si>
  <si>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</si>
  <si>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</si>
  <si>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</si>
  <si>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</si>
  <si>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</si>
  <si>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</si>
  <si>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</si>
  <si>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</si>
  <si>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</si>
  <si>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</si>
  <si>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</si>
  <si>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</si>
  <si>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</si>
  <si>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</si>
  <si>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</si>
  <si>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</si>
  <si>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</si>
  <si>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</si>
  <si>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</si>
  <si>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</si>
  <si>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</si>
  <si>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</si>
  <si>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</si>
  <si>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</si>
  <si>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</si>
  <si>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</si>
  <si>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</si>
  <si>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</si>
  <si>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</si>
  <si>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</si>
  <si>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</si>
  <si>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</si>
  <si>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</si>
  <si>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</si>
  <si>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</si>
  <si>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</si>
  <si>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</si>
  <si>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</si>
  <si>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</si>
  <si>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</si>
  <si>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</si>
  <si>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</si>
  <si>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</si>
  <si>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</si>
  <si>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</si>
  <si>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</si>
  <si>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</si>
  <si>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</si>
  <si>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</si>
  <si>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</si>
  <si>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</si>
  <si>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</si>
  <si>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</si>
  <si>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</si>
  <si>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</si>
  <si>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</si>
  <si>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</si>
  <si>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</si>
  <si>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</si>
  <si>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</si>
  <si>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</si>
  <si>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</si>
  <si>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</si>
  <si>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</si>
  <si>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</si>
  <si>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</si>
  <si>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</si>
  <si>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</si>
  <si>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</si>
  <si>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</si>
  <si>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</si>
  <si>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</si>
  <si>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</si>
  <si>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</si>
  <si>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</si>
  <si>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</si>
  <si>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</si>
  <si>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</si>
  <si>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</si>
  <si>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</si>
  <si>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</si>
  <si>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</si>
  <si>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</si>
  <si>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</si>
  <si>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</si>
  <si>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</si>
  <si>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</si>
  <si>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</si>
  <si>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</si>
  <si>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</si>
  <si>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</si>
  <si>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</si>
  <si>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</si>
  <si>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</si>
  <si>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</si>
  <si>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</si>
  <si>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</si>
  <si>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</si>
  <si>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</si>
  <si>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</si>
  <si>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</si>
  <si>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</si>
  <si>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</si>
  <si>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</si>
  <si>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</si>
  <si>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</si>
  <si>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</si>
  <si>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</si>
  <si>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</si>
  <si>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</si>
  <si>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</si>
  <si>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</si>
  <si>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</si>
  <si>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</si>
  <si>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</si>
  <si>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</si>
  <si>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</si>
  <si>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</si>
  <si>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</si>
  <si>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</si>
  <si>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</si>
  <si>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</si>
  <si>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</si>
  <si>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</si>
  <si>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</si>
  <si>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</si>
  <si>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</si>
  <si>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</si>
  <si>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</si>
  <si>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</si>
  <si>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</si>
  <si>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</si>
  <si>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</si>
  <si>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</si>
  <si>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</si>
  <si>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</si>
  <si>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</si>
  <si>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</si>
  <si>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</si>
  <si>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</si>
  <si>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</si>
  <si>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</si>
  <si>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</si>
  <si>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</si>
  <si>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</si>
  <si>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</si>
  <si>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</si>
  <si>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</si>
  <si>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</si>
  <si>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</si>
  <si>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</si>
  <si>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</si>
  <si>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</si>
  <si>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</si>
  <si>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</si>
  <si>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</si>
  <si>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</si>
  <si>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</si>
  <si>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</si>
  <si>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</si>
  <si>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</si>
  <si>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</si>
  <si>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</si>
  <si>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</si>
  <si>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</si>
  <si>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</si>
  <si>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</si>
  <si>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</si>
  <si>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</si>
  <si>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</si>
  <si>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</si>
  <si>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</si>
  <si>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</si>
  <si>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</si>
  <si>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</si>
  <si>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</si>
  <si>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</si>
  <si>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</si>
  <si>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</si>
  <si>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</si>
  <si>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</si>
  <si>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</si>
  <si>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</si>
  <si>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</si>
  <si>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</si>
  <si>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</si>
  <si>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</si>
  <si>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</si>
  <si>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</si>
  <si>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</si>
  <si>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</si>
  <si>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</si>
  <si>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</si>
  <si>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</si>
  <si>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</si>
  <si>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</si>
  <si>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</si>
  <si>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</si>
  <si>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</si>
  <si>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</si>
  <si>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</si>
  <si>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</si>
  <si>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</si>
  <si>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</si>
  <si>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</si>
  <si>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</si>
  <si>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</si>
  <si>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</si>
  <si>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</si>
  <si>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</si>
  <si>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</si>
  <si>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</si>
  <si>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</si>
  <si>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</si>
  <si>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</si>
  <si>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</si>
  <si>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</si>
  <si>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</si>
  <si>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</si>
  <si>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</si>
  <si>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</si>
  <si>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</si>
  <si>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</si>
  <si>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</si>
  <si>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</si>
  <si>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</si>
  <si>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</si>
  <si>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</si>
  <si>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</si>
  <si>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</si>
  <si>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</si>
  <si>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</si>
  <si>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</si>
  <si>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</si>
  <si>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</si>
  <si>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</si>
  <si>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</si>
  <si>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</si>
  <si>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</si>
  <si>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</si>
  <si>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</si>
  <si>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</si>
  <si>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</si>
  <si>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</si>
  <si>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</si>
  <si>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</si>
  <si>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</si>
  <si>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</si>
  <si>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</si>
  <si>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</si>
  <si>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</si>
  <si>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</si>
  <si>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</si>
  <si>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</si>
  <si>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</si>
  <si>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</si>
  <si>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</si>
  <si>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</si>
  <si>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</si>
  <si>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</si>
  <si>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</si>
  <si>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</si>
  <si>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</si>
  <si>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</si>
  <si>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</si>
  <si>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</si>
  <si>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</si>
  <si>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</si>
  <si>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</si>
  <si>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</si>
  <si>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</si>
  <si>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</si>
  <si>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</si>
  <si>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</si>
  <si>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</si>
  <si>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</si>
  <si>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</si>
  <si>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</si>
  <si>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</si>
  <si>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</si>
  <si>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</si>
  <si>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</si>
  <si>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</si>
  <si>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</si>
  <si>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</si>
  <si>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</si>
  <si>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</si>
  <si>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</si>
  <si>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</si>
  <si>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</si>
  <si>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</si>
  <si>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</si>
  <si>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</si>
  <si>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</si>
  <si>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</si>
  <si>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</si>
  <si>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</si>
  <si>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</si>
  <si>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</si>
  <si>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</si>
  <si>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</si>
  <si>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</si>
  <si>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</si>
  <si>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RICARDO GARCIA </t>
  </si>
  <si>
    <t xml:space="preserve">NO </t>
  </si>
  <si>
    <t xml:space="preserve">PENDIENTE </t>
  </si>
  <si>
    <t xml:space="preserve">FL SIDNEY BLANCO </t>
  </si>
  <si>
    <t xml:space="preserve">WINDOW A </t>
  </si>
  <si>
    <t xml:space="preserve">WINDOW B </t>
  </si>
  <si>
    <t xml:space="preserve">CAMILLE MARKS RESIDENCE </t>
  </si>
  <si>
    <t xml:space="preserve">CAMILLE MARKS </t>
  </si>
  <si>
    <t xml:space="preserve">ENSENADA </t>
  </si>
  <si>
    <t>LA MISION KM 62.5</t>
  </si>
  <si>
    <t xml:space="preserve">PADRE UGARTE </t>
  </si>
  <si>
    <t>LOTE 230</t>
  </si>
  <si>
    <t>+1 (602) 763-3840</t>
  </si>
  <si>
    <t>*</t>
  </si>
  <si>
    <t xml:space="preserve">BS 251031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</si>
</sst>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9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zoomScale="85" zoomScaleNormal="85" workbookViewId="0">
      <selection activeCell="M79" sqref="M79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>'CALCULATOR SHEET'!T9</f>
        <v>45961</v>
      </c>
      <c r="J5" s="288"/>
      <c r="K5" s="288"/>
      <c r="L5" s="288"/>
      <c r="M5" s="289" t="str">
        <f>IF('CALCULATOR SHEET'!W2=1,"DOCUMENT #","DOCUMENTO #")</f>
        <v>DOCUMENT #</v>
      </c>
      <c r="N5" s="364" t="str">
        <f>IF('CALCULATOR SHEET'!T5&lt;&gt;"",'CALCULATOR SHEET'!T5,"")</f>
        <v xml:space="preserve">BS 251031 A </v>
      </c>
      <c r="O5" s="364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 xml:space="preserve">CAMILLE MARKS RESIDENCE </v>
      </c>
      <c r="J7" s="365" t="str">
        <f>IF('CALCULATOR SHEET'!H8&lt;&gt;"","Calle: "&amp;'CALCULATOR SHEET'!H10&amp;", Numero: "&amp;'CALCULATOR SHEET'!H11,"")</f>
        <v>Calle: PADRE UGARTE , Numero: LOTE 230</v>
      </c>
      <c r="K7" s="365"/>
      <c r="L7" s="365"/>
      <c r="N7" s="156" t="str">
        <f>IF('CALCULATOR SHEET'!P5&lt;&gt;"",'CALCULATOR SHEET'!P5,"")</f>
        <v xml:space="preserve">PENDIENTE </v>
      </c>
      <c r="O7" s="156"/>
      <c r="P7" s="178" t="str">
        <f>IF('CALCULATOR SHEET'!P4&lt;&gt;"",'CALCULATOR SHEET'!P4,"")</f>
        <v xml:space="preserve">NO </v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5" t="str">
        <f>IF('CALCULATOR SHEET'!H9&lt;&gt;"","Frac: "&amp;'CALCULATOR SHEET'!H9&amp;" - "&amp;'CALCULATOR SHEET'!H8,"")</f>
        <v xml:space="preserve">Frac: LA MISION KM 62.5 - ENSENADA </v>
      </c>
      <c r="K8" s="365"/>
      <c r="L8" s="365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 xml:space="preserve">CAMILLE MARKS </v>
      </c>
      <c r="J10" s="365" t="str">
        <f>IF('CALCULATOR SHEET'!K11&lt;&gt;"",'CALCULATOR SHEET'!$K$11&amp;" Cell: "&amp;'CALCULATOR SHEET'!K10,"")</f>
        <v>* Cell: +1 (602) 763-3840</v>
      </c>
      <c r="K10" s="365"/>
      <c r="L10" s="365"/>
      <c r="N10" s="365" t="str">
        <f>IF('CALCULATOR SHEET'!S70&lt;&gt;"",'CALCULATOR SHEET'!S70,"")</f>
        <v xml:space="preserve">RICARDO GARCIA </v>
      </c>
      <c r="O10" s="365"/>
      <c r="P10" s="365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4</v>
      </c>
      <c r="G14" s="170" t="str">
        <f>IF('CALCULATOR SHEET'!G13&lt;&gt;"",'CALCULATOR SHEET'!G13,"")</f>
        <v xml:space="preserve">FL SIDNEY BLANCO </v>
      </c>
      <c r="H14" s="170" t="str">
        <f>IF('CALCULATOR SHEET'!H13&lt;&gt;"",'CALCULATOR SHEET'!H13,"")</f>
        <v xml:space="preserve">WINDOW A </v>
      </c>
      <c r="I14" s="171">
        <f>IF(E14&lt;&gt;"",'CALCULATOR SHEET'!I13,"")</f>
        <v>116.25</v>
      </c>
      <c r="J14" s="171">
        <f>IF(I14&lt;&gt;"",'CALCULATOR SHEET'!J13,"")</f>
        <v>79</v>
      </c>
      <c r="K14" s="169" t="str">
        <f>IF('CALCULATOR SHEET'!K13&lt;&gt;"",IF('CALCULATOR SHEET'!$W$2=1,'CALCULATOR SHEET'!K13,VLOOKUP('CALCULATOR SHEET'!K13,GENERAL!$H$6:$I$11,2,0)),"")</f>
        <v>METAL CHAIN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417</v>
      </c>
      <c r="O14" s="164"/>
      <c r="P14" s="167">
        <f>IF(D14&lt;&gt;"",N14*D14,"")</f>
        <v>417</v>
      </c>
      <c r="Q14" s="194"/>
      <c r="R14" s="64" t="s">
        <v>200</v>
      </c>
      <c r="T14" s="160">
        <f>IF('CALCULATOR SHEET'!$T$58="PESOS",'CALCULATOR SHEET'!S13*'CALCULATOR SHEET'!$W$6,'CALCULATOR SHEET'!S13)</f>
        <v>417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4</v>
      </c>
      <c r="G15" s="175" t="str">
        <f>IF('CALCULATOR SHEET'!G14&lt;&gt;"",'CALCULATOR SHEET'!G14,"")</f>
        <v xml:space="preserve">FL SIDNEY BLANCO </v>
      </c>
      <c r="H15" s="175" t="str">
        <f>IF('CALCULATOR SHEET'!H14&lt;&gt;"",'CALCULATOR SHEET'!H14,"")</f>
        <v xml:space="preserve">WINDOW B </v>
      </c>
      <c r="I15" s="176">
        <f>IF(E15&lt;&gt;"",'CALCULATOR SHEET'!I14,"")</f>
        <v>124.5</v>
      </c>
      <c r="J15" s="176">
        <f>IF(I15&lt;&gt;"",'CALCULATOR SHEET'!J14,"")</f>
        <v>79</v>
      </c>
      <c r="K15" s="169" t="str">
        <f>IF('CALCULATOR SHEET'!K14&lt;&gt;"",IF('CALCULATOR SHEET'!$W$2=1,'CALCULATOR SHEET'!K14,VLOOKUP('CALCULATOR SHEET'!K14,GENERAL!$H$6:$I$11,2,0)),"")</f>
        <v>METAL CHAIN</v>
      </c>
      <c r="L15" s="174" t="str">
        <f>IF('CALCULATOR SHEET'!M14&lt;&gt;"",'CALCULATOR SHEET'!M14,"")</f>
        <v>L</v>
      </c>
      <c r="M15" s="174" t="str">
        <f>IF(E15&lt;&gt;"",IF(OR('CALCULATOR SHEET'!P14&lt;&gt;"NO",'CALCULATOR SHEET'!Q14&lt;&gt;"NO"),"YES",""),"")</f>
        <v/>
      </c>
      <c r="N15" s="177">
        <f>IF(E15&lt;&gt;"",T15,"")</f>
        <v>536</v>
      </c>
      <c r="O15" s="165"/>
      <c r="P15" s="166">
        <f>IF(D15&lt;&gt;"",N15*D15,"")</f>
        <v>536</v>
      </c>
      <c r="Q15" s="195"/>
      <c r="R15" s="64" t="s">
        <v>200</v>
      </c>
      <c r="T15" s="160">
        <f>IF('CALCULATOR SHEET'!$T$58="PESOS",'CALCULATOR SHEET'!S14*'CALCULATOR SHEET'!$W$6,'CALCULATOR SHEET'!S14)</f>
        <v>536</v>
      </c>
    </row>
    <row r="16" spans="3:23" s="64" customFormat="1" ht="45" customHeight="1">
      <c r="C16" s="173">
        <f>C15+1</f>
        <v>3</v>
      </c>
      <c r="D16" s="174" t="str">
        <f>IF('CALCULATOR SHEET'!C15&lt;&gt;"",'CALCULATOR SHEET'!C15,"")</f>
        <v/>
      </c>
      <c r="E16" s="170" t="str">
        <f>IF('CALCULATOR SHEET'!D15&lt;&gt;"",IF('CALCULATOR SHEET'!$W$2=1,'CALCULATOR SHEET'!D15,VLOOKUP('CALCULATOR SHEET'!D15,GENERAL!$J$6:$K$13,2,0)),"")</f>
        <v/>
      </c>
      <c r="F16" s="175" t="str">
        <f>IF('CALCULATOR SHEET'!E15&lt;&gt;"",'CALCULATOR SHEET'!E15,"")</f>
        <v/>
      </c>
      <c r="G16" s="175" t="str">
        <f>IF('CALCULATOR SHEET'!G15&lt;&gt;"",'CALCULATOR SHEET'!G15,"")</f>
        <v/>
      </c>
      <c r="H16" s="175" t="str">
        <f>IF('CALCULATOR SHEET'!H15&lt;&gt;"",'CALCULATOR SHEET'!H15,"")</f>
        <v/>
      </c>
      <c r="I16" s="176" t="str">
        <f>IF(E16&lt;&gt;"",'CALCULATOR SHEET'!I15,"")</f>
        <v/>
      </c>
      <c r="J16" s="176" t="str">
        <f>IF(I16&lt;&gt;"",'CALCULATOR SHEET'!J15,"")</f>
        <v/>
      </c>
      <c r="K16" s="169" t="str">
        <f>IF('CALCULATOR SHEET'!K15&lt;&gt;"",IF('CALCULATOR SHEET'!$W$2=1,'CALCULATOR SHEET'!K15,VLOOKUP('CALCULATOR SHEET'!K15,GENERAL!$H$6:$I$11,2,0)),"")</f>
        <v/>
      </c>
      <c r="L16" s="174" t="str">
        <f>IF('CALCULATOR SHEET'!M15&lt;&gt;"",'CALCULATOR SHEET'!M15,"")</f>
        <v/>
      </c>
      <c r="M16" s="174" t="str">
        <f>IF(E16&lt;&gt;"",IF(OR('CALCULATOR SHEET'!P15&lt;&gt;"NO",'CALCULATOR SHEET'!Q15&lt;&gt;"NO"),"YES",""),"")</f>
        <v/>
      </c>
      <c r="N16" s="177" t="str">
        <f t="shared" ref="N16:N52" si="0">IF(E16&lt;&gt;"",T16,"")</f>
        <v/>
      </c>
      <c r="O16" s="165"/>
      <c r="P16" s="166" t="str">
        <f t="shared" ref="P16:P53" si="1">IF(D16&lt;&gt;"",N16*D16,"")</f>
        <v/>
      </c>
      <c r="Q16" s="195"/>
      <c r="R16" s="64" t="s">
        <v>200</v>
      </c>
      <c r="T16" s="160">
        <f>IF('CALCULATOR SHEET'!$T$58="PESOS",'CALCULATOR SHEET'!S15*'CALCULATOR SHEET'!$W$6,'CALCULATOR SHEET'!S15)</f>
        <v>0</v>
      </c>
    </row>
    <row r="17" spans="3:22" s="64" customFormat="1" ht="45" customHeight="1">
      <c r="C17" s="173">
        <f t="shared" ref="C17:C53" si="2">C16+1</f>
        <v>4</v>
      </c>
      <c r="D17" s="174" t="str">
        <f>IF('CALCULATOR SHEET'!C16&lt;&gt;"",'CALCULATOR SHEET'!C16,"")</f>
        <v/>
      </c>
      <c r="E17" s="170" t="str">
        <f>IF('CALCULATOR SHEET'!D16&lt;&gt;"",IF('CALCULATOR SHEET'!$W$2=1,'CALCULATOR SHEET'!D16,VLOOKUP('CALCULATOR SHEET'!D16,GENERAL!$J$6:$K$13,2,0)),"")</f>
        <v/>
      </c>
      <c r="F17" s="175" t="str">
        <f>IF('CALCULATOR SHEET'!E16&lt;&gt;"",'CALCULATOR SHEET'!E16,"")</f>
        <v/>
      </c>
      <c r="G17" s="175" t="str">
        <f>IF('CALCULATOR SHEET'!G16&lt;&gt;"",'CALCULATOR SHEET'!G16,"")</f>
        <v/>
      </c>
      <c r="H17" s="175" t="str">
        <f>IF('CALCULATOR SHEET'!H16&lt;&gt;"",'CALCULATOR SHEET'!H16,"")</f>
        <v/>
      </c>
      <c r="I17" s="176" t="str">
        <f>IF(E17&lt;&gt;"",'CALCULATOR SHEET'!I16,"")</f>
        <v/>
      </c>
      <c r="J17" s="176" t="str">
        <f>IF(I17&lt;&gt;"",'CALCULATOR SHEET'!J16,"")</f>
        <v/>
      </c>
      <c r="K17" s="169" t="str">
        <f>IF('CALCULATOR SHEET'!K16&lt;&gt;"",IF('CALCULATOR SHEET'!$W$2=1,'CALCULATOR SHEET'!K16,VLOOKUP('CALCULATOR SHEET'!K16,GENERAL!$H$6:$I$11,2,0)),"")</f>
        <v/>
      </c>
      <c r="L17" s="174" t="str">
        <f>IF('CALCULATOR SHEET'!M16&lt;&gt;"",'CALCULATOR SHEET'!M16,"")</f>
        <v/>
      </c>
      <c r="M17" s="174" t="str">
        <f>IF(E17&lt;&gt;"",IF(OR('CALCULATOR SHEET'!P16&lt;&gt;"NO",'CALCULATOR SHEET'!Q16&lt;&gt;"NO"),"YES",""),"")</f>
        <v/>
      </c>
      <c r="N17" s="177" t="str">
        <f t="shared" si="0"/>
        <v/>
      </c>
      <c r="O17" s="165"/>
      <c r="P17" s="166" t="str">
        <f t="shared" si="1"/>
        <v/>
      </c>
      <c r="Q17" s="195"/>
      <c r="R17" s="64" t="s">
        <v>200</v>
      </c>
      <c r="T17" s="160">
        <f>IF('CALCULATOR SHEET'!$T$58="PESOS",'CALCULATOR SHEET'!S16*'CALCULATOR SHEET'!$W$6,'CALCULATOR SHEET'!S16)</f>
        <v>0</v>
      </c>
    </row>
    <row r="18" spans="3:22" s="64" customFormat="1" ht="45" customHeight="1">
      <c r="C18" s="173">
        <f t="shared" si="2"/>
        <v>5</v>
      </c>
      <c r="D18" s="174" t="str">
        <f>IF('CALCULATOR SHEET'!C17&lt;&gt;"",'CALCULATOR SHEET'!C17,"")</f>
        <v/>
      </c>
      <c r="E18" s="170" t="str">
        <f>IF('CALCULATOR SHEET'!D17&lt;&gt;"",IF('CALCULATOR SHEET'!$W$2=1,'CALCULATOR SHEET'!D17,VLOOKUP('CALCULATOR SHEET'!D17,GENERAL!$J$6:$K$13,2,0)),"")</f>
        <v/>
      </c>
      <c r="F18" s="175" t="str">
        <f>IF('CALCULATOR SHEET'!E17&lt;&gt;"",'CALCULATOR SHEET'!E17,"")</f>
        <v/>
      </c>
      <c r="G18" s="175" t="str">
        <f>IF('CALCULATOR SHEET'!G17&lt;&gt;"",'CALCULATOR SHEET'!G17,"")</f>
        <v/>
      </c>
      <c r="H18" s="175" t="str">
        <f>IF('CALCULATOR SHEET'!H17&lt;&gt;"",'CALCULATOR SHEET'!H17,"")</f>
        <v/>
      </c>
      <c r="I18" s="176" t="str">
        <f>IF(E18&lt;&gt;"",'CALCULATOR SHEET'!I17,"")</f>
        <v/>
      </c>
      <c r="J18" s="176" t="str">
        <f>IF(I18&lt;&gt;"",'CALCULATOR SHEET'!J17,"")</f>
        <v/>
      </c>
      <c r="K18" s="169" t="str">
        <f>IF('CALCULATOR SHEET'!K17&lt;&gt;"",IF('CALCULATOR SHEET'!$W$2=1,'CALCULATOR SHEET'!K17,VLOOKUP('CALCULATOR SHEET'!K17,GENERAL!$H$6:$I$11,2,0)),"")</f>
        <v/>
      </c>
      <c r="L18" s="174" t="str">
        <f>IF('CALCULATOR SHEET'!M17&lt;&gt;"",'CALCULATOR SHEET'!M17,"")</f>
        <v/>
      </c>
      <c r="M18" s="174" t="str">
        <f>IF(E18&lt;&gt;"",IF(OR('CALCULATOR SHEET'!P17&lt;&gt;"NO",'CALCULATOR SHEET'!Q17&lt;&gt;"NO"),"YES",""),"")</f>
        <v/>
      </c>
      <c r="N18" s="177" t="str">
        <f t="shared" si="0"/>
        <v/>
      </c>
      <c r="O18" s="165"/>
      <c r="P18" s="166" t="str">
        <f t="shared" si="1"/>
        <v/>
      </c>
      <c r="Q18" s="195"/>
      <c r="R18" s="64" t="s">
        <v>200</v>
      </c>
      <c r="T18" s="160">
        <f>IF('CALCULATOR SHEET'!$T$58="PESOS",'CALCULATOR SHEET'!S17*'CALCULATOR SHEET'!$W$6,'CALCULATOR SHEET'!S17)</f>
        <v>0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5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5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5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hidden="1" customHeight="1">
      <c r="C56" s="292" t="str">
        <f>IF('CALCULATOR SHEET'!B54&lt;&gt;"",'CALCULATOR SHEET'!B54,"")</f>
        <v/>
      </c>
      <c r="D56" s="67" t="str">
        <f>IF('CALCULATOR SHEET'!C54&lt;&gt;"",'CALCULATOR SHEET'!C54,"")</f>
        <v/>
      </c>
      <c r="E56" s="291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953</v>
      </c>
      <c r="Q62" s="188"/>
      <c r="X62" s="163" t="str">
        <f>IF('CALCULATOR SHEET'!$W$2=1,GENERAL!Q35,GENERAL!S35)</f>
        <v>SUB TOTAL</v>
      </c>
      <c r="Y62" s="222">
        <f>P62</f>
        <v>953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0.3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0.3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285.89999999999998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667.1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667.1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2">
        <f>IF(Y65=0,"",Y65)</f>
        <v>667.1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/>
      <c r="N69" s="350"/>
      <c r="O69" s="350"/>
      <c r="X69" s="163" t="str">
        <f>IF('CALCULATOR SHEET'!$W$2=1,GENERAL!Q42,GENERAL!S42)</f>
        <v>GRAND TOTAL=</v>
      </c>
      <c r="Y69" s="222">
        <f>'CALCULATOR SHEET'!T66</f>
        <v>667.1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667.1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 xml:space="preserve">RICARDO GARCIA 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116.25</v>
      </c>
      <c r="AK7" s="53">
        <f>'CALCULATOR SHEET'!J13</f>
        <v>79</v>
      </c>
      <c r="AL7" s="53">
        <f>IF(AJ7=0,"",MATCH(CEILING(AJ7,6),$D$4:$Z$4,0))</f>
        <v>17</v>
      </c>
      <c r="AM7" s="53">
        <f>IF(AK7=0,"",MATCH(CEILING(AK7,6),$C$7:$C$28,0))</f>
        <v>11</v>
      </c>
      <c r="AN7" s="54">
        <f>IF(AL7="","",INDEX($D$7:$Z$28,AM7,AL7))</f>
        <v>407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124.5</v>
      </c>
      <c r="AK8" s="53">
        <f>'CALCULATOR SHEET'!J14</f>
        <v>79</v>
      </c>
      <c r="AL8" s="53">
        <f t="shared" ref="AL8:AL71" si="0">IF(AJ8=0,"",MATCH(CEILING(AJ8,6),$D$4:$Z$4,0))</f>
        <v>18</v>
      </c>
      <c r="AM8" s="53">
        <f t="shared" ref="AM8:AM71" si="1">IF(AK8=0,"",MATCH(CEILING(AK8,6),$C$7:$C$28,0))</f>
        <v>11</v>
      </c>
      <c r="AN8" s="54">
        <f t="shared" ref="AN8:AN71" si="2">IF(AL8="","",INDEX($D$7:$Z$28,AM8,AL8))</f>
        <v>526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116.25</v>
      </c>
      <c r="AK7" s="53">
        <f>'CALCULATOR SHEET'!J13</f>
        <v>79</v>
      </c>
      <c r="AL7" s="53">
        <f t="shared" ref="AL7:AL70" si="0">IF(AJ7=0,"",MATCH(CEILING(AJ7,6),$D$4:$Z$4,0))</f>
        <v>17</v>
      </c>
      <c r="AM7" s="53">
        <f>IF(AK7=0,"",MATCH(CEILING(AK7,6),$C$7:$C$28,0))</f>
        <v>11</v>
      </c>
      <c r="AN7" s="54">
        <f t="shared" ref="AN7:AN70" si="1">IF(AL7="","",INDEX($D$7:$Z$28,AM7,AL7))</f>
        <v>478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124.5</v>
      </c>
      <c r="AK8" s="53">
        <f>'CALCULATOR SHEET'!J14</f>
        <v>79</v>
      </c>
      <c r="AL8" s="53">
        <f t="shared" si="0"/>
        <v>18</v>
      </c>
      <c r="AM8" s="53">
        <f t="shared" ref="AM8:AM71" si="2">IF(AK8=0,"",MATCH(CEILING(AK8,6),$C$7:$C$28,0))</f>
        <v>11</v>
      </c>
      <c r="AN8" s="54">
        <f t="shared" si="1"/>
        <v>600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116.25</v>
      </c>
      <c r="AK7" s="53">
        <f>'CALCULATOR SHEET'!J13</f>
        <v>79</v>
      </c>
      <c r="AL7" s="53">
        <f>IF(AJ7=0,"",MATCH(CEILING(AJ7,6),$D$4:$Z$4,0))</f>
        <v>17</v>
      </c>
      <c r="AM7" s="53">
        <f>IF(AK7=0,"",MATCH(CEILING(AK7,6),$C$7:$C$28,0))</f>
        <v>11</v>
      </c>
      <c r="AN7" s="54">
        <f>IF(AL7="","",INDEX($D$7:$Z$28,AM7,AL7))</f>
        <v>490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124.5</v>
      </c>
      <c r="AK8" s="53">
        <f>'CALCULATOR SHEET'!J14</f>
        <v>79</v>
      </c>
      <c r="AL8" s="53">
        <f t="shared" ref="AL8:AL71" si="0">IF(AJ8=0,"",MATCH(CEILING(AJ8,6),$D$4:$Z$4,0))</f>
        <v>18</v>
      </c>
      <c r="AM8" s="53">
        <f t="shared" ref="AM8:AM71" si="1">IF(AK8=0,"",MATCH(CEILING(AK8,6),$C$7:$C$28,0))</f>
        <v>11</v>
      </c>
      <c r="AN8" s="54">
        <f t="shared" ref="AN8:AN71" si="2">IF(AL8="","",INDEX($D$7:$Z$28,AM8,AL8))</f>
        <v>612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116.25</v>
      </c>
      <c r="AK7" s="53">
        <f>'CALCULATOR SHEET'!J13</f>
        <v>79</v>
      </c>
      <c r="AL7" s="53">
        <f>IF(AJ7=0,"",MATCH(CEILING(AJ7,6),$D$4:$Z$4,0))</f>
        <v>17</v>
      </c>
      <c r="AM7" s="53">
        <f>IF(AK7=0,"",MATCH(CEILING(AK7,6),$C$7:$C$28,0))</f>
        <v>11</v>
      </c>
      <c r="AN7" s="54">
        <f>IF(AL7="","",INDEX($D$7:$Z$28,AM7,AL7))</f>
        <v>575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124.5</v>
      </c>
      <c r="AK8" s="53">
        <f>'CALCULATOR SHEET'!J14</f>
        <v>79</v>
      </c>
      <c r="AL8" s="53">
        <f t="shared" ref="AL8:AL71" si="0">IF(AJ8=0,"",MATCH(CEILING(AJ8,6),$D$4:$Z$4,0))</f>
        <v>18</v>
      </c>
      <c r="AM8" s="53">
        <f t="shared" ref="AM8:AM71" si="1">IF(AK8=0,"",MATCH(CEILING(AK8,6),$C$7:$C$28,0))</f>
        <v>11</v>
      </c>
      <c r="AN8" s="54">
        <f t="shared" ref="AN8:AN71" si="2">IF(AL8="","",INDEX($D$7:$Z$28,AM8,AL8))</f>
        <v>701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116.25</v>
      </c>
      <c r="AK7" s="53">
        <f>'CALCULATOR SHEET'!J13</f>
        <v>79</v>
      </c>
      <c r="AL7" s="53">
        <f>IF(AJ7=0,"",MATCH(CEILING(AJ7,6),$D$4:$Z$4,0))</f>
        <v>17</v>
      </c>
      <c r="AM7" s="53">
        <f>IF(AK7=0,"",MATCH(CEILING(AK7,6),$C$7:$C$28,0))</f>
        <v>11</v>
      </c>
      <c r="AN7" s="54">
        <f>IF(AL7="","",INDEX($D$7:$Z$28,AM7,AL7))</f>
        <v>651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124.5</v>
      </c>
      <c r="AK8" s="53">
        <f>'CALCULATOR SHEET'!J14</f>
        <v>79</v>
      </c>
      <c r="AL8" s="53">
        <f t="shared" ref="AL8:AL71" si="1">IF(AJ8=0,"",MATCH(CEILING(AJ8,6),$D$4:$Z$4,0))</f>
        <v>18</v>
      </c>
      <c r="AM8" s="53">
        <f t="shared" ref="AM8:AM71" si="2">IF(AK8=0,"",MATCH(CEILING(AK8,6),$C$7:$C$28,0))</f>
        <v>11</v>
      </c>
      <c r="AN8" s="54">
        <f t="shared" ref="AN8:AN71" si="3">IF(AL8="","",INDEX($D$7:$Z$28,AM8,AL8))</f>
        <v>782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0</v>
      </c>
      <c r="AK9" s="53">
        <f>'CALCULATOR SHEET'!J15</f>
        <v>0</v>
      </c>
      <c r="AL9" s="53" t="str">
        <f>IF(AJ9=0,"",MATCH(CEILING(AJ9,6),$D$4:$Z$4,0))</f>
        <v/>
      </c>
      <c r="AM9" s="53" t="str">
        <f t="shared" si="2"/>
        <v/>
      </c>
      <c r="AN9" s="54" t="str">
        <f t="shared" si="3"/>
        <v/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0</v>
      </c>
      <c r="AK10" s="53">
        <f>'CALCULATOR SHEET'!J16</f>
        <v>0</v>
      </c>
      <c r="AL10" s="53" t="str">
        <f t="shared" si="1"/>
        <v/>
      </c>
      <c r="AM10" s="53" t="str">
        <f t="shared" si="2"/>
        <v/>
      </c>
      <c r="AN10" s="54" t="str">
        <f t="shared" si="3"/>
        <v/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0</v>
      </c>
      <c r="AK11" s="53">
        <f>'CALCULATOR SHEET'!J17</f>
        <v>0</v>
      </c>
      <c r="AL11" s="53" t="str">
        <f t="shared" si="1"/>
        <v/>
      </c>
      <c r="AM11" s="53" t="str">
        <f t="shared" si="2"/>
        <v/>
      </c>
      <c r="AN11" s="54" t="str">
        <f t="shared" si="3"/>
        <v/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3" t="s">
        <v>298</v>
      </c>
      <c r="N1" s="383"/>
      <c r="O1" s="383"/>
      <c r="P1" s="383"/>
      <c r="Q1" s="383"/>
      <c r="R1" s="383"/>
      <c r="S1" s="383"/>
      <c r="T1" s="383"/>
      <c r="W1" s="24" t="s">
        <v>4</v>
      </c>
      <c r="X1" s="381">
        <v>44656</v>
      </c>
      <c r="Y1" s="381"/>
      <c r="AF1" s="8"/>
      <c r="AG1" s="8"/>
    </row>
    <row r="2" spans="1:93" s="1" customFormat="1" ht="18" customHeight="1">
      <c r="E2" s="20"/>
      <c r="M2" s="383"/>
      <c r="N2" s="383"/>
      <c r="O2" s="383"/>
      <c r="P2" s="383"/>
      <c r="Q2" s="383"/>
      <c r="R2" s="383"/>
      <c r="S2" s="383"/>
      <c r="T2" s="383"/>
      <c r="W2" s="25"/>
      <c r="AF2" s="8"/>
      <c r="AG2" s="8"/>
    </row>
    <row r="3" spans="1:93" s="1" customFormat="1" ht="18" customHeight="1" thickBot="1">
      <c r="E3" s="15"/>
      <c r="M3" s="384"/>
      <c r="N3" s="384"/>
      <c r="O3" s="384"/>
      <c r="P3" s="384"/>
      <c r="Q3" s="384"/>
      <c r="R3" s="384"/>
      <c r="S3" s="384"/>
      <c r="T3" s="384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116.25</v>
      </c>
      <c r="AK7" s="53">
        <f>'CALCULATOR SHEET'!J13</f>
        <v>79</v>
      </c>
      <c r="AL7" s="53">
        <f>IF(AJ7=0,"",MATCH(CEILING(AJ7,6),$D$4:$Z$4,0))</f>
        <v>17</v>
      </c>
      <c r="AM7" s="53">
        <f>IF(AK7=0,"",MATCH(CEILING(AK7,6),$C$7:$C$28,0))</f>
        <v>11</v>
      </c>
      <c r="AN7" s="54">
        <f>IF(AL7="","",INDEX($D$7:$Z$28,AM7,AL7))</f>
        <v>749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124.5</v>
      </c>
      <c r="AK8" s="53">
        <f>'CALCULATOR SHEET'!J14</f>
        <v>79</v>
      </c>
      <c r="AL8" s="53">
        <f t="shared" ref="AL8:AL71" si="17">IF(AJ8=0,"",MATCH(CEILING(AJ8,6),$D$4:$Z$4,0))</f>
        <v>18</v>
      </c>
      <c r="AM8" s="53">
        <f t="shared" ref="AM8:AM71" si="18">IF(AK8=0,"",MATCH(CEILING(AK8,6),$C$7:$C$28,0))</f>
        <v>11</v>
      </c>
      <c r="AN8" s="54">
        <f t="shared" ref="AN8:AN71" si="19">IF(AL8="","",INDEX($D$7:$Z$28,AM8,AL8))</f>
        <v>785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17"/>
        <v/>
      </c>
      <c r="AM9" s="53" t="str">
        <f t="shared" si="18"/>
        <v/>
      </c>
      <c r="AN9" s="54" t="str">
        <f t="shared" si="19"/>
        <v/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0</v>
      </c>
      <c r="AK10" s="53">
        <f>'CALCULATOR SHEET'!J16</f>
        <v>0</v>
      </c>
      <c r="AL10" s="53" t="str">
        <f t="shared" si="17"/>
        <v/>
      </c>
      <c r="AM10" s="53" t="str">
        <f t="shared" si="18"/>
        <v/>
      </c>
      <c r="AN10" s="54" t="str">
        <f t="shared" si="19"/>
        <v/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0</v>
      </c>
      <c r="AK11" s="53">
        <f>'CALCULATOR SHEET'!J17</f>
        <v>0</v>
      </c>
      <c r="AL11" s="53" t="str">
        <f t="shared" si="17"/>
        <v/>
      </c>
      <c r="AM11" s="53" t="str">
        <f t="shared" si="18"/>
        <v/>
      </c>
      <c r="AN11" s="54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5" t="s">
        <v>216</v>
      </c>
      <c r="V7" s="147"/>
      <c r="W7" s="147" t="str">
        <f>'CALCULATOR SHEET'!E13</f>
        <v>GROUP 4</v>
      </c>
      <c r="X7" s="1">
        <v>1</v>
      </c>
      <c r="Y7" s="7">
        <f>'CALCULATOR SHEET'!I13</f>
        <v>116.25</v>
      </c>
      <c r="Z7" s="7">
        <f>'CALCULATOR SHEET'!J13</f>
        <v>79</v>
      </c>
      <c r="AA7" s="7">
        <f>IF(Y7=0,"",MATCH(CEILING(Y7,6),$C$7:$R$7,0))</f>
        <v>16</v>
      </c>
      <c r="AB7" s="7">
        <f>IF(Z7=0,"",MATCH(CEILING(Z7,6),$B$10:$B$26,0))</f>
        <v>9</v>
      </c>
      <c r="AC7" s="146" t="str">
        <f>IF(AA7="","",IF(W7="GROUP 1",INDEX($C$10:$R$26,AB7,AA7),IF(W7="GROUP 2",INDEX($C$39:$R$55,AB7,AA7),IF(W7="GROUP 3",INDEX($C$64:$R$80,AB7,AA7),""))))</f>
        <v/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210</v>
      </c>
      <c r="AF7" s="13">
        <f>IF(Y7&gt;0,HLOOKUP(AA7,$C$29:$R$30,2,FALSE),"")</f>
        <v>0</v>
      </c>
    </row>
    <row r="8" spans="2:32" ht="15.75">
      <c r="U8" s="385"/>
      <c r="V8" s="147"/>
      <c r="W8" s="147" t="str">
        <f>'CALCULATOR SHEET'!E14</f>
        <v>GROUP 4</v>
      </c>
      <c r="X8" s="1">
        <f>+X7+1</f>
        <v>2</v>
      </c>
      <c r="Y8" s="7">
        <f>'CALCULATOR SHEET'!I14</f>
        <v>124.5</v>
      </c>
      <c r="Z8" s="7">
        <f>'CALCULATOR SHEET'!J14</f>
        <v>79</v>
      </c>
      <c r="AA8" s="7" t="e">
        <f t="shared" ref="AA8:AA28" si="1">IF(Y8=0,"",MATCH(CEILING(Y8,6),$C$7:$R$7,0))</f>
        <v>#N/A</v>
      </c>
      <c r="AB8" s="7">
        <f t="shared" ref="AB8:AB28" si="2">IF(Z8=0,"",MATCH(CEILING(Z8,6),$B$10:$B$26,0))</f>
        <v>9</v>
      </c>
      <c r="AC8" s="146" t="e">
        <f t="shared" ref="AC8:AC71" si="3">IF(AA8="","",IF(W8="GROUP 1",INDEX($C$10:$R$26,AB8,AA8),IF(W8="GROUP 2",INDEX($C$39:$R$55,AB8,AA8),IF(W8="GROUP 3",INDEX($C$64:$R$80,AB8,AA8),""))))</f>
        <v>#N/A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210</v>
      </c>
      <c r="AF8" s="13" t="e">
        <f t="shared" ref="AF8:AF71" si="5">IF(Y8&gt;0,HLOOKUP(AA8,$C$29:$R$30,2,FALSE),"")</f>
        <v>#N/A</v>
      </c>
    </row>
    <row r="9" spans="2:32" ht="15.75">
      <c r="B9" s="134" t="s">
        <v>101</v>
      </c>
      <c r="S9" s="134" t="s">
        <v>101</v>
      </c>
      <c r="U9" s="25"/>
      <c r="V9" s="25"/>
      <c r="W9" s="147">
        <f>'CALCULATOR SHEET'!E15</f>
        <v>0</v>
      </c>
      <c r="X9" s="1">
        <f t="shared" ref="X9:X28" si="6">+X8+1</f>
        <v>3</v>
      </c>
      <c r="Y9" s="7">
        <f>'CALCULATOR SHEET'!I15</f>
        <v>0</v>
      </c>
      <c r="Z9" s="7">
        <f>'CALCULATOR SHEET'!J15</f>
        <v>0</v>
      </c>
      <c r="AA9" s="7" t="str">
        <f t="shared" si="1"/>
        <v/>
      </c>
      <c r="AB9" s="7" t="str">
        <f t="shared" si="2"/>
        <v/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 t="str">
        <f t="shared" si="4"/>
        <v/>
      </c>
      <c r="AF9" s="13" t="str">
        <f t="shared" si="5"/>
        <v/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>
        <f>'CALCULATOR SHEET'!E16</f>
        <v>0</v>
      </c>
      <c r="X10" s="1">
        <f t="shared" si="6"/>
        <v>4</v>
      </c>
      <c r="Y10" s="7">
        <f>'CALCULATOR SHEET'!I16</f>
        <v>0</v>
      </c>
      <c r="Z10" s="7">
        <f>'CALCULATOR SHEET'!J16</f>
        <v>0</v>
      </c>
      <c r="AA10" s="7" t="str">
        <f t="shared" si="1"/>
        <v/>
      </c>
      <c r="AB10" s="7" t="str">
        <f t="shared" si="2"/>
        <v/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 t="str">
        <f t="shared" si="4"/>
        <v/>
      </c>
      <c r="AF10" s="13" t="str">
        <f t="shared" si="5"/>
        <v/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116.25</v>
      </c>
      <c r="W7" s="7">
        <f>'CALCULATOR SHEET'!J13</f>
        <v>79</v>
      </c>
      <c r="X7" s="7" t="e">
        <f>IF(V7=0,"",MATCH(CEILING(V7,6),$C$8:$Q$8,0))</f>
        <v>#N/A</v>
      </c>
      <c r="Y7" s="7">
        <f>IF(W7=0,"",MATCH(CEILING(W7,6),$B$10:$B$26,0))</f>
        <v>11</v>
      </c>
      <c r="Z7" s="146" t="e">
        <f>IF(X7="","",INDEX($C$12:$Q$26,Y7,X7))</f>
        <v>#N/A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124.5</v>
      </c>
      <c r="W8" s="7">
        <f>'CALCULATOR SHEET'!J14</f>
        <v>79</v>
      </c>
      <c r="X8" s="7" t="e">
        <f t="shared" ref="X8:X73" si="0">IF(V8=0,"",MATCH(CEILING(V8,6),$C$8:$Q$8,0))</f>
        <v>#N/A</v>
      </c>
      <c r="Y8" s="7">
        <f t="shared" ref="Y8:Y71" si="1">IF(W8=0,"",MATCH(CEILING(W8,6),$B$10:$B$26,0))</f>
        <v>11</v>
      </c>
      <c r="Z8" s="146" t="e">
        <f>IF(X8="","",INDEX($C$12:$Q$26,Y8,X8))</f>
        <v>#N/A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0</v>
      </c>
      <c r="W9" s="7">
        <f>'CALCULATOR SHEET'!J15</f>
        <v>0</v>
      </c>
      <c r="X9" s="7" t="str">
        <f t="shared" si="0"/>
        <v/>
      </c>
      <c r="Y9" s="7" t="str">
        <f t="shared" si="1"/>
        <v/>
      </c>
      <c r="Z9" s="146" t="str">
        <f>IF(X9="","",INDEX($C$12:$Q$26,Y9,X9))</f>
        <v/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0</v>
      </c>
      <c r="W12" s="7">
        <f>'CALCULATOR SHEET'!J16</f>
        <v>0</v>
      </c>
      <c r="X12" s="7" t="str">
        <f t="shared" si="0"/>
        <v/>
      </c>
      <c r="Y12" s="7" t="str">
        <f t="shared" si="1"/>
        <v/>
      </c>
      <c r="Z12" s="146" t="str">
        <f t="shared" ref="Z12:Z43" si="3">IF(X12="","",INDEX($C$12:$Q$26,Y12,X12))</f>
        <v/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46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6" t="s">
        <v>14</v>
      </c>
      <c r="J3" s="386"/>
      <c r="K3" s="386"/>
      <c r="L3" s="386"/>
      <c r="R3" s="34" t="s">
        <v>436</v>
      </c>
    </row>
    <row r="4" spans="2:29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5" t="s">
        <v>72</v>
      </c>
      <c r="U7" s="147"/>
      <c r="V7" s="1">
        <v>1</v>
      </c>
      <c r="W7" s="7">
        <f>'CALCULATOR SHEET'!I13</f>
        <v>116.25</v>
      </c>
      <c r="X7" s="7">
        <f>'CALCULATOR SHEET'!J13</f>
        <v>79</v>
      </c>
      <c r="Y7" s="7" t="e">
        <f>IF(W7=0,"",MATCH(CEILING(W7,6),$C$7:$Q$7,0))</f>
        <v>#N/A</v>
      </c>
      <c r="Z7" s="7">
        <f>IF(X7=0,"",MATCH(CEILING(X7,6),$B$10:$B$26,0))</f>
        <v>11</v>
      </c>
      <c r="AA7" s="146" t="e">
        <f>IF(Y7="","",INDEX($C$10:$Q$26,Z7,Y7))</f>
        <v>#N/A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5"/>
      <c r="U8" s="147"/>
      <c r="V8" s="1">
        <f>+V7+1</f>
        <v>2</v>
      </c>
      <c r="W8" s="7">
        <f>'CALCULATOR SHEET'!I14</f>
        <v>124.5</v>
      </c>
      <c r="X8" s="7">
        <f>'CALCULATOR SHEET'!J14</f>
        <v>79</v>
      </c>
      <c r="Y8" s="7" t="e">
        <f t="shared" ref="Y8:Y71" si="1">IF(W8=0,"",MATCH(CEILING(W8,6),$C$7:$Q$7,0))</f>
        <v>#N/A</v>
      </c>
      <c r="Z8" s="7">
        <f t="shared" ref="Z8:Z71" si="2">IF(X8=0,"",MATCH(CEILING(X8,6),$B$10:$B$26,0))</f>
        <v>11</v>
      </c>
      <c r="AA8" s="146" t="e">
        <f t="shared" ref="AA8:AA71" si="3">IF(Y8="","",INDEX($C$10:$Q$26,Z8,Y8))</f>
        <v>#N/A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8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116.25</v>
      </c>
      <c r="X7" s="7">
        <f>'CALCULATOR SHEET'!J13</f>
        <v>79</v>
      </c>
      <c r="Y7" s="7" t="e">
        <f>IF(W7=0,"",MATCH(CEILING(W7,6),$C$7:$Q$7,0))</f>
        <v>#N/A</v>
      </c>
      <c r="Z7" s="7">
        <f>IF(X7=0,"",MATCH(CEILING(X7,6),$B$10:$B$26,0))</f>
        <v>11</v>
      </c>
      <c r="AA7" s="146" t="e">
        <f>IF(Y7="","",INDEX($C$10:$Q$26,Z7,Y7))</f>
        <v>#N/A</v>
      </c>
    </row>
    <row r="8" spans="2:27">
      <c r="T8" s="385"/>
      <c r="V8" s="1">
        <f>+V7+1</f>
        <v>2</v>
      </c>
      <c r="W8" s="7">
        <f>'CALCULATOR SHEET'!I14</f>
        <v>124.5</v>
      </c>
      <c r="X8" s="7">
        <f>'CALCULATOR SHEET'!J14</f>
        <v>79</v>
      </c>
      <c r="Y8" s="7" t="e">
        <f t="shared" ref="Y8:Y71" si="1">IF(W8=0,"",MATCH(CEILING(W8,6),$C$7:$Q$7,0))</f>
        <v>#N/A</v>
      </c>
      <c r="Z8" s="7">
        <f t="shared" ref="Z8:Z71" si="2">IF(X8=0,"",MATCH(CEILING(X8,6),$B$10:$B$26,0))</f>
        <v>11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abSelected="1" zoomScale="85" zoomScaleNormal="85" workbookViewId="0">
      <selection activeCell="S14" sqref="S14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7"/>
      <c r="Q3" s="367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 t="s">
        <v>463</v>
      </c>
      <c r="Q4" s="285"/>
      <c r="R4" s="34" t="s">
        <v>39</v>
      </c>
      <c r="S4" s="19" t="s">
        <v>41</v>
      </c>
      <c r="T4" s="236" t="s">
        <v>43</v>
      </c>
      <c r="Z4" s="370" t="s">
        <v>309</v>
      </c>
      <c r="AA4" s="369">
        <f>FLOOR(SUMIF(C8:C47,"&gt;0")/2,1)</f>
        <v>1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 t="s">
        <v>464</v>
      </c>
      <c r="Q5" s="285"/>
      <c r="R5" s="19"/>
      <c r="S5" s="19" t="s">
        <v>42</v>
      </c>
      <c r="T5" s="49" t="s">
        <v>476</v>
      </c>
      <c r="W5" s="34" t="s">
        <v>134</v>
      </c>
      <c r="Z5" s="370"/>
      <c r="AA5" s="369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0"/>
      <c r="AA6" s="369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470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8" t="str">
        <f>IF(AA10&gt;(AA9/2),"REVISAR PERSIANAS","")</f>
        <v/>
      </c>
      <c r="Z8" s="368"/>
      <c r="AA8" s="368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468</v>
      </c>
      <c r="E9" s="39"/>
      <c r="F9" s="1"/>
      <c r="G9" s="38" t="s">
        <v>443</v>
      </c>
      <c r="H9" s="343" t="s">
        <v>471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v>45961</v>
      </c>
      <c r="Z9" s="38" t="s">
        <v>304</v>
      </c>
      <c r="AA9" s="34">
        <f>SUMIF(C13:C52,"&gt;0")</f>
        <v>2</v>
      </c>
      <c r="AD9" s="366" t="s">
        <v>91</v>
      </c>
      <c r="AE9" s="366"/>
      <c r="AF9" s="366"/>
      <c r="AG9" s="366"/>
      <c r="AH9" s="366"/>
      <c r="AI9" s="366"/>
      <c r="AJ9" s="366"/>
      <c r="AK9" s="269"/>
      <c r="AL9" s="366" t="s">
        <v>92</v>
      </c>
      <c r="AM9" s="366"/>
      <c r="AN9" s="366"/>
      <c r="AO9" s="269"/>
      <c r="AP9" s="366" t="s">
        <v>93</v>
      </c>
      <c r="AQ9" s="366"/>
      <c r="AR9" s="366"/>
      <c r="AS9" s="269"/>
      <c r="AT9" s="366" t="s">
        <v>217</v>
      </c>
      <c r="AU9" s="366"/>
      <c r="AV9" s="14"/>
      <c r="AW9" s="14"/>
    </row>
    <row r="10" spans="1:73" ht="15.75">
      <c r="B10" s="43"/>
      <c r="C10" s="24" t="s">
        <v>39</v>
      </c>
      <c r="D10" s="191" t="s">
        <v>469</v>
      </c>
      <c r="E10" s="149"/>
      <c r="F10" s="1"/>
      <c r="G10" s="341" t="s">
        <v>444</v>
      </c>
      <c r="H10" s="343" t="s">
        <v>472</v>
      </c>
      <c r="I10" s="1"/>
      <c r="J10" s="3" t="s">
        <v>449</v>
      </c>
      <c r="K10" s="344" t="s">
        <v>474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6"/>
      <c r="AE10" s="366"/>
      <c r="AF10" s="366"/>
      <c r="AG10" s="366"/>
      <c r="AH10" s="366"/>
      <c r="AI10" s="366"/>
      <c r="AJ10" s="366"/>
      <c r="AL10" s="366"/>
      <c r="AM10" s="366"/>
      <c r="AN10" s="366"/>
      <c r="AP10" s="366"/>
      <c r="AQ10" s="366"/>
      <c r="AR10" s="366"/>
      <c r="AT10" s="366"/>
      <c r="AU10" s="366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 t="s">
        <v>473</v>
      </c>
      <c r="I11" s="46"/>
      <c r="J11" s="38" t="s">
        <v>448</v>
      </c>
      <c r="K11" s="301" t="s">
        <v>475</v>
      </c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22</v>
      </c>
      <c r="F13" s="69"/>
      <c r="G13" s="68" t="s">
        <v>465</v>
      </c>
      <c r="H13" s="68" t="s">
        <v>466</v>
      </c>
      <c r="I13" s="81">
        <v>116.25</v>
      </c>
      <c r="J13" s="81">
        <v>79</v>
      </c>
      <c r="K13" s="254" t="s">
        <v>96</v>
      </c>
      <c r="L13" s="70"/>
      <c r="M13" s="284" t="s">
        <v>129</v>
      </c>
      <c r="N13" s="254" t="s">
        <v>212</v>
      </c>
      <c r="O13" s="254" t="s">
        <v>205</v>
      </c>
      <c r="P13" s="70" t="s">
        <v>45</v>
      </c>
      <c r="Q13" s="70" t="s">
        <v>45</v>
      </c>
      <c r="R13" s="70" t="s">
        <v>45</v>
      </c>
      <c r="S13" s="71">
        <f t="shared" ref="S13:S52" si="0">IF(U13="REVISAR MEDIDA","NO APLICA",W13+X13)</f>
        <v>417</v>
      </c>
      <c r="T13" s="316">
        <f t="shared" ref="T13:T52" si="1">IF(S13="","",S13*C13)</f>
        <v>417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417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ROLLER</v>
      </c>
      <c r="AC13" s="271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407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10</v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>
        <f>IF(K13="METAL CHAIN",AJ13,"")</f>
        <v>10</v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22</v>
      </c>
      <c r="F14" s="69"/>
      <c r="G14" s="68" t="s">
        <v>465</v>
      </c>
      <c r="H14" s="68" t="s">
        <v>467</v>
      </c>
      <c r="I14" s="81">
        <v>124.5</v>
      </c>
      <c r="J14" s="81">
        <v>79</v>
      </c>
      <c r="K14" s="254" t="s">
        <v>96</v>
      </c>
      <c r="L14" s="70"/>
      <c r="M14" s="284" t="s">
        <v>129</v>
      </c>
      <c r="N14" s="254" t="s">
        <v>212</v>
      </c>
      <c r="O14" s="254" t="s">
        <v>205</v>
      </c>
      <c r="P14" s="70" t="s">
        <v>45</v>
      </c>
      <c r="Q14" s="70" t="s">
        <v>45</v>
      </c>
      <c r="R14" s="70" t="s">
        <v>45</v>
      </c>
      <c r="S14" s="71">
        <f t="shared" si="0"/>
        <v>536</v>
      </c>
      <c r="T14" s="316">
        <f t="shared" si="1"/>
        <v>536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536</v>
      </c>
      <c r="X14" s="290">
        <v>0</v>
      </c>
      <c r="Y14" s="274">
        <f t="shared" ref="Y14:Y52" si="3">B14</f>
        <v>2</v>
      </c>
      <c r="Z14" s="128" t="s">
        <v>6</v>
      </c>
      <c r="AA14" s="310">
        <f t="shared" ref="AA14:AA52" si="4">IF(Z14&lt;&gt;"N/A",S14,0)</f>
        <v>0</v>
      </c>
      <c r="AB14" s="16" t="str">
        <f t="shared" ref="AB14:AB52" si="5">D14</f>
        <v>ROLLER</v>
      </c>
      <c r="AC14" s="271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526</v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>
        <f>IF(K14="METAL CHAIN",'ROLLER G1'!AU8,"")</f>
        <v>10</v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>
        <f t="shared" ref="AR14:AR52" si="6">IF(K14="METAL CHAIN",AJ14,"")</f>
        <v>10</v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/>
      <c r="D15" s="152"/>
      <c r="E15" s="69"/>
      <c r="F15" s="69"/>
      <c r="G15" s="68"/>
      <c r="H15" s="68"/>
      <c r="I15" s="81"/>
      <c r="J15" s="81"/>
      <c r="K15" s="254"/>
      <c r="L15" s="70"/>
      <c r="M15" s="284"/>
      <c r="N15" s="254"/>
      <c r="O15" s="254"/>
      <c r="P15" s="70" t="s">
        <v>45</v>
      </c>
      <c r="Q15" s="70" t="s">
        <v>45</v>
      </c>
      <c r="R15" s="70" t="s">
        <v>45</v>
      </c>
      <c r="S15" s="71">
        <f t="shared" si="0"/>
        <v>0</v>
      </c>
      <c r="T15" s="316">
        <f t="shared" si="1"/>
        <v>0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0</v>
      </c>
      <c r="X15" s="290">
        <v>0</v>
      </c>
      <c r="Y15" s="274">
        <f t="shared" si="3"/>
        <v>3</v>
      </c>
      <c r="Z15" s="128" t="s">
        <v>6</v>
      </c>
      <c r="AA15" s="310">
        <f t="shared" si="4"/>
        <v>0</v>
      </c>
      <c r="AB15" s="16">
        <f t="shared" si="5"/>
        <v>0</v>
      </c>
      <c r="AC15" s="271"/>
      <c r="AD15" s="120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/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/>
      <c r="D16" s="152"/>
      <c r="E16" s="69"/>
      <c r="F16" s="69"/>
      <c r="G16" s="68"/>
      <c r="H16" s="68"/>
      <c r="I16" s="81"/>
      <c r="J16" s="81"/>
      <c r="K16" s="254"/>
      <c r="L16" s="70"/>
      <c r="M16" s="284"/>
      <c r="N16" s="254"/>
      <c r="O16" s="254"/>
      <c r="P16" s="70" t="s">
        <v>45</v>
      </c>
      <c r="Q16" s="70" t="s">
        <v>45</v>
      </c>
      <c r="R16" s="70" t="s">
        <v>45</v>
      </c>
      <c r="S16" s="71">
        <f t="shared" si="0"/>
        <v>0</v>
      </c>
      <c r="T16" s="316">
        <f t="shared" si="1"/>
        <v>0</v>
      </c>
      <c r="U16" s="179" t="str">
        <f t="shared" si="2"/>
        <v/>
      </c>
      <c r="V16" s="120"/>
      <c r="W16" s="124">
        <f t="shared" si="8"/>
        <v>0</v>
      </c>
      <c r="X16" s="290">
        <v>0</v>
      </c>
      <c r="Y16" s="274">
        <f t="shared" si="3"/>
        <v>4</v>
      </c>
      <c r="Z16" s="128" t="s">
        <v>6</v>
      </c>
      <c r="AA16" s="310">
        <f t="shared" si="4"/>
        <v>0</v>
      </c>
      <c r="AB16" s="16">
        <f t="shared" si="5"/>
        <v>0</v>
      </c>
      <c r="AC16" s="271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/>
      <c r="D17" s="152"/>
      <c r="E17" s="69"/>
      <c r="F17" s="69"/>
      <c r="G17" s="68"/>
      <c r="H17" s="68"/>
      <c r="I17" s="81"/>
      <c r="J17" s="81"/>
      <c r="K17" s="254"/>
      <c r="L17" s="70"/>
      <c r="M17" s="284"/>
      <c r="N17" s="254"/>
      <c r="O17" s="254"/>
      <c r="P17" s="70" t="s">
        <v>45</v>
      </c>
      <c r="Q17" s="70" t="s">
        <v>45</v>
      </c>
      <c r="R17" s="70" t="s">
        <v>45</v>
      </c>
      <c r="S17" s="71">
        <f t="shared" si="0"/>
        <v>0</v>
      </c>
      <c r="T17" s="316">
        <f t="shared" si="1"/>
        <v>0</v>
      </c>
      <c r="U17" s="179" t="str">
        <f t="shared" si="2"/>
        <v/>
      </c>
      <c r="V17" s="120"/>
      <c r="W17" s="124">
        <f t="shared" si="8"/>
        <v>0</v>
      </c>
      <c r="X17" s="290">
        <v>0</v>
      </c>
      <c r="Y17" s="274">
        <f t="shared" si="3"/>
        <v>5</v>
      </c>
      <c r="Z17" s="128" t="s">
        <v>6</v>
      </c>
      <c r="AA17" s="310">
        <f t="shared" si="4"/>
        <v>0</v>
      </c>
      <c r="AB17" s="16">
        <f t="shared" si="5"/>
        <v>0</v>
      </c>
      <c r="AC17" s="271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4"/>
      <c r="L18" s="70"/>
      <c r="M18" s="284"/>
      <c r="N18" s="254"/>
      <c r="O18" s="254"/>
      <c r="P18" s="70" t="s">
        <v>45</v>
      </c>
      <c r="Q18" s="70" t="s">
        <v>45</v>
      </c>
      <c r="R18" s="70" t="s">
        <v>45</v>
      </c>
      <c r="S18" s="71">
        <f t="shared" si="0"/>
        <v>0</v>
      </c>
      <c r="T18" s="316">
        <f t="shared" si="1"/>
        <v>0</v>
      </c>
      <c r="U18" s="179" t="str">
        <f t="shared" si="2"/>
        <v/>
      </c>
      <c r="V18" s="120"/>
      <c r="W18" s="124">
        <f t="shared" si="8"/>
        <v>0</v>
      </c>
      <c r="X18" s="290">
        <v>0</v>
      </c>
      <c r="Y18" s="274">
        <f t="shared" si="3"/>
        <v>6</v>
      </c>
      <c r="Z18" s="128" t="s">
        <v>6</v>
      </c>
      <c r="AA18" s="310">
        <f t="shared" si="4"/>
        <v>0</v>
      </c>
      <c r="AB18" s="16">
        <f t="shared" si="5"/>
        <v>0</v>
      </c>
      <c r="AC18" s="271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4"/>
      <c r="L19" s="70"/>
      <c r="M19" s="284"/>
      <c r="N19" s="254"/>
      <c r="O19" s="254"/>
      <c r="P19" s="70" t="s">
        <v>45</v>
      </c>
      <c r="Q19" s="70" t="s">
        <v>45</v>
      </c>
      <c r="R19" s="70" t="s">
        <v>45</v>
      </c>
      <c r="S19" s="71">
        <f t="shared" si="0"/>
        <v>0</v>
      </c>
      <c r="T19" s="316">
        <f t="shared" si="1"/>
        <v>0</v>
      </c>
      <c r="U19" s="179" t="str">
        <f t="shared" si="2"/>
        <v/>
      </c>
      <c r="V19" s="120"/>
      <c r="W19" s="124">
        <f t="shared" si="8"/>
        <v>0</v>
      </c>
      <c r="X19" s="290">
        <v>0</v>
      </c>
      <c r="Y19" s="274">
        <f t="shared" si="3"/>
        <v>7</v>
      </c>
      <c r="Z19" s="128" t="s">
        <v>6</v>
      </c>
      <c r="AA19" s="310">
        <f t="shared" si="4"/>
        <v>0</v>
      </c>
      <c r="AB19" s="16">
        <f t="shared" si="5"/>
        <v>0</v>
      </c>
      <c r="AC19" s="271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4"/>
      <c r="L20" s="70"/>
      <c r="M20" s="284"/>
      <c r="N20" s="254"/>
      <c r="O20" s="254"/>
      <c r="P20" s="70" t="s">
        <v>45</v>
      </c>
      <c r="Q20" s="70" t="s">
        <v>45</v>
      </c>
      <c r="R20" s="70" t="s">
        <v>45</v>
      </c>
      <c r="S20" s="71">
        <f t="shared" si="0"/>
        <v>0</v>
      </c>
      <c r="T20" s="316">
        <f t="shared" si="1"/>
        <v>0</v>
      </c>
      <c r="U20" s="179" t="str">
        <f t="shared" si="2"/>
        <v/>
      </c>
      <c r="V20" s="120"/>
      <c r="W20" s="124">
        <f t="shared" si="8"/>
        <v>0</v>
      </c>
      <c r="X20" s="290">
        <v>0</v>
      </c>
      <c r="Y20" s="274">
        <f t="shared" si="3"/>
        <v>8</v>
      </c>
      <c r="Z20" s="128" t="s">
        <v>6</v>
      </c>
      <c r="AA20" s="310">
        <f t="shared" si="4"/>
        <v>0</v>
      </c>
      <c r="AB20" s="16">
        <f t="shared" si="5"/>
        <v>0</v>
      </c>
      <c r="AC20" s="271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4"/>
      <c r="L21" s="70"/>
      <c r="M21" s="284"/>
      <c r="N21" s="254"/>
      <c r="O21" s="254"/>
      <c r="P21" s="70" t="s">
        <v>45</v>
      </c>
      <c r="Q21" s="70" t="s">
        <v>45</v>
      </c>
      <c r="R21" s="70" t="s">
        <v>45</v>
      </c>
      <c r="S21" s="71">
        <f t="shared" si="0"/>
        <v>0</v>
      </c>
      <c r="T21" s="316">
        <f t="shared" si="1"/>
        <v>0</v>
      </c>
      <c r="U21" s="179" t="str">
        <f t="shared" si="2"/>
        <v/>
      </c>
      <c r="V21" s="120"/>
      <c r="W21" s="124">
        <f t="shared" si="8"/>
        <v>0</v>
      </c>
      <c r="X21" s="290">
        <v>0</v>
      </c>
      <c r="Y21" s="274">
        <f t="shared" si="3"/>
        <v>9</v>
      </c>
      <c r="Z21" s="128" t="s">
        <v>6</v>
      </c>
      <c r="AA21" s="310">
        <f t="shared" si="4"/>
        <v>0</v>
      </c>
      <c r="AB21" s="16">
        <f t="shared" si="5"/>
        <v>0</v>
      </c>
      <c r="AC21" s="271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4"/>
      <c r="L22" s="70"/>
      <c r="M22" s="284"/>
      <c r="N22" s="254"/>
      <c r="O22" s="254"/>
      <c r="P22" s="70" t="s">
        <v>45</v>
      </c>
      <c r="Q22" s="70" t="s">
        <v>45</v>
      </c>
      <c r="R22" s="70" t="s">
        <v>45</v>
      </c>
      <c r="S22" s="71">
        <f t="shared" si="0"/>
        <v>0</v>
      </c>
      <c r="T22" s="72">
        <f t="shared" si="1"/>
        <v>0</v>
      </c>
      <c r="U22" s="179" t="str">
        <f t="shared" si="2"/>
        <v/>
      </c>
      <c r="V22" s="67"/>
      <c r="W22" s="124">
        <f t="shared" si="8"/>
        <v>0</v>
      </c>
      <c r="X22" s="290">
        <v>0</v>
      </c>
      <c r="Y22" s="274">
        <f t="shared" si="3"/>
        <v>10</v>
      </c>
      <c r="Z22" s="128" t="s">
        <v>6</v>
      </c>
      <c r="AA22" s="310">
        <f t="shared" si="4"/>
        <v>0</v>
      </c>
      <c r="AB22" s="16">
        <f t="shared" si="5"/>
        <v>0</v>
      </c>
      <c r="AC22" s="271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4"/>
      <c r="L23" s="70"/>
      <c r="M23" s="284"/>
      <c r="N23" s="254"/>
      <c r="O23" s="254"/>
      <c r="P23" s="70" t="s">
        <v>45</v>
      </c>
      <c r="Q23" s="70" t="s">
        <v>45</v>
      </c>
      <c r="R23" s="70" t="s">
        <v>45</v>
      </c>
      <c r="S23" s="71">
        <f t="shared" si="0"/>
        <v>0</v>
      </c>
      <c r="T23" s="72">
        <f t="shared" si="1"/>
        <v>0</v>
      </c>
      <c r="U23" s="179" t="str">
        <f t="shared" si="2"/>
        <v/>
      </c>
      <c r="V23" s="67"/>
      <c r="W23" s="124">
        <f t="shared" si="8"/>
        <v>0</v>
      </c>
      <c r="X23" s="290">
        <v>0</v>
      </c>
      <c r="Y23" s="274">
        <f t="shared" si="3"/>
        <v>11</v>
      </c>
      <c r="Z23" s="128" t="s">
        <v>6</v>
      </c>
      <c r="AA23" s="310">
        <f t="shared" si="4"/>
        <v>0</v>
      </c>
      <c r="AB23" s="16">
        <f t="shared" si="5"/>
        <v>0</v>
      </c>
      <c r="AC23" s="271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4"/>
      <c r="L24" s="70"/>
      <c r="M24" s="284"/>
      <c r="N24" s="254"/>
      <c r="O24" s="254"/>
      <c r="P24" s="70" t="s">
        <v>45</v>
      </c>
      <c r="Q24" s="70" t="s">
        <v>45</v>
      </c>
      <c r="R24" s="70" t="s">
        <v>45</v>
      </c>
      <c r="S24" s="71">
        <f t="shared" si="0"/>
        <v>0</v>
      </c>
      <c r="T24" s="72">
        <f t="shared" si="1"/>
        <v>0</v>
      </c>
      <c r="U24" s="179" t="str">
        <f t="shared" si="2"/>
        <v/>
      </c>
      <c r="V24" s="67"/>
      <c r="W24" s="124">
        <f t="shared" si="8"/>
        <v>0</v>
      </c>
      <c r="X24" s="290">
        <v>0</v>
      </c>
      <c r="Y24" s="274">
        <f t="shared" si="3"/>
        <v>12</v>
      </c>
      <c r="Z24" s="128" t="s">
        <v>6</v>
      </c>
      <c r="AA24" s="310">
        <f t="shared" si="4"/>
        <v>0</v>
      </c>
      <c r="AB24" s="16">
        <f t="shared" si="5"/>
        <v>0</v>
      </c>
      <c r="AC24" s="271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4"/>
      <c r="L25" s="70"/>
      <c r="M25" s="284"/>
      <c r="N25" s="254"/>
      <c r="O25" s="254"/>
      <c r="P25" s="70" t="s">
        <v>45</v>
      </c>
      <c r="Q25" s="70" t="s">
        <v>45</v>
      </c>
      <c r="R25" s="70" t="s">
        <v>45</v>
      </c>
      <c r="S25" s="71">
        <f t="shared" si="0"/>
        <v>0</v>
      </c>
      <c r="T25" s="72">
        <f t="shared" si="1"/>
        <v>0</v>
      </c>
      <c r="U25" s="179" t="str">
        <f t="shared" si="2"/>
        <v/>
      </c>
      <c r="V25" s="67"/>
      <c r="W25" s="124">
        <f t="shared" si="8"/>
        <v>0</v>
      </c>
      <c r="X25" s="290">
        <v>0</v>
      </c>
      <c r="Y25" s="274">
        <f t="shared" si="3"/>
        <v>13</v>
      </c>
      <c r="Z25" s="128" t="s">
        <v>6</v>
      </c>
      <c r="AA25" s="310">
        <f t="shared" si="4"/>
        <v>0</v>
      </c>
      <c r="AB25" s="16">
        <f t="shared" si="5"/>
        <v>0</v>
      </c>
      <c r="AC25" s="271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si="0"/>
        <v>0</v>
      </c>
      <c r="T26" s="72">
        <f t="shared" si="1"/>
        <v>0</v>
      </c>
      <c r="U26" s="179" t="str">
        <f t="shared" si="2"/>
        <v/>
      </c>
      <c r="V26" s="67"/>
      <c r="W26" s="124">
        <f t="shared" si="8"/>
        <v>0</v>
      </c>
      <c r="X26" s="290">
        <v>0</v>
      </c>
      <c r="Y26" s="274">
        <f t="shared" si="3"/>
        <v>14</v>
      </c>
      <c r="Z26" s="128" t="s">
        <v>6</v>
      </c>
      <c r="AA26" s="310">
        <f t="shared" si="4"/>
        <v>0</v>
      </c>
      <c r="AB26" s="16">
        <f t="shared" si="5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45</v>
      </c>
      <c r="R27" s="70" t="s">
        <v>45</v>
      </c>
      <c r="S27" s="71">
        <f t="shared" si="0"/>
        <v>0</v>
      </c>
      <c r="T27" s="72">
        <f t="shared" si="1"/>
        <v>0</v>
      </c>
      <c r="U27" s="179" t="str">
        <f t="shared" si="2"/>
        <v/>
      </c>
      <c r="V27" s="67"/>
      <c r="W27" s="124">
        <f t="shared" si="8"/>
        <v>0</v>
      </c>
      <c r="X27" s="290">
        <v>0</v>
      </c>
      <c r="Y27" s="274">
        <f t="shared" si="3"/>
        <v>15</v>
      </c>
      <c r="Z27" s="128" t="s">
        <v>6</v>
      </c>
      <c r="AA27" s="310">
        <f t="shared" si="4"/>
        <v>0</v>
      </c>
      <c r="AB27" s="16">
        <f t="shared" si="5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0"/>
        <v>0</v>
      </c>
      <c r="T28" s="72">
        <f t="shared" si="1"/>
        <v>0</v>
      </c>
      <c r="U28" s="179" t="str">
        <f t="shared" si="2"/>
        <v/>
      </c>
      <c r="V28" s="67"/>
      <c r="W28" s="124">
        <f t="shared" si="8"/>
        <v>0</v>
      </c>
      <c r="X28" s="290">
        <v>0</v>
      </c>
      <c r="Y28" s="274">
        <f t="shared" si="3"/>
        <v>16</v>
      </c>
      <c r="Z28" s="128" t="s">
        <v>6</v>
      </c>
      <c r="AA28" s="310">
        <f t="shared" si="4"/>
        <v>0</v>
      </c>
      <c r="AB28" s="16">
        <f t="shared" si="5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45</v>
      </c>
      <c r="R29" s="70" t="s">
        <v>45</v>
      </c>
      <c r="S29" s="71">
        <f t="shared" si="0"/>
        <v>0</v>
      </c>
      <c r="T29" s="72">
        <f t="shared" si="1"/>
        <v>0</v>
      </c>
      <c r="U29" s="179" t="str">
        <f t="shared" si="2"/>
        <v/>
      </c>
      <c r="V29" s="67"/>
      <c r="W29" s="124">
        <f t="shared" si="8"/>
        <v>0</v>
      </c>
      <c r="X29" s="290">
        <v>0</v>
      </c>
      <c r="Y29" s="274">
        <f t="shared" si="3"/>
        <v>17</v>
      </c>
      <c r="Z29" s="128" t="s">
        <v>6</v>
      </c>
      <c r="AA29" s="310">
        <f t="shared" si="4"/>
        <v>0</v>
      </c>
      <c r="AB29" s="16">
        <f t="shared" si="5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0"/>
        <v>0</v>
      </c>
      <c r="T30" s="72">
        <f t="shared" si="1"/>
        <v>0</v>
      </c>
      <c r="U30" s="179" t="str">
        <f t="shared" si="2"/>
        <v/>
      </c>
      <c r="V30" s="67"/>
      <c r="W30" s="124">
        <f t="shared" si="8"/>
        <v>0</v>
      </c>
      <c r="X30" s="290">
        <v>0</v>
      </c>
      <c r="Y30" s="274">
        <f t="shared" si="3"/>
        <v>18</v>
      </c>
      <c r="Z30" s="128" t="s">
        <v>6</v>
      </c>
      <c r="AA30" s="310">
        <f t="shared" si="4"/>
        <v>0</v>
      </c>
      <c r="AB30" s="16">
        <f t="shared" si="5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0"/>
        <v>0</v>
      </c>
      <c r="T31" s="72">
        <f t="shared" si="1"/>
        <v>0</v>
      </c>
      <c r="U31" s="179" t="str">
        <f t="shared" si="2"/>
        <v/>
      </c>
      <c r="V31" s="67"/>
      <c r="W31" s="124">
        <f t="shared" si="8"/>
        <v>0</v>
      </c>
      <c r="X31" s="290">
        <v>0</v>
      </c>
      <c r="Y31" s="274">
        <f t="shared" si="3"/>
        <v>19</v>
      </c>
      <c r="Z31" s="128" t="s">
        <v>6</v>
      </c>
      <c r="AA31" s="310">
        <f t="shared" si="4"/>
        <v>0</v>
      </c>
      <c r="AB31" s="16">
        <f t="shared" si="5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0"/>
        <v>0</v>
      </c>
      <c r="T32" s="72">
        <f t="shared" si="1"/>
        <v>0</v>
      </c>
      <c r="U32" s="179" t="str">
        <f t="shared" si="2"/>
        <v/>
      </c>
      <c r="V32" s="67"/>
      <c r="W32" s="124">
        <f t="shared" si="8"/>
        <v>0</v>
      </c>
      <c r="X32" s="290">
        <v>0</v>
      </c>
      <c r="Y32" s="274">
        <f t="shared" si="3"/>
        <v>20</v>
      </c>
      <c r="Z32" s="128" t="s">
        <v>6</v>
      </c>
      <c r="AA32" s="310">
        <f t="shared" si="4"/>
        <v>0</v>
      </c>
      <c r="AB32" s="16">
        <f t="shared" si="5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0"/>
        <v>0</v>
      </c>
      <c r="T33" s="72">
        <f t="shared" si="1"/>
        <v>0</v>
      </c>
      <c r="U33" s="179" t="str">
        <f t="shared" si="2"/>
        <v/>
      </c>
      <c r="V33" s="67"/>
      <c r="W33" s="124">
        <f t="shared" si="8"/>
        <v>0</v>
      </c>
      <c r="X33" s="290">
        <v>0</v>
      </c>
      <c r="Y33" s="274">
        <f t="shared" si="3"/>
        <v>21</v>
      </c>
      <c r="Z33" s="128" t="s">
        <v>6</v>
      </c>
      <c r="AA33" s="310">
        <f t="shared" si="4"/>
        <v>0</v>
      </c>
      <c r="AB33" s="16">
        <f t="shared" si="5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0"/>
        <v>0</v>
      </c>
      <c r="T34" s="72">
        <f t="shared" si="1"/>
        <v>0</v>
      </c>
      <c r="U34" s="179" t="str">
        <f t="shared" si="2"/>
        <v/>
      </c>
      <c r="V34" s="67"/>
      <c r="W34" s="124">
        <f t="shared" si="8"/>
        <v>0</v>
      </c>
      <c r="X34" s="290">
        <v>0</v>
      </c>
      <c r="Y34" s="274">
        <f t="shared" si="3"/>
        <v>22</v>
      </c>
      <c r="Z34" s="128" t="s">
        <v>6</v>
      </c>
      <c r="AA34" s="310">
        <f t="shared" si="4"/>
        <v>0</v>
      </c>
      <c r="AB34" s="16">
        <f t="shared" si="5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0"/>
        <v>0</v>
      </c>
      <c r="T35" s="72">
        <f t="shared" si="1"/>
        <v>0</v>
      </c>
      <c r="U35" s="179" t="str">
        <f t="shared" si="2"/>
        <v/>
      </c>
      <c r="V35" s="67"/>
      <c r="W35" s="124">
        <f t="shared" si="8"/>
        <v>0</v>
      </c>
      <c r="X35" s="290">
        <v>0</v>
      </c>
      <c r="Y35" s="274">
        <f t="shared" si="3"/>
        <v>23</v>
      </c>
      <c r="Z35" s="128" t="s">
        <v>6</v>
      </c>
      <c r="AA35" s="310">
        <f t="shared" si="4"/>
        <v>0</v>
      </c>
      <c r="AB35" s="16">
        <f t="shared" si="5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0"/>
        <v>0</v>
      </c>
      <c r="T36" s="72">
        <f t="shared" si="1"/>
        <v>0</v>
      </c>
      <c r="U36" s="179" t="str">
        <f t="shared" si="2"/>
        <v/>
      </c>
      <c r="V36" s="67"/>
      <c r="W36" s="124">
        <f t="shared" si="8"/>
        <v>0</v>
      </c>
      <c r="X36" s="290">
        <v>0</v>
      </c>
      <c r="Y36" s="274">
        <f t="shared" si="3"/>
        <v>24</v>
      </c>
      <c r="Z36" s="128" t="s">
        <v>6</v>
      </c>
      <c r="AA36" s="310">
        <f t="shared" si="4"/>
        <v>0</v>
      </c>
      <c r="AB36" s="16">
        <f t="shared" si="5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0"/>
        <v>0</v>
      </c>
      <c r="T37" s="72">
        <f t="shared" si="1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10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0"/>
        <v>0</v>
      </c>
      <c r="T38" s="72">
        <f t="shared" si="1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10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0"/>
        <v>0</v>
      </c>
      <c r="T39" s="72">
        <f t="shared" si="1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10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5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0"/>
        <v>0</v>
      </c>
      <c r="T40" s="72">
        <f t="shared" si="1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10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5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0"/>
        <v>0</v>
      </c>
      <c r="T41" s="72">
        <f t="shared" si="1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10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5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0"/>
        <v>0</v>
      </c>
      <c r="T42" s="72">
        <f t="shared" si="1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10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5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0"/>
        <v>0</v>
      </c>
      <c r="T43" s="72">
        <f t="shared" si="1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10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5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0"/>
        <v>0</v>
      </c>
      <c r="T44" s="72">
        <f t="shared" si="1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10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5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0"/>
        <v>0</v>
      </c>
      <c r="T45" s="72">
        <f t="shared" si="1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10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5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0"/>
        <v>0</v>
      </c>
      <c r="T46" s="72">
        <f t="shared" si="1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10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5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0"/>
        <v>0</v>
      </c>
      <c r="T47" s="72">
        <f t="shared" si="1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10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5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0"/>
        <v>0</v>
      </c>
      <c r="T48" s="72">
        <f t="shared" si="1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10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5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0"/>
        <v>0</v>
      </c>
      <c r="T49" s="72">
        <f t="shared" si="1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10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5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0"/>
        <v>0</v>
      </c>
      <c r="T50" s="72">
        <f t="shared" si="1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10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5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0"/>
        <v>0</v>
      </c>
      <c r="T51" s="72">
        <f t="shared" si="1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10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0"/>
        <v>0</v>
      </c>
      <c r="T52" s="72">
        <f t="shared" si="1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10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/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953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0.3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285.89999999999998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667.1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667.1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6" t="s">
        <v>9</v>
      </c>
      <c r="J3" s="386"/>
      <c r="K3" s="386"/>
      <c r="L3" s="386"/>
      <c r="S3" s="34" t="s">
        <v>437</v>
      </c>
    </row>
    <row r="4" spans="2:28" ht="25.5">
      <c r="D4" s="130"/>
      <c r="E4" s="131"/>
      <c r="I4" s="386"/>
      <c r="J4" s="386"/>
      <c r="K4" s="386"/>
      <c r="L4" s="386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5" t="s">
        <v>72</v>
      </c>
      <c r="V7" s="147"/>
      <c r="W7" s="1">
        <v>1</v>
      </c>
      <c r="X7" s="7">
        <f>'CALCULATOR SHEET'!I13</f>
        <v>116.25</v>
      </c>
      <c r="Y7" s="7">
        <f>'CALCULATOR SHEET'!J13</f>
        <v>79</v>
      </c>
      <c r="Z7" s="7" t="e">
        <f>IF(X7=0,"",MATCH(CEILING(X7,6),$C$7:$R$7,0))</f>
        <v>#N/A</v>
      </c>
      <c r="AA7" s="7">
        <f>IF(Y7=0,"",MATCH(CEILING(Y7,6),$B$10:$B$26,0))</f>
        <v>11</v>
      </c>
      <c r="AB7" s="146" t="e">
        <f>IF(Z7="","",INDEX($C$10:$R$26,AA7,Z7))</f>
        <v>#N/A</v>
      </c>
    </row>
    <row r="8" spans="2:28" ht="15.75">
      <c r="U8" s="385"/>
      <c r="V8" s="147"/>
      <c r="W8" s="1">
        <f>+W7+1</f>
        <v>2</v>
      </c>
      <c r="X8" s="7">
        <f>'CALCULATOR SHEET'!I14</f>
        <v>124.5</v>
      </c>
      <c r="Y8" s="7">
        <f>'CALCULATOR SHEET'!J14</f>
        <v>79</v>
      </c>
      <c r="Z8" s="7" t="e">
        <f t="shared" ref="Z8:Z71" si="0">IF(X8=0,"",MATCH(CEILING(X8,6),$C$7:$R$7,0))</f>
        <v>#N/A</v>
      </c>
      <c r="AA8" s="7">
        <f t="shared" ref="AA8:AA71" si="1">IF(Y8=0,"",MATCH(CEILING(Y8,6),$B$10:$B$26,0))</f>
        <v>11</v>
      </c>
      <c r="AB8" s="146" t="e">
        <f t="shared" ref="AB8:AB71" si="2">IF(Z8="","",INDEX($C$10:$R$26,AA8,Z8))</f>
        <v>#N/A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0</v>
      </c>
      <c r="Y9" s="7">
        <f>'CALCULATOR SHEET'!J15</f>
        <v>0</v>
      </c>
      <c r="Z9" s="7" t="str">
        <f t="shared" si="0"/>
        <v/>
      </c>
      <c r="AA9" s="7" t="str">
        <f t="shared" si="1"/>
        <v/>
      </c>
      <c r="AB9" s="146" t="str">
        <f t="shared" si="2"/>
        <v/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0</v>
      </c>
      <c r="Y10" s="7">
        <f>'CALCULATOR SHEET'!J16</f>
        <v>0</v>
      </c>
      <c r="Z10" s="7" t="str">
        <f t="shared" si="0"/>
        <v/>
      </c>
      <c r="AA10" s="7" t="str">
        <f t="shared" si="1"/>
        <v/>
      </c>
      <c r="AB10" s="146" t="str">
        <f t="shared" si="2"/>
        <v/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46" t="str">
        <f t="shared" si="2"/>
        <v/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10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116.25</v>
      </c>
      <c r="X7" s="7">
        <f>'CALCULATOR SHEET'!J13</f>
        <v>79</v>
      </c>
      <c r="Y7" s="7" t="e">
        <f>IF(W7=0,"",MATCH(CEILING(W7,6),$C$7:$Q$7,0))</f>
        <v>#N/A</v>
      </c>
      <c r="Z7" s="7">
        <f>IF(X7=0,"",MATCH(CEILING(X7,6),$B$10:$B$26,0))</f>
        <v>11</v>
      </c>
      <c r="AA7" s="146" t="e">
        <f>IF(Y7="","",INDEX($C$10:$Q$26,Z7,Y7))</f>
        <v>#N/A</v>
      </c>
    </row>
    <row r="8" spans="2:27">
      <c r="T8" s="385"/>
      <c r="V8" s="1">
        <f>+V7+1</f>
        <v>2</v>
      </c>
      <c r="W8" s="7">
        <f>'CALCULATOR SHEET'!I14</f>
        <v>124.5</v>
      </c>
      <c r="X8" s="7">
        <f>'CALCULATOR SHEET'!J14</f>
        <v>79</v>
      </c>
      <c r="Y8" s="7" t="e">
        <f t="shared" ref="Y8:Y71" si="1">IF(W8=0,"",MATCH(CEILING(W8,6),$C$7:$Q$7,0))</f>
        <v>#N/A</v>
      </c>
      <c r="Z8" s="7">
        <f t="shared" ref="Z8:Z71" si="2">IF(X8=0,"",MATCH(CEILING(X8,6),$B$10:$B$26,0))</f>
        <v>11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11</v>
      </c>
      <c r="J3" s="386"/>
      <c r="K3" s="386"/>
      <c r="L3" s="386"/>
      <c r="R3" s="34" t="s">
        <v>385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116.25</v>
      </c>
      <c r="X7" s="7">
        <f>'CALCULATOR SHEET'!J13</f>
        <v>79</v>
      </c>
      <c r="Y7" s="7" t="e">
        <f>IF(W7=0,"",MATCH(CEILING(W7,6),$C$7:$Q$7,0))</f>
        <v>#N/A</v>
      </c>
      <c r="Z7" s="7">
        <f>IF(X7=0,"",MATCH(CEILING(X7,6),$B$10:$B$26,0))</f>
        <v>11</v>
      </c>
      <c r="AA7" s="146" t="e">
        <f>IF(Y7="","",INDEX($C$10:$Q$26,Z7,Y7))</f>
        <v>#N/A</v>
      </c>
    </row>
    <row r="8" spans="2:27" ht="15" customHeight="1">
      <c r="T8" s="385"/>
      <c r="V8" s="1">
        <f>+V7+1</f>
        <v>2</v>
      </c>
      <c r="W8" s="7">
        <f>'CALCULATOR SHEET'!I14</f>
        <v>124.5</v>
      </c>
      <c r="X8" s="7">
        <f>'CALCULATOR SHEET'!J14</f>
        <v>79</v>
      </c>
      <c r="Y8" s="7" t="e">
        <f t="shared" ref="Y8:Y71" si="1">IF(W8=0,"",MATCH(CEILING(W8,6),$C$7:$Q$7,0))</f>
        <v>#N/A</v>
      </c>
      <c r="Z8" s="7">
        <f t="shared" ref="Z8:Z71" si="2">IF(X8=0,"",MATCH(CEILING(X8,6),$B$10:$B$26,0))</f>
        <v>11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12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116.25</v>
      </c>
      <c r="X7" s="7">
        <f>'CALCULATOR SHEET'!J13</f>
        <v>79</v>
      </c>
      <c r="Y7" s="7" t="e">
        <f>IF(W7=0,"",MATCH(CEILING(W7,6),$C$7:$Q$7,0))</f>
        <v>#N/A</v>
      </c>
      <c r="Z7" s="7">
        <f>IF(X7=0,"",MATCH(CEILING(X7,6),$B$10:$B$26,0))</f>
        <v>11</v>
      </c>
      <c r="AA7" s="146" t="e">
        <f>IF(Y7="","",INDEX($C$10:$Q$26,Z7,Y7))</f>
        <v>#N/A</v>
      </c>
    </row>
    <row r="8" spans="2:27" ht="15" customHeight="1">
      <c r="T8" s="385"/>
      <c r="V8" s="1">
        <f>+V7+1</f>
        <v>2</v>
      </c>
      <c r="W8" s="7">
        <f>'CALCULATOR SHEET'!I14</f>
        <v>124.5</v>
      </c>
      <c r="X8" s="7">
        <f>'CALCULATOR SHEET'!J14</f>
        <v>79</v>
      </c>
      <c r="Y8" s="7" t="e">
        <f t="shared" ref="Y8:Y71" si="1">IF(W8=0,"",MATCH(CEILING(W8,6),$C$7:$Q$7,0))</f>
        <v>#N/A</v>
      </c>
      <c r="Z8" s="7">
        <f t="shared" ref="Z8:Z71" si="2">IF(X8=0,"",MATCH(CEILING(X8,6),$B$10:$B$26,0))</f>
        <v>11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13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116.25</v>
      </c>
      <c r="X7" s="7">
        <f>'CALCULATOR SHEET'!J13</f>
        <v>79</v>
      </c>
      <c r="Y7" s="7" t="e">
        <f>IF(W7=0,"",MATCH(CEILING(W7,6),$C$7:$Q$7,0))</f>
        <v>#N/A</v>
      </c>
      <c r="Z7" s="7">
        <f>IF(X7=0,"",MATCH(CEILING(X7,6),$B$10:$B$26,0))</f>
        <v>11</v>
      </c>
      <c r="AA7" s="146" t="e">
        <f>IF(Y7="","",INDEX($C$10:$Q$26,Z7,Y7))</f>
        <v>#N/A</v>
      </c>
    </row>
    <row r="8" spans="2:27" ht="15" customHeight="1">
      <c r="T8" s="385"/>
      <c r="V8" s="1">
        <f>+V7+1</f>
        <v>2</v>
      </c>
      <c r="W8" s="7">
        <f>'CALCULATOR SHEET'!I14</f>
        <v>124.5</v>
      </c>
      <c r="X8" s="7">
        <f>'CALCULATOR SHEET'!J14</f>
        <v>79</v>
      </c>
      <c r="Y8" s="7" t="e">
        <f t="shared" ref="Y8:Y71" si="1">IF(W8=0,"",MATCH(CEILING(W8,6),$C$7:$Q$7,0))</f>
        <v>#N/A</v>
      </c>
      <c r="Z8" s="7">
        <f t="shared" ref="Z8:Z71" si="2">IF(X8=0,"",MATCH(CEILING(X8,6),$B$10:$B$26,0))</f>
        <v>11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6" t="s">
        <v>295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116.25</v>
      </c>
      <c r="X7" s="7">
        <f>'CALCULATOR SHEET'!J13</f>
        <v>79</v>
      </c>
      <c r="Y7" s="7" t="e">
        <f>IF(W7=0,"",MATCH(CEILING(W7,6),$C$7:$Q$7,0))</f>
        <v>#N/A</v>
      </c>
      <c r="Z7" s="7">
        <f>IF(X7=0,"",MATCH(CEILING(X7,6),$B$10:$B$26,0))</f>
        <v>11</v>
      </c>
      <c r="AA7" s="146" t="e">
        <f>IF(Y7="","",INDEX($C$10:$Q$26,Z7,Y7))</f>
        <v>#N/A</v>
      </c>
    </row>
    <row r="8" spans="2:27" ht="15" customHeight="1">
      <c r="T8" s="385"/>
      <c r="V8" s="1">
        <f>+V7+1</f>
        <v>2</v>
      </c>
      <c r="W8" s="7">
        <f>'CALCULATOR SHEET'!I14</f>
        <v>124.5</v>
      </c>
      <c r="X8" s="7">
        <f>'CALCULATOR SHEET'!J14</f>
        <v>79</v>
      </c>
      <c r="Y8" s="7" t="e">
        <f t="shared" ref="Y8:Y71" si="1">IF(W8=0,"",MATCH(CEILING(W8,6),$C$7:$Q$7,0))</f>
        <v>#N/A</v>
      </c>
      <c r="Z8" s="7">
        <f t="shared" ref="Z8:Z71" si="2">IF(X8=0,"",MATCH(CEILING(X8,6),$B$10:$B$26,0))</f>
        <v>11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7" t="s">
        <v>104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</row>
    <row r="2" spans="1:33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1:33" ht="15.75" thickBot="1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116.25</v>
      </c>
      <c r="Y5" s="7">
        <f>'PM-ORDER'!P5</f>
        <v>79</v>
      </c>
      <c r="Z5" s="7">
        <f>IF(X5&lt;&gt;"",MATCH(CEILING(X5,6),$C$4:$S$4,0),"")</f>
        <v>17</v>
      </c>
      <c r="AA5" s="7">
        <f>IF(X5&lt;&gt;"",MATCH(CEILING(Y5,6),$B$7:$B$26,0),"")</f>
        <v>11</v>
      </c>
      <c r="AB5" s="7"/>
      <c r="AC5" s="7" t="str">
        <f>IF('PM-ORDER'!G5="ROLLER",INDEX($C$7:$S$26,AA5,Z5),"")</f>
        <v>RL-MAN-BSGD</v>
      </c>
      <c r="AF5" s="7" t="str">
        <f>IF('PM-ORDER'!G5="ZEBRA",INDEX($C$35:$S$54,AA5,Z5),"")</f>
        <v/>
      </c>
      <c r="AG5" s="1" t="str">
        <f>CONCATENATE(AC5,AF5)</f>
        <v>RL-MAN-BSGD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124.5</v>
      </c>
      <c r="Y6" s="7">
        <f>'PM-ORDER'!P6</f>
        <v>79</v>
      </c>
      <c r="Z6" s="7" t="e">
        <f t="shared" ref="Z6:Z44" si="0">IF(X6&lt;&gt;"",MATCH(CEILING(X6,6),$C$4:$S$4,0),"")</f>
        <v>#N/A</v>
      </c>
      <c r="AA6" s="7">
        <f t="shared" ref="AA6:AA44" si="1">IF(X6&lt;&gt;"",MATCH(CEILING(Y6,6),$B$7:$B$26,0),"")</f>
        <v>11</v>
      </c>
      <c r="AC6" s="7" t="e">
        <f>IF('PM-ORDER'!G6="ROLLER",INDEX($C$7:$S$26,AA6,Z6),"")</f>
        <v>#N/A</v>
      </c>
      <c r="AF6" s="7" t="str">
        <f>IF('PM-ORDER'!G6="ZEBRA",INDEX($C$35:$S$54,AA6,Z6),"")</f>
        <v/>
      </c>
      <c r="AG6" s="1" t="e">
        <f t="shared" ref="AG6:AG44" si="2">CONCATENATE(AC6,AF6)</f>
        <v>#N/A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 t="str">
        <f>'PM-ORDER'!O7</f>
        <v/>
      </c>
      <c r="Y7" s="7" t="str">
        <f>'PM-ORDER'!P7</f>
        <v/>
      </c>
      <c r="Z7" s="7" t="str">
        <f t="shared" si="0"/>
        <v/>
      </c>
      <c r="AA7" s="7" t="str">
        <f t="shared" si="1"/>
        <v/>
      </c>
      <c r="AC7" s="7" t="str">
        <f>IF('PM-ORDER'!G7="ROLLER",INDEX($C$7:$S$26,AA7,Z7),"")</f>
        <v/>
      </c>
      <c r="AF7" s="7" t="str">
        <f>IF('PM-ORDER'!G7="ZEBRA",INDEX($C$35:$S$54,AA7,Z7),"")</f>
        <v/>
      </c>
      <c r="AG7" s="1" t="str">
        <f t="shared" si="2"/>
        <v/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 t="str">
        <f>'PM-ORDER'!O8</f>
        <v/>
      </c>
      <c r="Y8" s="7" t="str">
        <f>'PM-ORDER'!P8</f>
        <v/>
      </c>
      <c r="Z8" s="7" t="str">
        <f t="shared" si="0"/>
        <v/>
      </c>
      <c r="AA8" s="7" t="str">
        <f t="shared" si="1"/>
        <v/>
      </c>
      <c r="AC8" s="7" t="str">
        <f>IF('PM-ORDER'!G8="ROLLER",INDEX($C$7:$S$26,AA8,Z8),"")</f>
        <v/>
      </c>
      <c r="AF8" s="7" t="str">
        <f>IF('PM-ORDER'!G8="ZEBRA",INDEX($C$35:$S$54,AA8,Z8),"")</f>
        <v/>
      </c>
      <c r="AG8" s="1" t="str">
        <f t="shared" si="2"/>
        <v/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7" t="s">
        <v>93</v>
      </c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5"/>
      <c r="T11" s="365"/>
      <c r="U11" s="365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5"/>
      <c r="T14" s="365"/>
      <c r="U14" s="365"/>
      <c r="W14" s="365"/>
      <c r="X14" s="365"/>
      <c r="Y14" s="365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5"/>
      <c r="T20" s="365"/>
      <c r="U20" s="365"/>
      <c r="W20" s="365"/>
      <c r="X20" s="365"/>
      <c r="Y20" s="365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1" t="s">
        <v>90</v>
      </c>
      <c r="I82" s="371"/>
      <c r="J82" s="371" t="s">
        <v>440</v>
      </c>
      <c r="K82" s="371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1" t="s">
        <v>88</v>
      </c>
      <c r="F84" s="371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S11:U11"/>
    <mergeCell ref="S14:U14"/>
    <mergeCell ref="W14:Y14"/>
    <mergeCell ref="S20:U20"/>
    <mergeCell ref="W20:Y20"/>
    <mergeCell ref="E84:F84"/>
    <mergeCell ref="H82:I82"/>
    <mergeCell ref="J82:K82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2" t="s">
        <v>214</v>
      </c>
      <c r="V1" s="372"/>
      <c r="AG1" s="374" t="s">
        <v>218</v>
      </c>
      <c r="AH1" s="375"/>
      <c r="AI1" s="375"/>
      <c r="AJ1" s="375"/>
      <c r="AK1" s="375"/>
      <c r="AL1" s="375"/>
      <c r="AM1" s="375"/>
      <c r="AN1" s="375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45961</v>
      </c>
      <c r="H2" s="223"/>
      <c r="U2" s="372"/>
      <c r="V2" s="372"/>
      <c r="AG2" s="376"/>
      <c r="AH2" s="377"/>
      <c r="AI2" s="377"/>
      <c r="AJ2" s="377"/>
      <c r="AK2" s="377"/>
      <c r="AL2" s="377"/>
      <c r="AM2" s="377"/>
      <c r="AN2" s="377"/>
      <c r="AO2" s="294"/>
    </row>
    <row r="3" spans="2:41" ht="15" customHeight="1">
      <c r="C3" s="223" t="s">
        <v>160</v>
      </c>
      <c r="G3" s="226"/>
      <c r="I3" s="34">
        <v>0</v>
      </c>
      <c r="U3" s="373"/>
      <c r="V3" s="373"/>
      <c r="AG3" s="378"/>
      <c r="AH3" s="379"/>
      <c r="AI3" s="379"/>
      <c r="AJ3" s="379"/>
      <c r="AK3" s="379"/>
      <c r="AL3" s="379"/>
      <c r="AM3" s="379"/>
      <c r="AN3" s="379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 xml:space="preserve">BS 251031 A </v>
      </c>
      <c r="D5" s="229">
        <f>IF('CALCULATOR SHEET'!D13&lt;&gt;"",'CALCULATOR SHEET'!$T$9,"")</f>
        <v>45961</v>
      </c>
      <c r="E5" s="230" t="str">
        <f>IF(D5&lt;&gt;"","BAJA SHADES","")</f>
        <v>BAJA SHADES</v>
      </c>
      <c r="F5" s="231" t="str">
        <f>IF(C5&lt;&gt;"",'CALCULATOR SHEET'!$D$9,"")</f>
        <v xml:space="preserve">CAMILLE MARKS RESIDENCE </v>
      </c>
      <c r="G5" s="231" t="str">
        <f>IF('CALCULATOR SHEET'!D13&lt;&gt;"",'CALCULATOR SHEET'!D13,"")</f>
        <v>ROLLER</v>
      </c>
      <c r="H5" s="231" t="str">
        <f>IF(Q5="CCL",BOMS!AG5,"")</f>
        <v>RL-MAN-BSGD</v>
      </c>
      <c r="I5" s="230">
        <v>1</v>
      </c>
      <c r="J5" s="231" t="str">
        <f>IF(C5&lt;&gt;"",'CALCULATOR SHEET'!K13,"")</f>
        <v>METAL CHAIN</v>
      </c>
      <c r="K5" s="231" t="str">
        <f>IF(J5=GENERAL!$H$6,GENERAL!$H$6,IF(J5=GENERAL!$H$7,GENERAL!$H$7,IF('PM-ORDER'!J5=GENERAL!$H$8,GENERAL!$H$8,"")))</f>
        <v>METAL CHAIN</v>
      </c>
      <c r="L5" s="231" t="str">
        <f>IF(C5&lt;&gt;"",'CALCULATOR SHEET'!G13,"")</f>
        <v xml:space="preserve">FL SIDNEY BLANCO </v>
      </c>
      <c r="M5" s="231" t="str">
        <f>IF(C5&lt;&gt;"",'CALCULATOR SHEET'!O13,"")</f>
        <v>REVERSE ROLL</v>
      </c>
      <c r="N5" s="231" t="str">
        <f>IF(C5&lt;&gt;"",'CALCULATOR SHEET'!H13,"")</f>
        <v xml:space="preserve">WINDOW A </v>
      </c>
      <c r="O5" s="233">
        <f>IF(D5&lt;&gt;"",'CALCULATOR SHEET'!I13,"")</f>
        <v>116.25</v>
      </c>
      <c r="P5" s="233">
        <f>IF(E5&lt;&gt;"",'CALCULATOR SHEET'!J13,"")</f>
        <v>79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 t="str">
        <f>IF(C5&lt;&gt;"",'CALCULATOR SHEET'!M13,"")</f>
        <v>L</v>
      </c>
      <c r="S5" s="230" t="str">
        <f>IF(D5&lt;&gt;"",'CALCULATOR SHEET'!N13,"")</f>
        <v>INSIDE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>LA MISION KM 62.5</v>
      </c>
      <c r="AB5" s="232"/>
      <c r="AC5" s="232"/>
      <c r="AD5" s="234"/>
      <c r="AE5" s="235"/>
      <c r="AF5" s="162"/>
      <c r="AG5" s="253"/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 xml:space="preserve">BS 251031 A </v>
      </c>
      <c r="D6" s="229">
        <f>IF('CALCULATOR SHEET'!D14&lt;&gt;"",'CALCULATOR SHEET'!$T$9,"")</f>
        <v>45961</v>
      </c>
      <c r="E6" s="230" t="str">
        <f t="shared" ref="E6:E69" si="0">IF(D6&lt;&gt;"","BAJA SHADES","")</f>
        <v>BAJA SHADES</v>
      </c>
      <c r="F6" s="231" t="str">
        <f>IF(C6&lt;&gt;"",'CALCULATOR SHEET'!$D$9,"")</f>
        <v xml:space="preserve">CAMILLE MARKS RESIDENCE </v>
      </c>
      <c r="G6" s="231" t="str">
        <f>IF('CALCULATOR SHEET'!D14&lt;&gt;"",'CALCULATOR SHEET'!D14,"")</f>
        <v>ROLLER</v>
      </c>
      <c r="H6" s="231" t="e">
        <f>IF(Q6="CCL",BOMS!AG6,"")</f>
        <v>#N/A</v>
      </c>
      <c r="I6" s="230">
        <v>1</v>
      </c>
      <c r="J6" s="231" t="str">
        <f>IF(C6&lt;&gt;"",'CALCULATOR SHEET'!K14,"")</f>
        <v>METAL CHAIN</v>
      </c>
      <c r="K6" s="231" t="str">
        <f>IF(J6=GENERAL!$H$6,GENERAL!$H$6,IF(J6=GENERAL!$H$7,GENERAL!$H$7,IF('PM-ORDER'!J6=GENERAL!$H$8,GENERAL!$H$8,"")))</f>
        <v>METAL CHAIN</v>
      </c>
      <c r="L6" s="231" t="str">
        <f>IF(C6&lt;&gt;"",'CALCULATOR SHEET'!G14,"")</f>
        <v xml:space="preserve">FL SIDNEY BLANCO </v>
      </c>
      <c r="M6" s="231" t="str">
        <f>IF(C6&lt;&gt;"",'CALCULATOR SHEET'!O14,"")</f>
        <v>REVERSE ROLL</v>
      </c>
      <c r="N6" s="231" t="str">
        <f>IF(C6&lt;&gt;"",'CALCULATOR SHEET'!H14,"")</f>
        <v xml:space="preserve">WINDOW B </v>
      </c>
      <c r="O6" s="233">
        <f>IF(D6&lt;&gt;"",'CALCULATOR SHEET'!I14,"")</f>
        <v>124.5</v>
      </c>
      <c r="P6" s="233">
        <f>IF(E6&lt;&gt;"",'CALCULATOR SHEET'!J14,"")</f>
        <v>79</v>
      </c>
      <c r="Q6" s="230" t="str">
        <f>IF('CALCULATOR SHEET'!K14=GENERAL!$H$9,GENERAL!$H$9,IF(OR('CALCULATOR SHEET'!K14=GENERAL!$H$6,'CALCULATOR SHEET'!K14=GENERAL!$H$7,'CALCULATOR SHEET'!K14=GENERAL!$H$8),"CCL",""))</f>
        <v>CCL</v>
      </c>
      <c r="R6" s="230" t="str">
        <f>IF(C6&lt;&gt;"",'CALCULATOR SHEET'!M14,"")</f>
        <v>L</v>
      </c>
      <c r="S6" s="230" t="str">
        <f>IF(D6&lt;&gt;"",'CALCULATOR SHEET'!N14,"")</f>
        <v>INSIDE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>LA MISION KM 62.5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/>
      </c>
      <c r="D7" s="229" t="str">
        <f>IF('CALCULATOR SHEET'!D15&lt;&gt;"",'CALCULATOR SHEET'!$T$9,"")</f>
        <v/>
      </c>
      <c r="E7" s="230" t="str">
        <f t="shared" si="0"/>
        <v/>
      </c>
      <c r="F7" s="231" t="str">
        <f>IF(C7&lt;&gt;"",'CALCULATOR SHEET'!$D$9,"")</f>
        <v/>
      </c>
      <c r="G7" s="231" t="str">
        <f>IF('CALCULATOR SHEET'!D15&lt;&gt;"",'CALCULATOR SHEET'!D15,"")</f>
        <v/>
      </c>
      <c r="H7" s="231" t="str">
        <f>IF(Q7="CCL",BOMS!AG7,"")</f>
        <v/>
      </c>
      <c r="I7" s="230">
        <v>1</v>
      </c>
      <c r="J7" s="231" t="str">
        <f>IF(C7&lt;&gt;"",'CALCULATOR SHEET'!K15,"")</f>
        <v/>
      </c>
      <c r="K7" s="231" t="str">
        <f>IF(J7=GENERAL!$H$6,GENERAL!$H$6,IF(J7=GENERAL!$H$7,GENERAL!$H$7,IF('PM-ORDER'!J7=GENERAL!$H$8,GENERAL!$H$8,"")))</f>
        <v/>
      </c>
      <c r="L7" s="231" t="str">
        <f>IF(C7&lt;&gt;"",'CALCULATOR SHEET'!G15,"")</f>
        <v/>
      </c>
      <c r="M7" s="231" t="str">
        <f>IF(C7&lt;&gt;"",'CALCULATOR SHEET'!O15,"")</f>
        <v/>
      </c>
      <c r="N7" s="231" t="str">
        <f>IF(C7&lt;&gt;"",'CALCULATOR SHEET'!H15,"")</f>
        <v/>
      </c>
      <c r="O7" s="233" t="str">
        <f>IF(D7&lt;&gt;"",'CALCULATOR SHEET'!I15,"")</f>
        <v/>
      </c>
      <c r="P7" s="233" t="str">
        <f>IF(E7&lt;&gt;"",'CALCULATOR SHEET'!J15,"")</f>
        <v/>
      </c>
      <c r="Q7" s="230" t="str">
        <f>IF('CALCULATOR SHEET'!K15=GENERAL!$H$9,GENERAL!$H$9,IF(OR('CALCULATOR SHEET'!K15=GENERAL!$H$6,'CALCULATOR SHEET'!K15=GENERAL!$H$7,'CALCULATOR SHEET'!K15=GENERAL!$H$8),"CCL",""))</f>
        <v/>
      </c>
      <c r="R7" s="230" t="str">
        <f>IF(C7&lt;&gt;"",'CALCULATOR SHEET'!M15,"")</f>
        <v/>
      </c>
      <c r="S7" s="230" t="str">
        <f>IF(D7&lt;&gt;"",'CALCULATOR SHEET'!N15,"")</f>
        <v/>
      </c>
      <c r="T7" s="232"/>
      <c r="U7" s="246"/>
      <c r="V7" s="246"/>
      <c r="W7" s="230" t="str">
        <f>IF(C7&lt;&gt;"",'CALCULATOR SHEET'!R15,"")</f>
        <v/>
      </c>
      <c r="X7" s="230"/>
      <c r="Y7" s="230">
        <v>1</v>
      </c>
      <c r="Z7" s="232"/>
      <c r="AA7" s="232" t="str">
        <f>IF(C7&lt;&gt;"",'CALCULATOR SHEET'!$H$9,"")</f>
        <v/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/>
      </c>
      <c r="D8" s="229" t="str">
        <f>IF('CALCULATOR SHEET'!D16&lt;&gt;"",'CALCULATOR SHEET'!$T$9,"")</f>
        <v/>
      </c>
      <c r="E8" s="230" t="str">
        <f t="shared" si="0"/>
        <v/>
      </c>
      <c r="F8" s="231" t="str">
        <f>IF(C8&lt;&gt;"",'CALCULATOR SHEET'!$D$9,"")</f>
        <v/>
      </c>
      <c r="G8" s="231" t="str">
        <f>IF('CALCULATOR SHEET'!D16&lt;&gt;"",'CALCULATOR SHEET'!D16,"")</f>
        <v/>
      </c>
      <c r="H8" s="231" t="str">
        <f>IF(Q8="CCL",BOMS!AG8,"")</f>
        <v/>
      </c>
      <c r="I8" s="230">
        <v>1</v>
      </c>
      <c r="J8" s="231" t="str">
        <f>IF(C8&lt;&gt;"",'CALCULATOR SHEET'!K16,"")</f>
        <v/>
      </c>
      <c r="K8" s="231" t="str">
        <f>IF(J8=GENERAL!$H$6,GENERAL!$H$6,IF(J8=GENERAL!$H$7,GENERAL!$H$7,IF('PM-ORDER'!J8=GENERAL!$H$8,GENERAL!$H$8,"")))</f>
        <v/>
      </c>
      <c r="L8" s="231" t="str">
        <f>IF(C8&lt;&gt;"",'CALCULATOR SHEET'!G16,"")</f>
        <v/>
      </c>
      <c r="M8" s="231" t="str">
        <f>IF(C8&lt;&gt;"",'CALCULATOR SHEET'!O16,"")</f>
        <v/>
      </c>
      <c r="N8" s="231" t="str">
        <f>IF(C8&lt;&gt;"",'CALCULATOR SHEET'!H16,"")</f>
        <v/>
      </c>
      <c r="O8" s="233" t="str">
        <f>IF(D8&lt;&gt;"",'CALCULATOR SHEET'!I16,"")</f>
        <v/>
      </c>
      <c r="P8" s="233" t="str">
        <f>IF(E8&lt;&gt;"",'CALCULATOR SHEET'!J16,"")</f>
        <v/>
      </c>
      <c r="Q8" s="230" t="str">
        <f>IF('CALCULATOR SHEET'!K16=GENERAL!$H$9,GENERAL!$H$9,IF(OR('CALCULATOR SHEET'!K16=GENERAL!$H$6,'CALCULATOR SHEET'!K16=GENERAL!$H$7,'CALCULATOR SHEET'!K16=GENERAL!$H$8),"CCL",""))</f>
        <v/>
      </c>
      <c r="R8" s="230" t="str">
        <f>IF(C8&lt;&gt;"",'CALCULATOR SHEET'!M16,"")</f>
        <v/>
      </c>
      <c r="S8" s="230" t="str">
        <f>IF(D8&lt;&gt;"",'CALCULATOR SHEET'!N16,"")</f>
        <v/>
      </c>
      <c r="T8" s="232"/>
      <c r="U8" s="246"/>
      <c r="V8" s="246"/>
      <c r="W8" s="230" t="str">
        <f>IF(C8&lt;&gt;"",'CALCULATOR SHEET'!R16,"")</f>
        <v/>
      </c>
      <c r="X8" s="230"/>
      <c r="Y8" s="230">
        <v>1</v>
      </c>
      <c r="Z8" s="232"/>
      <c r="AA8" s="232" t="str">
        <f>IF(C8&lt;&gt;"",'CALCULATOR SHEET'!$H$9,"")</f>
        <v/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/>
      </c>
      <c r="D9" s="229" t="str">
        <f>IF('CALCULATOR SHEET'!D17&lt;&gt;"",'CALCULATOR SHEET'!$T$9,"")</f>
        <v/>
      </c>
      <c r="E9" s="230" t="str">
        <f t="shared" si="0"/>
        <v/>
      </c>
      <c r="F9" s="231" t="str">
        <f>IF(C9&lt;&gt;"",'CALCULATOR SHEET'!$D$9,"")</f>
        <v/>
      </c>
      <c r="G9" s="231" t="str">
        <f>IF('CALCULATOR SHEET'!D17&lt;&gt;"",'CALCULATOR SHEET'!D17,"")</f>
        <v/>
      </c>
      <c r="H9" s="231" t="str">
        <f>IF(Q9="CCL",BOMS!AG9,"")</f>
        <v/>
      </c>
      <c r="I9" s="230">
        <v>1</v>
      </c>
      <c r="J9" s="231" t="str">
        <f>IF(C9&lt;&gt;"",'CALCULATOR SHEET'!K17,"")</f>
        <v/>
      </c>
      <c r="K9" s="231" t="str">
        <f>IF(J9=GENERAL!$H$6,GENERAL!$H$6,IF(J9=GENERAL!$H$7,GENERAL!$H$7,IF('PM-ORDER'!J9=GENERAL!$H$8,GENERAL!$H$8,"")))</f>
        <v/>
      </c>
      <c r="L9" s="231" t="str">
        <f>IF(C9&lt;&gt;"",'CALCULATOR SHEET'!G17,"")</f>
        <v/>
      </c>
      <c r="M9" s="231" t="str">
        <f>IF(C9&lt;&gt;"",'CALCULATOR SHEET'!O17,"")</f>
        <v/>
      </c>
      <c r="N9" s="231" t="str">
        <f>IF(C9&lt;&gt;"",'CALCULATOR SHEET'!H17,"")</f>
        <v/>
      </c>
      <c r="O9" s="233" t="str">
        <f>IF(D9&lt;&gt;"",'CALCULATOR SHEET'!I17,"")</f>
        <v/>
      </c>
      <c r="P9" s="233" t="str">
        <f>IF(E9&lt;&gt;"",'CALCULATOR SHEET'!J17,"")</f>
        <v/>
      </c>
      <c r="Q9" s="230" t="str">
        <f>IF('CALCULATOR SHEET'!K17=GENERAL!$H$9,GENERAL!$H$9,IF(OR('CALCULATOR SHEET'!K17=GENERAL!$H$6,'CALCULATOR SHEET'!K17=GENERAL!$H$7,'CALCULATOR SHEET'!K17=GENERAL!$H$8),"CCL",""))</f>
        <v/>
      </c>
      <c r="R9" s="230" t="str">
        <f>IF(C9&lt;&gt;"",'CALCULATOR SHEET'!M17,"")</f>
        <v/>
      </c>
      <c r="S9" s="230" t="str">
        <f>IF(D9&lt;&gt;"",'CALCULATOR SHEET'!N17,"")</f>
        <v/>
      </c>
      <c r="T9" s="232"/>
      <c r="U9" s="246"/>
      <c r="V9" s="246"/>
      <c r="W9" s="230" t="str">
        <f>IF(C9&lt;&gt;"",'CALCULATOR SHEET'!R17,"")</f>
        <v/>
      </c>
      <c r="X9" s="230"/>
      <c r="Y9" s="230">
        <v>1</v>
      </c>
      <c r="Z9" s="232"/>
      <c r="AA9" s="232" t="str">
        <f>IF(C9&lt;&gt;"",'CALCULATOR SHEET'!$H$9,"")</f>
        <v/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/>
      </c>
      <c r="D10" s="229" t="str">
        <f>IF('CALCULATOR SHEET'!D18&lt;&gt;"",'CALCULATOR SHEET'!$T$9,"")</f>
        <v/>
      </c>
      <c r="E10" s="230" t="str">
        <f t="shared" si="0"/>
        <v/>
      </c>
      <c r="F10" s="231" t="str">
        <f>IF(C10&lt;&gt;"",'CALCULATOR SHEET'!$D$9,"")</f>
        <v/>
      </c>
      <c r="G10" s="231" t="str">
        <f>IF('CALCULATOR SHEET'!D18&lt;&gt;"",'CALCULATOR SHEET'!D18,"")</f>
        <v/>
      </c>
      <c r="H10" s="231" t="str">
        <f>IF(Q10="CCL",BOMS!AG10,"")</f>
        <v/>
      </c>
      <c r="I10" s="230">
        <v>1</v>
      </c>
      <c r="J10" s="231" t="str">
        <f>IF(C10&lt;&gt;"",'CALCULATOR SHEET'!K18,"")</f>
        <v/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/>
      </c>
      <c r="M10" s="231" t="str">
        <f>IF(C10&lt;&gt;"",'CALCULATOR SHEET'!O18,"")</f>
        <v/>
      </c>
      <c r="N10" s="231" t="str">
        <f>IF(C10&lt;&gt;"",'CALCULATOR SHEET'!H18,"")</f>
        <v/>
      </c>
      <c r="O10" s="233" t="str">
        <f>IF(D10&lt;&gt;"",'CALCULATOR SHEET'!I18,"")</f>
        <v/>
      </c>
      <c r="P10" s="233" t="str">
        <f>IF(E10&lt;&gt;"",'CALCULATOR SHEET'!J18,"")</f>
        <v/>
      </c>
      <c r="Q10" s="230" t="str">
        <f>IF('CALCULATOR SHEET'!K18=GENERAL!$H$9,GENERAL!$H$9,IF(OR('CALCULATOR SHEET'!K18=GENERAL!$H$6,'CALCULATOR SHEET'!K18=GENERAL!$H$7,'CALCULATOR SHEET'!K18=GENERAL!$H$8),"CCL",""))</f>
        <v/>
      </c>
      <c r="R10" s="230" t="str">
        <f>IF(C10&lt;&gt;"",'CALCULATOR SHEET'!M18,"")</f>
        <v/>
      </c>
      <c r="S10" s="230" t="str">
        <f>IF(D10&lt;&gt;"",'CALCULATOR SHEET'!N18,"")</f>
        <v/>
      </c>
      <c r="T10" s="232"/>
      <c r="U10" s="246"/>
      <c r="V10" s="246"/>
      <c r="W10" s="230" t="str">
        <f>IF(C10&lt;&gt;"",'CALCULATOR SHEET'!R18,"")</f>
        <v/>
      </c>
      <c r="X10" s="230"/>
      <c r="Y10" s="230">
        <v>1</v>
      </c>
      <c r="Z10" s="232"/>
      <c r="AA10" s="232" t="str">
        <f>IF(C10&lt;&gt;"",'CALCULATOR SHEET'!$H$9,"")</f>
        <v/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/>
      </c>
      <c r="D11" s="229" t="str">
        <f>IF('CALCULATOR SHEET'!D19&lt;&gt;"",'CALCULATOR SHEET'!$T$9,"")</f>
        <v/>
      </c>
      <c r="E11" s="230" t="str">
        <f t="shared" si="0"/>
        <v/>
      </c>
      <c r="F11" s="231" t="str">
        <f>IF(C11&lt;&gt;"",'CALCULATOR SHEET'!$D$9,"")</f>
        <v/>
      </c>
      <c r="G11" s="231" t="str">
        <f>IF('CALCULATOR SHEET'!D19&lt;&gt;"",'CALCULATOR SHEET'!D19,"")</f>
        <v/>
      </c>
      <c r="H11" s="231" t="str">
        <f>IF(Q11="CCL",BOMS!AG11,"")</f>
        <v/>
      </c>
      <c r="I11" s="230">
        <v>1</v>
      </c>
      <c r="J11" s="231" t="str">
        <f>IF(C11&lt;&gt;"",'CALCULATOR SHEET'!K19,"")</f>
        <v/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/>
      </c>
      <c r="M11" s="231" t="str">
        <f>IF(C11&lt;&gt;"",'CALCULATOR SHEET'!O19,"")</f>
        <v/>
      </c>
      <c r="N11" s="231" t="str">
        <f>IF(C11&lt;&gt;"",'CALCULATOR SHEET'!H19,"")</f>
        <v/>
      </c>
      <c r="O11" s="233" t="str">
        <f>IF(D11&lt;&gt;"",'CALCULATOR SHEET'!I19,"")</f>
        <v/>
      </c>
      <c r="P11" s="233" t="str">
        <f>IF(E11&lt;&gt;"",'CALCULATOR SHEET'!J19,"")</f>
        <v/>
      </c>
      <c r="Q11" s="230" t="str">
        <f>IF('CALCULATOR SHEET'!K19=GENERAL!$H$9,GENERAL!$H$9,IF(OR('CALCULATOR SHEET'!K19=GENERAL!$H$6,'CALCULATOR SHEET'!K19=GENERAL!$H$7,'CALCULATOR SHEET'!K19=GENERAL!$H$8),"CCL",""))</f>
        <v/>
      </c>
      <c r="R11" s="230" t="str">
        <f>IF(C11&lt;&gt;"",'CALCULATOR SHEET'!M19,"")</f>
        <v/>
      </c>
      <c r="S11" s="230" t="str">
        <f>IF(D11&lt;&gt;"",'CALCULATOR SHEET'!N19,"")</f>
        <v/>
      </c>
      <c r="T11" s="232"/>
      <c r="U11" s="246"/>
      <c r="V11" s="246"/>
      <c r="W11" s="230" t="str">
        <f>IF(C11&lt;&gt;"",'CALCULATOR SHEET'!R19,"")</f>
        <v/>
      </c>
      <c r="X11" s="230"/>
      <c r="Y11" s="230">
        <v>1</v>
      </c>
      <c r="Z11" s="232"/>
      <c r="AA11" s="232" t="str">
        <f>IF(C11&lt;&gt;"",'CALCULATOR SHEET'!$H$9,"")</f>
        <v/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/>
      </c>
      <c r="D12" s="229" t="str">
        <f>IF('CALCULATOR SHEET'!D20&lt;&gt;"",'CALCULATOR SHEET'!$T$9,"")</f>
        <v/>
      </c>
      <c r="E12" s="230" t="str">
        <f t="shared" si="0"/>
        <v/>
      </c>
      <c r="F12" s="231" t="str">
        <f>IF(C12&lt;&gt;"",'CALCULATOR SHEET'!$D$9,"")</f>
        <v/>
      </c>
      <c r="G12" s="231" t="str">
        <f>IF('CALCULATOR SHEET'!D20&lt;&gt;"",'CALCULATOR SHEET'!D20,"")</f>
        <v/>
      </c>
      <c r="H12" s="231" t="str">
        <f>IF(Q12="CCL",BOMS!AG12,"")</f>
        <v/>
      </c>
      <c r="I12" s="230">
        <v>1</v>
      </c>
      <c r="J12" s="231" t="str">
        <f>IF(C12&lt;&gt;"",'CALCULATOR SHEET'!K20,"")</f>
        <v/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/>
      </c>
      <c r="M12" s="231" t="str">
        <f>IF(C12&lt;&gt;"",'CALCULATOR SHEET'!O20,"")</f>
        <v/>
      </c>
      <c r="N12" s="231" t="str">
        <f>IF(C12&lt;&gt;"",'CALCULATOR SHEET'!H20,"")</f>
        <v/>
      </c>
      <c r="O12" s="233" t="str">
        <f>IF(D12&lt;&gt;"",'CALCULATOR SHEET'!I20,"")</f>
        <v/>
      </c>
      <c r="P12" s="233" t="str">
        <f>IF(E12&lt;&gt;"",'CALCULATOR SHEET'!J20,"")</f>
        <v/>
      </c>
      <c r="Q12" s="230" t="str">
        <f>IF('CALCULATOR SHEET'!K20=GENERAL!$H$9,GENERAL!$H$9,IF(OR('CALCULATOR SHEET'!K20=GENERAL!$H$6,'CALCULATOR SHEET'!K20=GENERAL!$H$7,'CALCULATOR SHEET'!K20=GENERAL!$H$8),"CCL",""))</f>
        <v/>
      </c>
      <c r="R12" s="230" t="str">
        <f>IF(C12&lt;&gt;"",'CALCULATOR SHEET'!M20,"")</f>
        <v/>
      </c>
      <c r="S12" s="230" t="str">
        <f>IF(D12&lt;&gt;"",'CALCULATOR SHEET'!N20,"")</f>
        <v/>
      </c>
      <c r="T12" s="232"/>
      <c r="U12" s="246"/>
      <c r="V12" s="246"/>
      <c r="W12" s="230" t="str">
        <f>IF(C12&lt;&gt;"",'CALCULATOR SHEET'!R20,"")</f>
        <v/>
      </c>
      <c r="X12" s="230"/>
      <c r="Y12" s="230">
        <v>1</v>
      </c>
      <c r="Z12" s="232"/>
      <c r="AA12" s="232" t="str">
        <f>IF(C12&lt;&gt;"",'CALCULATOR SHEET'!$H$9,"")</f>
        <v/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6"/>
      <c r="V13" s="246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6"/>
      <c r="V14" s="246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6"/>
      <c r="V15" s="246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6"/>
      <c r="V16" s="246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6"/>
      <c r="V17" s="246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0" t="s">
        <v>104</v>
      </c>
      <c r="D2" s="380"/>
      <c r="F2" s="380" t="s">
        <v>89</v>
      </c>
      <c r="G2" s="380"/>
      <c r="I2" s="380" t="s">
        <v>93</v>
      </c>
      <c r="J2" s="380"/>
    </row>
    <row r="3" spans="3:10">
      <c r="C3" s="380"/>
      <c r="D3" s="380"/>
      <c r="F3" s="380"/>
      <c r="G3" s="380"/>
      <c r="I3" s="380"/>
      <c r="J3" s="380"/>
    </row>
    <row r="4" spans="3:10">
      <c r="C4" s="380"/>
      <c r="D4" s="380"/>
      <c r="F4" s="380"/>
      <c r="G4" s="380"/>
      <c r="I4" s="380"/>
      <c r="J4" s="380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2" t="s">
        <v>60</v>
      </c>
      <c r="BC4" s="382"/>
      <c r="BD4" s="382"/>
      <c r="BE4" s="382"/>
      <c r="BF4" s="382"/>
      <c r="BG4" s="382"/>
      <c r="BH4" s="382"/>
      <c r="BI4" s="382"/>
      <c r="BJ4" s="382"/>
      <c r="BK4" s="382"/>
      <c r="BL4" s="382"/>
      <c r="BM4" s="382"/>
      <c r="BN4" s="382"/>
      <c r="BO4" s="382"/>
      <c r="BP4" s="382"/>
      <c r="BQ4" s="382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116.25</v>
      </c>
      <c r="AK7" s="36">
        <f>'CALCULATOR SHEET'!J13</f>
        <v>79</v>
      </c>
      <c r="AL7" s="36">
        <f>IF(AJ7=0,"",MATCH(CEILING(AJ7,6),$D$4:$Z$4,0))</f>
        <v>17</v>
      </c>
      <c r="AM7" s="36">
        <f>IF(AK7=0,"",MATCH(CEILING(AK7,6),$C$7:$C$28,0))</f>
        <v>11</v>
      </c>
      <c r="AN7" s="57">
        <f>IF(AL7="","",INDEX($D$7:$Z$28,AM7,AL7))</f>
        <v>319</v>
      </c>
      <c r="AO7" s="58"/>
      <c r="AP7" s="57">
        <f>IF(AJ7&gt;0,HLOOKUP(CEILING(AJ7,6),$D$30:$Z$31,2,0),"")</f>
        <v>98</v>
      </c>
      <c r="AQ7" s="57">
        <f>IF(AJ7&gt;0,HLOOKUP(CEILING(AJ7,6),$D$33:$Z$34,2,0),"")</f>
        <v>132</v>
      </c>
      <c r="AR7" s="59">
        <f>IF(AJ7&gt;0,HLOOKUP(CEILING(AJ7,6),$D$36:$Z$37,2,0))</f>
        <v>73</v>
      </c>
      <c r="AS7" s="57">
        <f>IF(AL7="","",INDEX($AX$6:$BT$27,AM7,AL7))</f>
        <v>550</v>
      </c>
      <c r="AT7" s="37">
        <f>IF(AK7&gt;0,VLOOKUP(CEILING(AK7,6),$AA$7:$AB$28,2,0),"")</f>
        <v>70</v>
      </c>
      <c r="AU7" s="109">
        <f>IF(AK7&gt;0,VLOOKUP(CEILING(AK7,6),$AA$7:$AC$28,3,0),"")</f>
        <v>10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124.5</v>
      </c>
      <c r="AK8" s="36">
        <f>'CALCULATOR SHEET'!J14</f>
        <v>79</v>
      </c>
      <c r="AL8" s="36">
        <f t="shared" ref="AL8:AL71" si="0">IF(AJ8=0,"",MATCH(CEILING(AJ8,6),$D$4:$Z$4,0))</f>
        <v>18</v>
      </c>
      <c r="AM8" s="36">
        <f t="shared" ref="AM8:AM71" si="1">IF(AK8=0,"",MATCH(CEILING(AK8,6),$C$7:$C$28,0))</f>
        <v>11</v>
      </c>
      <c r="AN8" s="57">
        <f t="shared" ref="AN8:AN71" si="2">IF(AL8="","",INDEX($D$7:$Z$28,AM8,AL8))</f>
        <v>434</v>
      </c>
      <c r="AO8" s="58"/>
      <c r="AP8" s="57">
        <f t="shared" ref="AP8:AP71" si="3">IF(AJ8&gt;0,HLOOKUP(CEILING(AJ8,6),$D$30:$Z$31,2,0),"")</f>
        <v>101</v>
      </c>
      <c r="AQ8" s="57">
        <f t="shared" ref="AQ8:AQ71" si="4">IF(AJ8&gt;0,HLOOKUP(CEILING(AJ8,6),$D$33:$Z$34,2,0),"")</f>
        <v>141</v>
      </c>
      <c r="AR8" s="59">
        <f t="shared" ref="AR8:AR71" si="5">IF(AJ8&gt;0,HLOOKUP(CEILING(AJ8,6),$D$36:$Z$37,2,0))</f>
        <v>77</v>
      </c>
      <c r="AS8" s="57">
        <f t="shared" ref="AS8:AS71" si="6">IF(AL8="","",INDEX($AX$6:$BT$27,AM8,AL8))</f>
        <v>550</v>
      </c>
      <c r="AT8" s="37">
        <f t="shared" ref="AT8:AT71" si="7">IF(AK8&gt;0,VLOOKUP(CEILING(AK8,6),$AA$7:$AB$28,2,0),"")</f>
        <v>70</v>
      </c>
      <c r="AU8" s="109">
        <f t="shared" ref="AU8:AU71" si="8">IF(AK8&gt;0,VLOOKUP(CEILING(AK8,6),$AA$7:$AC$28,3,0),"")</f>
        <v>10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0</v>
      </c>
      <c r="AK9" s="36">
        <f>'CALCULATOR SHEET'!J15</f>
        <v>0</v>
      </c>
      <c r="AL9" s="36" t="str">
        <f t="shared" si="0"/>
        <v/>
      </c>
      <c r="AM9" s="36" t="str">
        <f t="shared" si="1"/>
        <v/>
      </c>
      <c r="AN9" s="57" t="str">
        <f t="shared" si="2"/>
        <v/>
      </c>
      <c r="AO9" s="58"/>
      <c r="AP9" s="57" t="str">
        <f t="shared" si="3"/>
        <v/>
      </c>
      <c r="AQ9" s="57" t="str">
        <f t="shared" si="4"/>
        <v/>
      </c>
      <c r="AR9" s="59" t="b">
        <f t="shared" si="5"/>
        <v>0</v>
      </c>
      <c r="AS9" s="57" t="str">
        <f t="shared" si="6"/>
        <v/>
      </c>
      <c r="AT9" s="37" t="str">
        <f t="shared" si="7"/>
        <v/>
      </c>
      <c r="AU9" s="109" t="str">
        <f t="shared" si="8"/>
        <v/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0</v>
      </c>
      <c r="AK10" s="36">
        <f>'CALCULATOR SHEET'!J16</f>
        <v>0</v>
      </c>
      <c r="AL10" s="36" t="str">
        <f t="shared" si="0"/>
        <v/>
      </c>
      <c r="AM10" s="36" t="str">
        <f t="shared" si="1"/>
        <v/>
      </c>
      <c r="AN10" s="57" t="str">
        <f t="shared" si="2"/>
        <v/>
      </c>
      <c r="AO10" s="58"/>
      <c r="AP10" s="57" t="str">
        <f t="shared" si="3"/>
        <v/>
      </c>
      <c r="AQ10" s="57" t="str">
        <f t="shared" si="4"/>
        <v/>
      </c>
      <c r="AR10" s="59" t="b">
        <f t="shared" si="5"/>
        <v>0</v>
      </c>
      <c r="AS10" s="57" t="str">
        <f t="shared" si="6"/>
        <v/>
      </c>
      <c r="AT10" s="37" t="str">
        <f t="shared" si="7"/>
        <v/>
      </c>
      <c r="AU10" s="109" t="str">
        <f t="shared" si="8"/>
        <v/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57" t="str">
        <f t="shared" si="2"/>
        <v/>
      </c>
      <c r="AO11" s="58"/>
      <c r="AP11" s="57" t="str">
        <f t="shared" si="3"/>
        <v/>
      </c>
      <c r="AQ11" s="57" t="str">
        <f t="shared" si="4"/>
        <v/>
      </c>
      <c r="AR11" s="59" t="b">
        <f t="shared" si="5"/>
        <v>0</v>
      </c>
      <c r="AS11" s="57" t="str">
        <f t="shared" si="6"/>
        <v/>
      </c>
      <c r="AT11" s="37" t="str">
        <f t="shared" si="7"/>
        <v/>
      </c>
      <c r="AU11" s="109" t="str">
        <f t="shared" si="8"/>
        <v/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116.25</v>
      </c>
      <c r="AK7" s="53">
        <f>'CALCULATOR SHEET'!J13</f>
        <v>79</v>
      </c>
      <c r="AL7" s="53">
        <f>IF(AJ7=0,"",MATCH(CEILING(AJ7,6),$D$4:$Z$4,0))</f>
        <v>17</v>
      </c>
      <c r="AM7" s="53">
        <f>IF(AK7=0,"",MATCH(CEILING(AK7,6),$C$7:$C$28,0))</f>
        <v>11</v>
      </c>
      <c r="AN7" s="54">
        <f>IF(AL7="","",INDEX($D$7:$Z$28,AM7,AL7))</f>
        <v>340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124.5</v>
      </c>
      <c r="AK8" s="53">
        <f>'CALCULATOR SHEET'!J14</f>
        <v>79</v>
      </c>
      <c r="AL8" s="53">
        <f t="shared" ref="AL8:AL71" si="0">IF(AJ8=0,"",MATCH(CEILING(AJ8,6),$D$4:$Z$4,0))</f>
        <v>18</v>
      </c>
      <c r="AM8" s="53">
        <f t="shared" ref="AM8:AM71" si="1">IF(AK8=0,"",MATCH(CEILING(AK8,6),$C$7:$C$28,0))</f>
        <v>11</v>
      </c>
      <c r="AN8" s="54">
        <f t="shared" ref="AN8:AN71" si="2">IF(AL8="","",INDEX($D$7:$Z$28,AM8,AL8))</f>
        <v>455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116.25</v>
      </c>
      <c r="AK7" s="53">
        <f>'CALCULATOR SHEET'!J13</f>
        <v>79</v>
      </c>
      <c r="AL7" s="53">
        <f t="shared" ref="AL7:AL70" si="0">IF(AJ7=0,"",MATCH(CEILING(AJ7,6),$D$4:$Z$4,0))</f>
        <v>17</v>
      </c>
      <c r="AM7" s="53">
        <f>IF(AK7=0,"",MATCH(CEILING(AK7,6),$C$7:$C$28,0))</f>
        <v>11</v>
      </c>
      <c r="AN7" s="54">
        <f t="shared" ref="AN7:AN70" si="1">IF(AL7="","",INDEX($D$7:$Z$28,AM7,AL7))</f>
        <v>386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124.5</v>
      </c>
      <c r="AK8" s="53">
        <f>'CALCULATOR SHEET'!J14</f>
        <v>79</v>
      </c>
      <c r="AL8" s="53">
        <f t="shared" si="0"/>
        <v>18</v>
      </c>
      <c r="AM8" s="53">
        <f t="shared" ref="AM8:AM71" si="2">IF(AK8=0,"",MATCH(CEILING(AK8,6),$C$7:$C$28,0))</f>
        <v>11</v>
      </c>
      <c r="AN8" s="54">
        <f t="shared" si="1"/>
        <v>503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Ricardo Garcia</cp:lastModifiedBy>
  <cp:lastPrinted>2025-07-16T23:47:30Z</cp:lastPrinted>
  <dcterms:created xsi:type="dcterms:W3CDTF">2016-09-27T19:33:28Z</dcterms:created>
  <dcterms:modified xsi:type="dcterms:W3CDTF">2025-10-31T15:41:31Z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