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0 OCTUBRE\PO BS 101525EG-1 VF MEXICO\"/>
    </mc:Choice>
  </mc:AlternateContent>
  <xr:revisionPtr revIDLastSave="0" documentId="8_{EA561E67-E752-440F-BDD1-4BF03AB42C2A}" xr6:coauthVersionLast="47" xr6:coauthVersionMax="47" xr10:uidLastSave="{00000000-0000-0000-0000-000000000000}"/>
  <bookViews>
    <workbookView xWindow="0" yWindow="0" windowWidth="29040" windowHeight="15600" tabRatio="988" activeTab="1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9" i="46" l="1"/>
  <c r="S13" i="38"/>
  <c r="S14" i="38"/>
  <c r="S15" i="38"/>
  <c r="S16" i="38"/>
  <c r="S17" i="38"/>
  <c r="S18" i="38"/>
  <c r="S19" i="38"/>
  <c r="S20" i="38"/>
  <c r="S21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9" i="59" l="1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D17" i="38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D16" i="38" s="1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T20" i="38" s="1"/>
  <c r="AA16" i="38" l="1"/>
  <c r="T16" i="38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T19" i="38" s="1"/>
  <c r="W17" i="38"/>
  <c r="T17" i="38" s="1"/>
  <c r="AN7" i="36"/>
  <c r="AS7" i="7"/>
  <c r="AN7" i="7"/>
  <c r="AD13" i="38" s="1"/>
  <c r="B21" i="38" l="1"/>
  <c r="Y20" i="38"/>
  <c r="U13" i="38"/>
  <c r="W14" i="38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T18" i="38" s="1"/>
  <c r="W21" i="38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<sst xmlns="http://schemas.openxmlformats.org/spreadsheetml/2006/main" count="3353" uniqueCount="479">
  <si>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</si>
  <si>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</si>
  <si>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</si>
  <si>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</si>
  <si>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</si>
  <si>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</si>
  <si>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</si>
  <si>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</si>
  <si>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</si>
  <si>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</si>
  <si>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</si>
  <si>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</si>
  <si>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</si>
  <si>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</si>
  <si>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</si>
  <si>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</si>
  <si>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</si>
  <si>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</si>
  <si>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</si>
  <si>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</si>
  <si>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</si>
  <si>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</si>
  <si>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</si>
  <si>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</si>
  <si>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</si>
  <si>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</si>
  <si>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</si>
  <si>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</si>
  <si>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</si>
  <si>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</si>
  <si>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</si>
  <si>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</si>
  <si>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</si>
  <si>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</si>
  <si>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</si>
  <si>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</si>
  <si>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</si>
  <si>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</si>
  <si>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</si>
  <si>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</si>
  <si>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</si>
  <si>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</si>
  <si>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</si>
  <si>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</si>
  <si>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</si>
  <si>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</si>
  <si>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</si>
  <si>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</si>
  <si>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</si>
  <si>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</si>
  <si>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</si>
  <si>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</si>
  <si>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</si>
  <si>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</si>
  <si>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</si>
  <si>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</si>
  <si>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</si>
  <si>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</si>
  <si>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</si>
  <si>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</si>
  <si>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</si>
  <si>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</si>
  <si>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</si>
  <si>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</si>
  <si>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</si>
  <si>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</si>
  <si>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</si>
  <si>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</si>
  <si>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</si>
  <si>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</si>
  <si>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</si>
  <si>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</si>
  <si>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</si>
  <si>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</si>
  <si>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</si>
  <si>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</si>
  <si>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</si>
  <si>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</si>
  <si>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</si>
  <si>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</si>
  <si>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</si>
  <si>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</si>
  <si>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</si>
  <si>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</si>
  <si>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</si>
  <si>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</si>
  <si>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</si>
  <si>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</si>
  <si>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</si>
  <si>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</si>
  <si>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</si>
  <si>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</si>
  <si>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</si>
  <si>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</si>
  <si>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</si>
  <si>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</si>
  <si>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</si>
  <si>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</si>
  <si>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</si>
  <si>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</si>
  <si>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</si>
  <si>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</si>
  <si>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</si>
  <si>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</si>
  <si>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</si>
  <si>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</si>
  <si>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</si>
  <si>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</si>
  <si>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</si>
  <si>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</si>
  <si>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</si>
  <si>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</si>
  <si>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</si>
  <si>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</si>
  <si>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</si>
  <si>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</si>
  <si>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</si>
  <si>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</si>
  <si>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</si>
  <si>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</si>
  <si>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</si>
  <si>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</si>
  <si>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</si>
  <si>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</si>
  <si>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</si>
  <si>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</si>
  <si>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</si>
  <si>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</si>
  <si>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</si>
  <si>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</si>
  <si>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</si>
  <si>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</si>
  <si>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</si>
  <si>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</si>
  <si>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</si>
  <si>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</si>
  <si>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</si>
  <si>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</si>
  <si>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</si>
  <si>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</si>
  <si>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</si>
  <si>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</si>
  <si>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</si>
  <si>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</si>
  <si>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</si>
  <si>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</si>
  <si>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</si>
  <si>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</si>
  <si>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</si>
  <si>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</si>
  <si>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</si>
  <si>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</si>
  <si>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</si>
  <si>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</si>
  <si>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</si>
  <si>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</si>
  <si>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</si>
  <si>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</si>
  <si>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</si>
  <si>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</si>
  <si>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</si>
  <si>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</si>
  <si>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</si>
  <si>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</si>
  <si>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</si>
  <si>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</si>
  <si>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</si>
  <si>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</si>
  <si>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</si>
  <si>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</si>
  <si>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</si>
  <si>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</si>
  <si>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</si>
  <si>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</si>
  <si>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</si>
  <si>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</si>
  <si>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</si>
  <si>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</si>
  <si>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</si>
  <si>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</si>
  <si>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</si>
  <si>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</si>
  <si>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</si>
  <si>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</si>
  <si>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</si>
  <si>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</si>
  <si>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</si>
  <si>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</si>
  <si>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</si>
  <si>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</si>
  <si>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</si>
  <si>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</si>
  <si>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</si>
  <si>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</si>
  <si>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</si>
  <si>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</si>
  <si>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</si>
  <si>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</si>
  <si>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</si>
  <si>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</si>
  <si>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</si>
  <si>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</si>
  <si>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</si>
  <si>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</si>
  <si>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</si>
  <si>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</si>
  <si>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</si>
  <si>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</si>
  <si>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</si>
  <si>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</si>
  <si>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</si>
  <si>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</si>
  <si>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</si>
  <si>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</si>
  <si>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</si>
  <si>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</si>
  <si>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</si>
  <si>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</si>
  <si>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</si>
  <si>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</si>
  <si>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</si>
  <si>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</si>
  <si>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</si>
  <si>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</si>
  <si>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</si>
  <si>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</si>
  <si>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</si>
  <si>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</si>
  <si>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</si>
  <si>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</si>
  <si>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</si>
  <si>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</si>
  <si>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</si>
  <si>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</si>
  <si>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</si>
  <si>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</si>
  <si>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</si>
  <si>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</si>
  <si>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</si>
  <si>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</si>
  <si>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</si>
  <si>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</si>
  <si>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</si>
  <si>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</si>
  <si>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</si>
  <si>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</si>
  <si>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</si>
  <si>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</si>
  <si>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</si>
  <si>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</si>
  <si>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</si>
  <si>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</si>
  <si>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</si>
  <si>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</si>
  <si>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</si>
  <si>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</si>
  <si>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</si>
  <si>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</si>
  <si>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</si>
  <si>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</si>
  <si>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</si>
  <si>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</si>
  <si>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</si>
  <si>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</si>
  <si>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</si>
  <si>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</si>
  <si>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</si>
  <si>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</si>
  <si>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</si>
  <si>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</si>
  <si>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</si>
  <si>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</si>
  <si>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</si>
  <si>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</si>
  <si>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</si>
  <si>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</si>
  <si>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</si>
  <si>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</si>
  <si>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</si>
  <si>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</si>
  <si>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</si>
  <si>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</si>
  <si>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</si>
  <si>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</si>
  <si>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</si>
  <si>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</si>
  <si>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</si>
  <si>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</si>
  <si>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</si>
  <si>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</si>
  <si>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</si>
  <si>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</si>
  <si>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</si>
  <si>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</si>
  <si>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</si>
  <si>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</si>
  <si>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</si>
  <si>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</si>
  <si>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</si>
  <si>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</si>
  <si>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</si>
  <si>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</si>
  <si>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</si>
  <si>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</si>
  <si>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</si>
  <si>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</si>
  <si>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</si>
  <si>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</si>
  <si>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</si>
  <si>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</si>
  <si>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</si>
  <si>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</si>
  <si>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</si>
  <si>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</si>
  <si>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</si>
  <si>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</si>
  <si>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</si>
  <si>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</si>
  <si>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</si>
  <si>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</si>
  <si>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</si>
  <si>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</si>
  <si>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</si>
  <si>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</si>
  <si>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</si>
  <si>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</si>
  <si>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</si>
  <si>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</si>
  <si>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</si>
  <si>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</si>
  <si>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</si>
  <si>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</si>
  <si>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</si>
  <si>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</si>
  <si>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</si>
  <si>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</si>
  <si>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</si>
  <si>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</si>
  <si>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</si>
  <si>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</si>
  <si>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</si>
  <si>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</si>
  <si>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</si>
  <si>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</si>
  <si>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</si>
  <si>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</si>
  <si>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</si>
  <si>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</si>
  <si>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</si>
  <si>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</si>
  <si>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</si>
  <si>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</si>
  <si>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</si>
  <si>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</si>
  <si>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</si>
  <si>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</si>
  <si>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</si>
  <si>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</si>
  <si>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</si>
  <si>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</si>
  <si>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</si>
  <si>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</si>
  <si>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</si>
  <si>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</si>
  <si>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</si>
  <si>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</si>
  <si>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</si>
  <si>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</si>
  <si>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</si>
  <si>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</si>
  <si>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</si>
  <si>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</si>
  <si>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</si>
  <si>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</si>
  <si>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</si>
  <si>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</si>
  <si>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</si>
  <si>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</si>
  <si>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</si>
  <si>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</si>
  <si>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</si>
  <si>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</si>
  <si>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</si>
  <si>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</si>
  <si>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</si>
  <si>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</si>
  <si>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</si>
  <si>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</si>
  <si>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</si>
  <si>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</si>
  <si>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</si>
  <si>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</si>
  <si>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</si>
  <si>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</si>
  <si>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</si>
  <si>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</si>
  <si>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</si>
  <si>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</si>
  <si>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</si>
  <si>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</si>
  <si>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</si>
  <si>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</si>
  <si>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</si>
  <si>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</si>
  <si>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</si>
  <si>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</si>
  <si>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</si>
  <si>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</si>
  <si>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</si>
  <si>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</si>
  <si>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</si>
  <si>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</si>
  <si>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</si>
  <si>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</si>
  <si>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</si>
  <si>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</si>
  <si>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</si>
  <si>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</si>
  <si>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</si>
  <si>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</si>
  <si>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</si>
  <si>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</si>
  <si>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</si>
  <si>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</si>
  <si>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</si>
  <si>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</si>
  <si>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</si>
  <si>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</si>
  <si>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</si>
  <si>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</si>
  <si>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</si>
  <si>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</si>
  <si>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</si>
  <si>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</si>
  <si>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</si>
  <si>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</si>
  <si>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</si>
  <si>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</si>
  <si>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</si>
  <si>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</si>
  <si>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</si>
  <si>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</si>
  <si>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</si>
  <si>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</si>
  <si>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</si>
  <si>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</si>
  <si>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</si>
  <si>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</si>
  <si>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</si>
  <si>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</si>
  <si>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</si>
  <si>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</si>
  <si>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</si>
  <si>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</si>
  <si>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</si>
  <si>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</si>
  <si>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</si>
  <si>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</si>
  <si>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</si>
  <si>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</si>
  <si>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</si>
  <si>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</si>
  <si>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</si>
  <si>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VF MEXICO</t>
  </si>
  <si>
    <t>.+52 55 1796 6700</t>
  </si>
  <si>
    <t>ROSARITO</t>
  </si>
  <si>
    <t>PLAZA CHULA VISTA</t>
  </si>
  <si>
    <t>BLV GUERRERO</t>
  </si>
  <si>
    <t>2DO PISO EN LA ESQUINA</t>
  </si>
  <si>
    <t>LATERAL IZQ</t>
  </si>
  <si>
    <t xml:space="preserve">CENTRO </t>
  </si>
  <si>
    <t>LATERAL DERECHO</t>
  </si>
  <si>
    <t>PUERTA A</t>
  </si>
  <si>
    <t>PUERTA B</t>
  </si>
  <si>
    <t>tc</t>
  </si>
  <si>
    <t>total mnx</t>
  </si>
  <si>
    <t>BS 101525EG-1 PESOS</t>
  </si>
  <si>
    <t>BO LONGBEACH BLANCO</t>
  </si>
  <si>
    <t>SCREEN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</si>
</sst>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0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10" fillId="2" borderId="0" xfId="0" applyNumberFormat="1" applyFont="1" applyFill="1"/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zoomScale="85" zoomScaleNormal="85" workbookViewId="0">
      <selection activeCell="S68" sqref="S68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45945</v>
      </c>
      <c r="J5" s="288"/>
      <c r="K5" s="288"/>
      <c r="L5" s="288"/>
      <c r="M5" s="289" t="str">
        <f>IF('CALCULATOR SHEET'!W2=1,"DOCUMENT #","DOCUMENTO #")</f>
        <v>DOCUMENT #</v>
      </c>
      <c r="N5" s="365" t="str">
        <f>IF('CALCULATOR SHEET'!T5&lt;&gt;"",'CALCULATOR SHEET'!T5,"")</f>
        <v>BS 101525EG-1 PESOS</v>
      </c>
      <c r="O5" s="365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VF MEXICO</v>
      </c>
      <c r="J7" s="366" t="str">
        <f>IF('CALCULATOR SHEET'!H8&lt;&gt;"","Calle: "&amp;'CALCULATOR SHEET'!H10&amp;", Numero: "&amp;'CALCULATOR SHEET'!H11,"")</f>
        <v>Calle: BLV GUERRERO, Numero: 2DO PISO EN LA ESQUINA</v>
      </c>
      <c r="K7" s="366"/>
      <c r="L7" s="366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6" t="str">
        <f>IF('CALCULATOR SHEET'!H9&lt;&gt;"","Frac: "&amp;'CALCULATOR SHEET'!H9&amp;" - "&amp;'CALCULATOR SHEET'!H8,"")</f>
        <v>Frac: PLAZA CHULA VISTA - ROSARITO</v>
      </c>
      <c r="K8" s="366"/>
      <c r="L8" s="366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.+52 55 1796 6700</v>
      </c>
      <c r="J10" s="366" t="str">
        <f>IF('CALCULATOR SHEET'!K11&lt;&gt;"",'CALCULATOR SHEET'!$K$11&amp;" Cell: "&amp;'CALCULATOR SHEET'!K10,"")</f>
        <v/>
      </c>
      <c r="K10" s="366"/>
      <c r="L10" s="366"/>
      <c r="N10" s="366" t="str">
        <f>IF('CALCULATOR SHEET'!S70&lt;&gt;"",'CALCULATOR SHEET'!S70,"")</f>
        <v>ESAU GOMEZ</v>
      </c>
      <c r="O10" s="366"/>
      <c r="P10" s="366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>BO LONGBEACH BLANCO</v>
      </c>
      <c r="H14" s="170" t="str">
        <f>IF('CALCULATOR SHEET'!H13&lt;&gt;"",'CALCULATOR SHEET'!H13,"")</f>
        <v>LATERAL IZQ</v>
      </c>
      <c r="I14" s="171">
        <f>IF(E14&lt;&gt;"",'CALCULATOR SHEET'!I13,"")</f>
        <v>50</v>
      </c>
      <c r="J14" s="171">
        <f>IF(I14&lt;&gt;"",'CALCULATOR SHEET'!J13,"")</f>
        <v>99</v>
      </c>
      <c r="K14" s="169" t="str">
        <f>IF('CALCULATOR SHEET'!K13&lt;&gt;"",IF('CALCULATOR SHEET'!$W$2=1,'CALCULATOR SHEET'!K13,VLOOKUP('CALCULATOR SHEET'!K13,GENERAL!$H$6:$I$11,2,0)),"")</f>
        <v>PLASTIC CHAIN WHITE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192</v>
      </c>
      <c r="O14" s="164"/>
      <c r="P14" s="167">
        <f>IF(D14&lt;&gt;"",N14*D14,"")</f>
        <v>192</v>
      </c>
      <c r="Q14" s="194"/>
      <c r="R14" s="64" t="s">
        <v>200</v>
      </c>
      <c r="T14" s="160">
        <f>IF('CALCULATOR SHEET'!$T$58="PESOS",'CALCULATOR SHEET'!S13*'CALCULATOR SHEET'!$W$6,'CALCULATOR SHEET'!S13)</f>
        <v>192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>BO LONGBEACH BLANCO</v>
      </c>
      <c r="H15" s="175" t="str">
        <f>IF('CALCULATOR SHEET'!H14&lt;&gt;"",'CALCULATOR SHEET'!H14,"")</f>
        <v xml:space="preserve">CENTRO </v>
      </c>
      <c r="I15" s="176">
        <f>IF(E15&lt;&gt;"",'CALCULATOR SHEET'!I14,"")</f>
        <v>70</v>
      </c>
      <c r="J15" s="176">
        <f>IF(I15&lt;&gt;"",'CALCULATOR SHEET'!J14,"")</f>
        <v>20</v>
      </c>
      <c r="K15" s="169" t="str">
        <f>IF('CALCULATOR SHEET'!K14&lt;&gt;"",IF('CALCULATOR SHEET'!$W$2=1,'CALCULATOR SHEET'!K14,VLOOKUP('CALCULATOR SHEET'!K14,GENERAL!$H$6:$I$11,2,0)),"")</f>
        <v>PLASTIC CHAIN WHITE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116</v>
      </c>
      <c r="O15" s="165"/>
      <c r="P15" s="166">
        <f>IF(D15&lt;&gt;"",N15*D15,"")</f>
        <v>116</v>
      </c>
      <c r="Q15" s="195"/>
      <c r="R15" s="64" t="s">
        <v>200</v>
      </c>
      <c r="T15" s="160">
        <f>IF('CALCULATOR SHEET'!$T$58="PESOS",'CALCULATOR SHEET'!S14*'CALCULATOR SHEET'!$W$6,'CALCULATOR SHEET'!S14)</f>
        <v>116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3</v>
      </c>
      <c r="G16" s="175" t="str">
        <f>IF('CALCULATOR SHEET'!G15&lt;&gt;"",'CALCULATOR SHEET'!G15,"")</f>
        <v>BO LONGBEACH BLANCO</v>
      </c>
      <c r="H16" s="175" t="str">
        <f>IF('CALCULATOR SHEET'!H15&lt;&gt;"",'CALCULATOR SHEET'!H15,"")</f>
        <v>LATERAL DERECHO</v>
      </c>
      <c r="I16" s="176">
        <f>IF(E16&lt;&gt;"",'CALCULATOR SHEET'!I15,"")</f>
        <v>47.5</v>
      </c>
      <c r="J16" s="176">
        <f>IF(I16&lt;&gt;"",'CALCULATOR SHEET'!J15,"")</f>
        <v>99</v>
      </c>
      <c r="K16" s="169" t="str">
        <f>IF('CALCULATOR SHEET'!K15&lt;&gt;"",IF('CALCULATOR SHEET'!$W$2=1,'CALCULATOR SHEET'!K15,VLOOKUP('CALCULATOR SHEET'!K15,GENERAL!$H$6:$I$11,2,0)),"")</f>
        <v>PLASTIC CHAIN WHITE</v>
      </c>
      <c r="L16" s="174" t="str">
        <f>IF('CALCULATOR SHEET'!M15&lt;&gt;"",'CALCULATOR SHEET'!M15,"")</f>
        <v>R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177</v>
      </c>
      <c r="O16" s="165"/>
      <c r="P16" s="166">
        <f t="shared" ref="P16:P53" si="1">IF(D16&lt;&gt;"",N16*D16,"")</f>
        <v>177</v>
      </c>
      <c r="Q16" s="195"/>
      <c r="R16" s="64" t="s">
        <v>200</v>
      </c>
      <c r="T16" s="160">
        <f>IF('CALCULATOR SHEET'!$T$58="PESOS",'CALCULATOR SHEET'!S15*'CALCULATOR SHEET'!$W$6,'CALCULATOR SHEET'!S15)</f>
        <v>177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1</v>
      </c>
      <c r="G17" s="175" t="str">
        <f>IF('CALCULATOR SHEET'!G16&lt;&gt;"",'CALCULATOR SHEET'!G16,"")</f>
        <v>SCREEN WHITE</v>
      </c>
      <c r="H17" s="175" t="str">
        <f>IF('CALCULATOR SHEET'!H16&lt;&gt;"",'CALCULATOR SHEET'!H16,"")</f>
        <v>PUERTA A</v>
      </c>
      <c r="I17" s="176">
        <f>IF(E17&lt;&gt;"",'CALCULATOR SHEET'!I16,"")</f>
        <v>26.5</v>
      </c>
      <c r="J17" s="176">
        <f>IF(I17&lt;&gt;"",'CALCULATOR SHEET'!J16,"")</f>
        <v>70</v>
      </c>
      <c r="K17" s="169" t="str">
        <f>IF('CALCULATOR SHEET'!K16&lt;&gt;"",IF('CALCULATOR SHEET'!$W$2=1,'CALCULATOR SHEET'!K16,VLOOKUP('CALCULATOR SHEET'!K16,GENERAL!$H$6:$I$11,2,0)),"")</f>
        <v>PLASTIC CHAIN WHITE</v>
      </c>
      <c r="L17" s="174" t="str">
        <f>IF('CALCULATOR SHEET'!M16&lt;&gt;"",'CALCULATOR SHEET'!M16,"")</f>
        <v>L</v>
      </c>
      <c r="M17" s="174" t="str">
        <f>IF(E17&lt;&gt;"",IF(OR('CALCULATOR SHEET'!P16&lt;&gt;"NO",'CALCULATOR SHEET'!Q16&lt;&gt;"NO"),"YES",""),"")</f>
        <v/>
      </c>
      <c r="N17" s="177">
        <f t="shared" si="0"/>
        <v>89</v>
      </c>
      <c r="O17" s="165"/>
      <c r="P17" s="166">
        <f t="shared" si="1"/>
        <v>89</v>
      </c>
      <c r="Q17" s="195"/>
      <c r="R17" s="64" t="s">
        <v>200</v>
      </c>
      <c r="T17" s="160">
        <f>IF('CALCULATOR SHEET'!$T$58="PESOS",'CALCULATOR SHEET'!S16*'CALCULATOR SHEET'!$W$6,'CALCULATOR SHEET'!S16)</f>
        <v>89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1</v>
      </c>
      <c r="G18" s="175" t="str">
        <f>IF('CALCULATOR SHEET'!G17&lt;&gt;"",'CALCULATOR SHEET'!G17,"")</f>
        <v>SCREEN WHITE</v>
      </c>
      <c r="H18" s="175" t="str">
        <f>IF('CALCULATOR SHEET'!H17&lt;&gt;"",'CALCULATOR SHEET'!H17,"")</f>
        <v>PUERTA B</v>
      </c>
      <c r="I18" s="176">
        <f>IF(E18&lt;&gt;"",'CALCULATOR SHEET'!I17,"")</f>
        <v>26.5</v>
      </c>
      <c r="J18" s="176">
        <f>IF(I18&lt;&gt;"",'CALCULATOR SHEET'!J17,"")</f>
        <v>70</v>
      </c>
      <c r="K18" s="169" t="str">
        <f>IF('CALCULATOR SHEET'!K17&lt;&gt;"",IF('CALCULATOR SHEET'!$W$2=1,'CALCULATOR SHEET'!K17,VLOOKUP('CALCULATOR SHEET'!K17,GENERAL!$H$6:$I$11,2,0)),"")</f>
        <v>PLASTIC CHAIN WHITE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/>
      </c>
      <c r="N18" s="177">
        <f t="shared" si="0"/>
        <v>89</v>
      </c>
      <c r="O18" s="165"/>
      <c r="P18" s="166">
        <f t="shared" si="1"/>
        <v>89</v>
      </c>
      <c r="Q18" s="195"/>
      <c r="R18" s="64" t="s">
        <v>200</v>
      </c>
      <c r="T18" s="160">
        <f>IF('CALCULATOR SHEET'!$T$58="PESOS",'CALCULATOR SHEET'!S17*'CALCULATOR SHEET'!$W$6,'CALCULATOR SHEET'!S17)</f>
        <v>89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663</v>
      </c>
      <c r="Q62" s="188"/>
      <c r="X62" s="163" t="str">
        <f>IF('CALCULATOR SHEET'!$W$2=1,GENERAL!Q35,GENERAL!S35)</f>
        <v>SUB TOTAL</v>
      </c>
      <c r="Y62" s="222">
        <f>P62</f>
        <v>663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265.2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397.8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397.8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397.8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>TAX</v>
      </c>
      <c r="P67" s="187">
        <f>IF(Y67&lt;&gt;0,Y67,"")</f>
        <v>31.824000000000012</v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31.824000000000012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 t="s">
        <v>474</v>
      </c>
      <c r="N69" s="350" t="s">
        <v>475</v>
      </c>
      <c r="O69" s="350">
        <v>18.53</v>
      </c>
      <c r="P69" s="364">
        <f>P70*O69</f>
        <v>7960.9327200000007</v>
      </c>
      <c r="X69" s="163" t="str">
        <f>IF('CALCULATOR SHEET'!$W$2=1,GENERAL!Q42,GENERAL!S42)</f>
        <v>GRAND TOTAL=</v>
      </c>
      <c r="Y69" s="222">
        <f>'CALCULATOR SHEET'!T66</f>
        <v>429.62400000000002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429.62400000000002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</v>
      </c>
      <c r="AK7" s="53">
        <f>'CALCULATOR SHEET'!J13</f>
        <v>99</v>
      </c>
      <c r="AL7" s="53">
        <f>IF(AJ7=0,"",MATCH(CEILING(AJ7,6),$D$4:$Z$4,0))</f>
        <v>6</v>
      </c>
      <c r="AM7" s="53">
        <f>IF(AK7=0,"",MATCH(CEILING(AK7,6),$C$7:$C$28,0))</f>
        <v>14</v>
      </c>
      <c r="AN7" s="54">
        <f>IF(AL7="","",INDEX($D$7:$Z$28,AM7,AL7))</f>
        <v>204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70</v>
      </c>
      <c r="AK8" s="53">
        <f>'CALCULATOR SHEET'!J14</f>
        <v>20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</v>
      </c>
      <c r="AN8" s="54">
        <f t="shared" ref="AN8:AN71" si="2">IF(AL8="","",INDEX($D$7:$Z$28,AM8,AL8))</f>
        <v>121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47.5</v>
      </c>
      <c r="AK9" s="53">
        <f>'CALCULATOR SHEET'!J15</f>
        <v>99</v>
      </c>
      <c r="AL9" s="53">
        <f t="shared" si="0"/>
        <v>5</v>
      </c>
      <c r="AM9" s="53">
        <f t="shared" si="1"/>
        <v>14</v>
      </c>
      <c r="AN9" s="54">
        <f t="shared" si="2"/>
        <v>188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26.5</v>
      </c>
      <c r="AK10" s="53">
        <f>'CALCULATOR SHEET'!J16</f>
        <v>70</v>
      </c>
      <c r="AL10" s="53">
        <f t="shared" si="0"/>
        <v>2</v>
      </c>
      <c r="AM10" s="53">
        <f t="shared" si="1"/>
        <v>9</v>
      </c>
      <c r="AN10" s="54">
        <f t="shared" si="2"/>
        <v>108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26.5</v>
      </c>
      <c r="AK11" s="53">
        <f>'CALCULATOR SHEET'!J17</f>
        <v>70</v>
      </c>
      <c r="AL11" s="53">
        <f t="shared" si="0"/>
        <v>2</v>
      </c>
      <c r="AM11" s="53">
        <f t="shared" si="1"/>
        <v>9</v>
      </c>
      <c r="AN11" s="54">
        <f t="shared" si="2"/>
        <v>108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50</v>
      </c>
      <c r="AK7" s="53">
        <f>'CALCULATOR SHEET'!J13</f>
        <v>99</v>
      </c>
      <c r="AL7" s="53">
        <f t="shared" ref="AL7:AL70" si="0">IF(AJ7=0,"",MATCH(CEILING(AJ7,6),$D$4:$Z$4,0))</f>
        <v>6</v>
      </c>
      <c r="AM7" s="53">
        <f>IF(AK7=0,"",MATCH(CEILING(AK7,6),$C$7:$C$28,0))</f>
        <v>14</v>
      </c>
      <c r="AN7" s="54">
        <f t="shared" ref="AN7:AN70" si="1">IF(AL7="","",INDEX($D$7:$Z$28,AM7,AL7))</f>
        <v>241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70</v>
      </c>
      <c r="AK8" s="53">
        <f>'CALCULATOR SHEET'!J14</f>
        <v>20</v>
      </c>
      <c r="AL8" s="53">
        <f t="shared" si="0"/>
        <v>9</v>
      </c>
      <c r="AM8" s="53">
        <f t="shared" ref="AM8:AM71" si="2">IF(AK8=0,"",MATCH(CEILING(AK8,6),$C$7:$C$28,0))</f>
        <v>1</v>
      </c>
      <c r="AN8" s="54">
        <f t="shared" si="1"/>
        <v>137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47.5</v>
      </c>
      <c r="AK9" s="53">
        <f>'CALCULATOR SHEET'!J15</f>
        <v>99</v>
      </c>
      <c r="AL9" s="53">
        <f t="shared" si="0"/>
        <v>5</v>
      </c>
      <c r="AM9" s="53">
        <f t="shared" si="2"/>
        <v>14</v>
      </c>
      <c r="AN9" s="54">
        <f t="shared" si="1"/>
        <v>221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26.5</v>
      </c>
      <c r="AK10" s="53">
        <f>'CALCULATOR SHEET'!J16</f>
        <v>70</v>
      </c>
      <c r="AL10" s="53">
        <f t="shared" si="0"/>
        <v>2</v>
      </c>
      <c r="AM10" s="53">
        <f t="shared" si="2"/>
        <v>9</v>
      </c>
      <c r="AN10" s="54">
        <f t="shared" si="1"/>
        <v>124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26.5</v>
      </c>
      <c r="AK11" s="53">
        <f>'CALCULATOR SHEET'!J17</f>
        <v>70</v>
      </c>
      <c r="AL11" s="53">
        <f t="shared" si="0"/>
        <v>2</v>
      </c>
      <c r="AM11" s="53">
        <f t="shared" si="2"/>
        <v>9</v>
      </c>
      <c r="AN11" s="54">
        <f t="shared" si="1"/>
        <v>124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</v>
      </c>
      <c r="AK7" s="53">
        <f>'CALCULATOR SHEET'!J13</f>
        <v>99</v>
      </c>
      <c r="AL7" s="53">
        <f>IF(AJ7=0,"",MATCH(CEILING(AJ7,6),$D$4:$Z$4,0))</f>
        <v>6</v>
      </c>
      <c r="AM7" s="53">
        <f>IF(AK7=0,"",MATCH(CEILING(AK7,6),$C$7:$C$28,0))</f>
        <v>14</v>
      </c>
      <c r="AN7" s="54">
        <f>IF(AL7="","",INDEX($D$7:$Z$28,AM7,AL7))</f>
        <v>247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70</v>
      </c>
      <c r="AK8" s="53">
        <f>'CALCULATOR SHEET'!J14</f>
        <v>20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</v>
      </c>
      <c r="AN8" s="54">
        <f t="shared" ref="AN8:AN71" si="2">IF(AL8="","",INDEX($D$7:$Z$28,AM8,AL8))</f>
        <v>140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47.5</v>
      </c>
      <c r="AK9" s="53">
        <f>'CALCULATOR SHEET'!J15</f>
        <v>99</v>
      </c>
      <c r="AL9" s="53">
        <f t="shared" si="0"/>
        <v>5</v>
      </c>
      <c r="AM9" s="53">
        <f t="shared" si="1"/>
        <v>14</v>
      </c>
      <c r="AN9" s="54">
        <f t="shared" si="2"/>
        <v>227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26.5</v>
      </c>
      <c r="AK10" s="53">
        <f>'CALCULATOR SHEET'!J16</f>
        <v>70</v>
      </c>
      <c r="AL10" s="53">
        <f t="shared" si="0"/>
        <v>2</v>
      </c>
      <c r="AM10" s="53">
        <f t="shared" si="1"/>
        <v>9</v>
      </c>
      <c r="AN10" s="54">
        <f t="shared" si="2"/>
        <v>126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26.5</v>
      </c>
      <c r="AK11" s="53">
        <f>'CALCULATOR SHEET'!J17</f>
        <v>70</v>
      </c>
      <c r="AL11" s="53">
        <f t="shared" si="0"/>
        <v>2</v>
      </c>
      <c r="AM11" s="53">
        <f t="shared" si="1"/>
        <v>9</v>
      </c>
      <c r="AN11" s="54">
        <f t="shared" si="2"/>
        <v>126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</v>
      </c>
      <c r="AK7" s="53">
        <f>'CALCULATOR SHEET'!J13</f>
        <v>99</v>
      </c>
      <c r="AL7" s="53">
        <f>IF(AJ7=0,"",MATCH(CEILING(AJ7,6),$D$4:$Z$4,0))</f>
        <v>6</v>
      </c>
      <c r="AM7" s="53">
        <f>IF(AK7=0,"",MATCH(CEILING(AK7,6),$C$7:$C$28,0))</f>
        <v>14</v>
      </c>
      <c r="AN7" s="54">
        <f>IF(AL7="","",INDEX($D$7:$Z$28,AM7,AL7))</f>
        <v>293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70</v>
      </c>
      <c r="AK8" s="53">
        <f>'CALCULATOR SHEET'!J14</f>
        <v>20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</v>
      </c>
      <c r="AN8" s="54">
        <f t="shared" ref="AN8:AN71" si="2">IF(AL8="","",INDEX($D$7:$Z$28,AM8,AL8))</f>
        <v>160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47.5</v>
      </c>
      <c r="AK9" s="53">
        <f>'CALCULATOR SHEET'!J15</f>
        <v>99</v>
      </c>
      <c r="AL9" s="53">
        <f t="shared" si="0"/>
        <v>5</v>
      </c>
      <c r="AM9" s="53">
        <f t="shared" si="1"/>
        <v>14</v>
      </c>
      <c r="AN9" s="54">
        <f t="shared" si="2"/>
        <v>267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26.5</v>
      </c>
      <c r="AK10" s="53">
        <f>'CALCULATOR SHEET'!J16</f>
        <v>70</v>
      </c>
      <c r="AL10" s="53">
        <f t="shared" si="0"/>
        <v>2</v>
      </c>
      <c r="AM10" s="53">
        <f t="shared" si="1"/>
        <v>9</v>
      </c>
      <c r="AN10" s="54">
        <f t="shared" si="2"/>
        <v>145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26.5</v>
      </c>
      <c r="AK11" s="53">
        <f>'CALCULATOR SHEET'!J17</f>
        <v>70</v>
      </c>
      <c r="AL11" s="53">
        <f t="shared" si="0"/>
        <v>2</v>
      </c>
      <c r="AM11" s="53">
        <f t="shared" si="1"/>
        <v>9</v>
      </c>
      <c r="AN11" s="54">
        <f t="shared" si="2"/>
        <v>145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</v>
      </c>
      <c r="AK7" s="53">
        <f>'CALCULATOR SHEET'!J13</f>
        <v>99</v>
      </c>
      <c r="AL7" s="53">
        <f>IF(AJ7=0,"",MATCH(CEILING(AJ7,6),$D$4:$Z$4,0))</f>
        <v>6</v>
      </c>
      <c r="AM7" s="53">
        <f>IF(AK7=0,"",MATCH(CEILING(AK7,6),$C$7:$C$28,0))</f>
        <v>14</v>
      </c>
      <c r="AN7" s="54">
        <f>IF(AL7="","",INDEX($D$7:$Z$28,AM7,AL7))</f>
        <v>333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70</v>
      </c>
      <c r="AK8" s="53">
        <f>'CALCULATOR SHEET'!J14</f>
        <v>20</v>
      </c>
      <c r="AL8" s="53">
        <f t="shared" ref="AL8:AL71" si="1">IF(AJ8=0,"",MATCH(CEILING(AJ8,6),$D$4:$Z$4,0))</f>
        <v>9</v>
      </c>
      <c r="AM8" s="53">
        <f t="shared" ref="AM8:AM71" si="2">IF(AK8=0,"",MATCH(CEILING(AK8,6),$C$7:$C$28,0))</f>
        <v>1</v>
      </c>
      <c r="AN8" s="54">
        <f t="shared" ref="AN8:AN71" si="3">IF(AL8="","",INDEX($D$7:$Z$28,AM8,AL8))</f>
        <v>179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47.5</v>
      </c>
      <c r="AK9" s="53">
        <f>'CALCULATOR SHEET'!J15</f>
        <v>99</v>
      </c>
      <c r="AL9" s="53">
        <f>IF(AJ9=0,"",MATCH(CEILING(AJ9,6),$D$4:$Z$4,0))</f>
        <v>5</v>
      </c>
      <c r="AM9" s="53">
        <f t="shared" si="2"/>
        <v>14</v>
      </c>
      <c r="AN9" s="54">
        <f t="shared" si="3"/>
        <v>303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26.5</v>
      </c>
      <c r="AK10" s="53">
        <f>'CALCULATOR SHEET'!J16</f>
        <v>70</v>
      </c>
      <c r="AL10" s="53">
        <f t="shared" si="1"/>
        <v>2</v>
      </c>
      <c r="AM10" s="53">
        <f t="shared" si="2"/>
        <v>9</v>
      </c>
      <c r="AN10" s="54">
        <f t="shared" si="3"/>
        <v>162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26.5</v>
      </c>
      <c r="AK11" s="53">
        <f>'CALCULATOR SHEET'!J17</f>
        <v>70</v>
      </c>
      <c r="AL11" s="53">
        <f t="shared" si="1"/>
        <v>2</v>
      </c>
      <c r="AM11" s="53">
        <f t="shared" si="2"/>
        <v>9</v>
      </c>
      <c r="AN11" s="54">
        <f t="shared" si="3"/>
        <v>162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4" t="s">
        <v>298</v>
      </c>
      <c r="N1" s="384"/>
      <c r="O1" s="384"/>
      <c r="P1" s="384"/>
      <c r="Q1" s="384"/>
      <c r="R1" s="384"/>
      <c r="S1" s="384"/>
      <c r="T1" s="384"/>
      <c r="W1" s="24" t="s">
        <v>4</v>
      </c>
      <c r="X1" s="382">
        <v>44656</v>
      </c>
      <c r="Y1" s="382"/>
      <c r="AF1" s="8"/>
      <c r="AG1" s="8"/>
    </row>
    <row r="2" spans="1:93" s="1" customFormat="1" ht="18" customHeight="1">
      <c r="E2" s="20"/>
      <c r="M2" s="384"/>
      <c r="N2" s="384"/>
      <c r="O2" s="384"/>
      <c r="P2" s="384"/>
      <c r="Q2" s="384"/>
      <c r="R2" s="384"/>
      <c r="S2" s="384"/>
      <c r="T2" s="384"/>
      <c r="W2" s="25"/>
      <c r="AF2" s="8"/>
      <c r="AG2" s="8"/>
    </row>
    <row r="3" spans="1:93" s="1" customFormat="1" ht="18" customHeight="1" thickBot="1">
      <c r="E3" s="15"/>
      <c r="M3" s="385"/>
      <c r="N3" s="385"/>
      <c r="O3" s="385"/>
      <c r="P3" s="385"/>
      <c r="Q3" s="385"/>
      <c r="R3" s="385"/>
      <c r="S3" s="385"/>
      <c r="T3" s="385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50</v>
      </c>
      <c r="AK7" s="53">
        <f>'CALCULATOR SHEET'!J13</f>
        <v>99</v>
      </c>
      <c r="AL7" s="53">
        <f>IF(AJ7=0,"",MATCH(CEILING(AJ7,6),$D$4:$Z$4,0))</f>
        <v>6</v>
      </c>
      <c r="AM7" s="53">
        <f>IF(AK7=0,"",MATCH(CEILING(AK7,6),$C$7:$C$28,0))</f>
        <v>14</v>
      </c>
      <c r="AN7" s="54">
        <f>IF(AL7="","",INDEX($D$7:$Z$28,AM7,AL7))</f>
        <v>424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70</v>
      </c>
      <c r="AK8" s="53">
        <f>'CALCULATOR SHEET'!J14</f>
        <v>20</v>
      </c>
      <c r="AL8" s="53">
        <f t="shared" ref="AL8:AL71" si="17">IF(AJ8=0,"",MATCH(CEILING(AJ8,6),$D$4:$Z$4,0))</f>
        <v>9</v>
      </c>
      <c r="AM8" s="53">
        <f t="shared" ref="AM8:AM71" si="18">IF(AK8=0,"",MATCH(CEILING(AK8,6),$C$7:$C$28,0))</f>
        <v>1</v>
      </c>
      <c r="AN8" s="54">
        <f t="shared" ref="AN8:AN71" si="19">IF(AL8="","",INDEX($D$7:$Z$28,AM8,AL8))</f>
        <v>217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47.5</v>
      </c>
      <c r="AK9" s="53">
        <f>'CALCULATOR SHEET'!J15</f>
        <v>99</v>
      </c>
      <c r="AL9" s="53">
        <f t="shared" si="17"/>
        <v>5</v>
      </c>
      <c r="AM9" s="53">
        <f t="shared" si="18"/>
        <v>14</v>
      </c>
      <c r="AN9" s="54">
        <f t="shared" si="19"/>
        <v>385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26.5</v>
      </c>
      <c r="AK10" s="53">
        <f>'CALCULATOR SHEET'!J16</f>
        <v>70</v>
      </c>
      <c r="AL10" s="53">
        <f t="shared" si="17"/>
        <v>2</v>
      </c>
      <c r="AM10" s="53">
        <f t="shared" si="18"/>
        <v>9</v>
      </c>
      <c r="AN10" s="54">
        <f t="shared" si="19"/>
        <v>199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26.5</v>
      </c>
      <c r="AK11" s="53">
        <f>'CALCULATOR SHEET'!J17</f>
        <v>70</v>
      </c>
      <c r="AL11" s="53">
        <f t="shared" si="17"/>
        <v>2</v>
      </c>
      <c r="AM11" s="53">
        <f t="shared" si="18"/>
        <v>9</v>
      </c>
      <c r="AN11" s="54">
        <f t="shared" si="19"/>
        <v>199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6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50</v>
      </c>
      <c r="Z7" s="7">
        <f>'CALCULATOR SHEET'!J13</f>
        <v>99</v>
      </c>
      <c r="AA7" s="7">
        <f>IF(Y7=0,"",MATCH(CEILING(Y7,6),$C$7:$R$7,0))</f>
        <v>5</v>
      </c>
      <c r="AB7" s="7">
        <f>IF(Z7=0,"",MATCH(CEILING(Z7,6),$B$10:$B$26,0))</f>
        <v>12</v>
      </c>
      <c r="AC7" s="146">
        <f>IF(AA7="","",IF(W7="GROUP 1",INDEX($C$10:$R$26,AB7,AA7),IF(W7="GROUP 2",INDEX($C$39:$R$55,AB7,AA7),IF(W7="GROUP 3",INDEX($C$64:$R$80,AB7,AA7),""))))</f>
        <v>823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214</v>
      </c>
      <c r="AF7" s="13">
        <f>IF(Y7&gt;0,HLOOKUP(AA7,$C$29:$R$30,2,FALSE),"")</f>
        <v>0</v>
      </c>
    </row>
    <row r="8" spans="2:32" ht="15.75">
      <c r="U8" s="386"/>
      <c r="V8" s="147"/>
      <c r="W8" s="147" t="str">
        <f>'CALCULATOR SHEET'!E14</f>
        <v>GROUP 3</v>
      </c>
      <c r="X8" s="1">
        <f>+X7+1</f>
        <v>2</v>
      </c>
      <c r="Y8" s="7">
        <f>'CALCULATOR SHEET'!I14</f>
        <v>70</v>
      </c>
      <c r="Z8" s="7">
        <f>'CALCULATOR SHEET'!J14</f>
        <v>20</v>
      </c>
      <c r="AA8" s="7">
        <f t="shared" ref="AA8:AA28" si="1">IF(Y8=0,"",MATCH(CEILING(Y8,6),$C$7:$R$7,0))</f>
        <v>8</v>
      </c>
      <c r="AB8" s="7" t="e">
        <f t="shared" ref="AB8:AB28" si="2">IF(Z8=0,"",MATCH(CEILING(Z8,6),$B$10:$B$26,0))</f>
        <v>#N/A</v>
      </c>
      <c r="AC8" s="146" t="e">
        <f t="shared" ref="AC8:AC71" si="3">IF(AA8="","",IF(W8="GROUP 1",INDEX($C$10:$R$26,AB8,AA8),IF(W8="GROUP 2",INDEX($C$39:$R$55,AB8,AA8),IF(W8="GROUP 3",INDEX($C$64:$R$80,AB8,AA8),""))))</f>
        <v>#N/A</v>
      </c>
      <c r="AD8" s="13" t="str">
        <f>IF(AND('CALCULATOR SHEET'!P14="YES",'CALCULATOR SHEET'!Q14="YES"),HLOOKUP(CEILING(Y8,6),$C$28:$Q$31,3,FALSE),"")</f>
        <v/>
      </c>
      <c r="AE8" s="13" t="e">
        <f t="shared" ref="AE8:AE28" si="4">IF(AB8&lt;&gt;"",VLOOKUP(AB8,$T$10:$U$26,2,FALSE),"")</f>
        <v>#N/A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3</v>
      </c>
      <c r="X9" s="1">
        <f t="shared" ref="X9:X28" si="6">+X8+1</f>
        <v>3</v>
      </c>
      <c r="Y9" s="7">
        <f>'CALCULATOR SHEET'!I15</f>
        <v>47.5</v>
      </c>
      <c r="Z9" s="7">
        <f>'CALCULATOR SHEET'!J15</f>
        <v>99</v>
      </c>
      <c r="AA9" s="7">
        <f t="shared" si="1"/>
        <v>4</v>
      </c>
      <c r="AB9" s="7">
        <f t="shared" si="2"/>
        <v>12</v>
      </c>
      <c r="AC9" s="146">
        <f t="shared" si="3"/>
        <v>796</v>
      </c>
      <c r="AD9" s="13" t="str">
        <f>IF(AND('CALCULATOR SHEET'!P15="YES",'CALCULATOR SHEET'!Q15="YES"),HLOOKUP(CEILING(Y9,6),$C$28:$Q$31,3,FALSE),"")</f>
        <v/>
      </c>
      <c r="AE9" s="13">
        <f t="shared" si="4"/>
        <v>214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1</v>
      </c>
      <c r="X10" s="1">
        <f t="shared" si="6"/>
        <v>4</v>
      </c>
      <c r="Y10" s="7">
        <f>'CALCULATOR SHEET'!I16</f>
        <v>26.5</v>
      </c>
      <c r="Z10" s="7">
        <f>'CALCULATOR SHEET'!J16</f>
        <v>70</v>
      </c>
      <c r="AA10" s="7">
        <f t="shared" si="1"/>
        <v>1</v>
      </c>
      <c r="AB10" s="7">
        <f t="shared" si="2"/>
        <v>7</v>
      </c>
      <c r="AC10" s="146">
        <f t="shared" si="3"/>
        <v>692</v>
      </c>
      <c r="AD10" s="13" t="str">
        <f>IF(AND('CALCULATOR SHEET'!P16="YES",'CALCULATOR SHEET'!Q16="YES"),HLOOKUP(CEILING(Y10,6),$C$28:$Q$31,3,FALSE),"")</f>
        <v/>
      </c>
      <c r="AE10" s="13">
        <f t="shared" si="4"/>
        <v>208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1</v>
      </c>
      <c r="X11" s="1">
        <f t="shared" si="6"/>
        <v>5</v>
      </c>
      <c r="Y11" s="7">
        <f>'CALCULATOR SHEET'!I17</f>
        <v>26.5</v>
      </c>
      <c r="Z11" s="7">
        <f>'CALCULATOR SHEET'!J17</f>
        <v>70</v>
      </c>
      <c r="AA11" s="7">
        <f t="shared" si="1"/>
        <v>1</v>
      </c>
      <c r="AB11" s="7">
        <f t="shared" si="2"/>
        <v>7</v>
      </c>
      <c r="AC11" s="146">
        <f t="shared" si="3"/>
        <v>692</v>
      </c>
      <c r="AD11" s="13" t="str">
        <f>IF(AND('CALCULATOR SHEET'!P17="YES",'CALCULATOR SHEET'!Q17="YES"),HLOOKUP(CEILING(Y11,6),$C$28:$Q$31,3,FALSE),"")</f>
        <v/>
      </c>
      <c r="AE11" s="13">
        <f t="shared" si="4"/>
        <v>208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50</v>
      </c>
      <c r="W7" s="7">
        <f>'CALCULATOR SHEET'!J13</f>
        <v>99</v>
      </c>
      <c r="X7" s="7">
        <f>IF(V7=0,"",MATCH(CEILING(V7,6),$C$8:$Q$8,0))</f>
        <v>6</v>
      </c>
      <c r="Y7" s="7">
        <f>IF(W7=0,"",MATCH(CEILING(W7,6),$B$10:$B$26,0))</f>
        <v>14</v>
      </c>
      <c r="Z7" s="146">
        <f>IF(X7="","",INDEX($C$12:$Q$26,Y7,X7))</f>
        <v>302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70</v>
      </c>
      <c r="W8" s="7">
        <f>'CALCULATOR SHEET'!J14</f>
        <v>20</v>
      </c>
      <c r="X8" s="7">
        <f t="shared" ref="X8:X73" si="0">IF(V8=0,"",MATCH(CEILING(V8,6),$C$8:$Q$8,0))</f>
        <v>9</v>
      </c>
      <c r="Y8" s="7">
        <f t="shared" ref="Y8:Y71" si="1">IF(W8=0,"",MATCH(CEILING(W8,6),$B$10:$B$26,0))</f>
        <v>1</v>
      </c>
      <c r="Z8" s="146">
        <f>IF(X8="","",INDEX($C$12:$Q$26,Y8,X8))</f>
        <v>245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47.5</v>
      </c>
      <c r="W9" s="7">
        <f>'CALCULATOR SHEET'!J15</f>
        <v>99</v>
      </c>
      <c r="X9" s="7">
        <f t="shared" si="0"/>
        <v>5</v>
      </c>
      <c r="Y9" s="7">
        <f t="shared" si="1"/>
        <v>14</v>
      </c>
      <c r="Z9" s="146">
        <f>IF(X9="","",INDEX($C$12:$Q$26,Y9,X9))</f>
        <v>279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26.5</v>
      </c>
      <c r="W12" s="7">
        <f>'CALCULATOR SHEET'!J16</f>
        <v>70</v>
      </c>
      <c r="X12" s="7">
        <f t="shared" si="0"/>
        <v>2</v>
      </c>
      <c r="Y12" s="7">
        <f t="shared" si="1"/>
        <v>9</v>
      </c>
      <c r="Z12" s="146">
        <f t="shared" ref="Z12:Z43" si="3">IF(X12="","",INDEX($C$12:$Q$26,Y12,X12))</f>
        <v>163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26.5</v>
      </c>
      <c r="W13" s="7">
        <f>'CALCULATOR SHEET'!J17</f>
        <v>70</v>
      </c>
      <c r="X13" s="7">
        <f t="shared" si="0"/>
        <v>2</v>
      </c>
      <c r="Y13" s="7">
        <f t="shared" si="1"/>
        <v>9</v>
      </c>
      <c r="Z13" s="146">
        <f t="shared" si="3"/>
        <v>163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7" t="s">
        <v>14</v>
      </c>
      <c r="J3" s="387"/>
      <c r="K3" s="387"/>
      <c r="L3" s="387"/>
      <c r="R3" s="34" t="s">
        <v>436</v>
      </c>
    </row>
    <row r="4" spans="2:29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6" t="s">
        <v>72</v>
      </c>
      <c r="U7" s="147"/>
      <c r="V7" s="1">
        <v>1</v>
      </c>
      <c r="W7" s="7">
        <f>'CALCULATOR SHEET'!I13</f>
        <v>50</v>
      </c>
      <c r="X7" s="7">
        <f>'CALCULATOR SHEET'!J13</f>
        <v>99</v>
      </c>
      <c r="Y7" s="7">
        <f>IF(W7=0,"",MATCH(CEILING(W7,6),$C$7:$Q$7,0))</f>
        <v>6</v>
      </c>
      <c r="Z7" s="7">
        <f>IF(X7=0,"",MATCH(CEILING(X7,6),$B$10:$B$26,0))</f>
        <v>14</v>
      </c>
      <c r="AA7" s="146">
        <f>IF(Y7="","",INDEX($C$10:$Q$26,Z7,Y7))</f>
        <v>172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6"/>
      <c r="U8" s="147"/>
      <c r="V8" s="1">
        <f>+V7+1</f>
        <v>2</v>
      </c>
      <c r="W8" s="7">
        <f>'CALCULATOR SHEET'!I14</f>
        <v>70</v>
      </c>
      <c r="X8" s="7">
        <f>'CALCULATOR SHEET'!J14</f>
        <v>20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</v>
      </c>
      <c r="AA8" s="146">
        <f t="shared" ref="AA8:AA71" si="3">IF(Y8="","",INDEX($C$10:$Q$26,Z8,Y8))</f>
        <v>152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47.5</v>
      </c>
      <c r="X9" s="7">
        <f>'CALCULATOR SHEET'!J15</f>
        <v>99</v>
      </c>
      <c r="Y9" s="7">
        <f t="shared" si="1"/>
        <v>5</v>
      </c>
      <c r="Z9" s="7">
        <f t="shared" si="2"/>
        <v>14</v>
      </c>
      <c r="AA9" s="146">
        <f t="shared" si="3"/>
        <v>165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26.5</v>
      </c>
      <c r="X10" s="7">
        <f>'CALCULATOR SHEET'!J16</f>
        <v>70</v>
      </c>
      <c r="Y10" s="7">
        <f t="shared" si="1"/>
        <v>2</v>
      </c>
      <c r="Z10" s="7">
        <f t="shared" si="2"/>
        <v>9</v>
      </c>
      <c r="AA10" s="146">
        <f t="shared" si="3"/>
        <v>95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26.5</v>
      </c>
      <c r="X11" s="7">
        <f>'CALCULATOR SHEET'!J17</f>
        <v>70</v>
      </c>
      <c r="Y11" s="7">
        <f t="shared" si="1"/>
        <v>2</v>
      </c>
      <c r="Z11" s="7">
        <f t="shared" si="2"/>
        <v>9</v>
      </c>
      <c r="AA11" s="146">
        <f t="shared" si="3"/>
        <v>95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8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50</v>
      </c>
      <c r="X7" s="7">
        <f>'CALCULATOR SHEET'!J13</f>
        <v>99</v>
      </c>
      <c r="Y7" s="7">
        <f>IF(W7=0,"",MATCH(CEILING(W7,6),$C$7:$Q$7,0))</f>
        <v>6</v>
      </c>
      <c r="Z7" s="7">
        <f>IF(X7=0,"",MATCH(CEILING(X7,6),$B$10:$B$26,0))</f>
        <v>14</v>
      </c>
      <c r="AA7" s="146">
        <f>IF(Y7="","",INDEX($C$10:$Q$26,Z7,Y7))</f>
        <v>245</v>
      </c>
    </row>
    <row r="8" spans="2:27">
      <c r="T8" s="386"/>
      <c r="V8" s="1">
        <f>+V7+1</f>
        <v>2</v>
      </c>
      <c r="W8" s="7">
        <f>'CALCULATOR SHEET'!I14</f>
        <v>70</v>
      </c>
      <c r="X8" s="7">
        <f>'CALCULATOR SHEET'!J14</f>
        <v>20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</v>
      </c>
      <c r="AA8" s="146">
        <f t="shared" ref="AA8:AA71" si="3">IF(Y8="","",INDEX($C$10:$Q$26,Z8,Y8))</f>
        <v>198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47.5</v>
      </c>
      <c r="X9" s="7">
        <f>'CALCULATOR SHEET'!J15</f>
        <v>99</v>
      </c>
      <c r="Y9" s="7">
        <f t="shared" si="1"/>
        <v>5</v>
      </c>
      <c r="Z9" s="7">
        <f t="shared" si="2"/>
        <v>14</v>
      </c>
      <c r="AA9" s="146">
        <f t="shared" si="3"/>
        <v>237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26.5</v>
      </c>
      <c r="X10" s="7">
        <f>'CALCULATOR SHEET'!J16</f>
        <v>70</v>
      </c>
      <c r="Y10" s="7">
        <f t="shared" si="1"/>
        <v>2</v>
      </c>
      <c r="Z10" s="7">
        <f t="shared" si="2"/>
        <v>9</v>
      </c>
      <c r="AA10" s="146">
        <f t="shared" si="3"/>
        <v>132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26.5</v>
      </c>
      <c r="X11" s="7">
        <f>'CALCULATOR SHEET'!J17</f>
        <v>70</v>
      </c>
      <c r="Y11" s="7">
        <f t="shared" si="1"/>
        <v>2</v>
      </c>
      <c r="Z11" s="7">
        <f t="shared" si="2"/>
        <v>9</v>
      </c>
      <c r="AA11" s="146">
        <f t="shared" si="3"/>
        <v>132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abSelected="1" topLeftCell="F1" zoomScale="85" zoomScaleNormal="85" workbookViewId="0">
      <selection activeCell="H16" sqref="H16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8"/>
      <c r="Q3" s="368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/>
      <c r="Q4" s="285"/>
      <c r="R4" s="34" t="s">
        <v>39</v>
      </c>
      <c r="S4" s="19" t="s">
        <v>41</v>
      </c>
      <c r="T4" s="236" t="s">
        <v>43</v>
      </c>
      <c r="Z4" s="371" t="s">
        <v>309</v>
      </c>
      <c r="AA4" s="370">
        <f>FLOOR(SUMIF(C8:C47,"&gt;0")/2,1)</f>
        <v>2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/>
      <c r="Q5" s="285"/>
      <c r="R5" s="19"/>
      <c r="S5" s="19" t="s">
        <v>42</v>
      </c>
      <c r="T5" s="49" t="s">
        <v>476</v>
      </c>
      <c r="W5" s="34" t="s">
        <v>134</v>
      </c>
      <c r="Z5" s="371"/>
      <c r="AA5" s="370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1"/>
      <c r="AA6" s="370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465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9" t="str">
        <f>IF(AA10&gt;(AA9/2),"REVISAR PERSIANAS","")</f>
        <v/>
      </c>
      <c r="Z8" s="369"/>
      <c r="AA8" s="369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463</v>
      </c>
      <c r="E9" s="39"/>
      <c r="F9" s="1"/>
      <c r="G9" s="38" t="s">
        <v>443</v>
      </c>
      <c r="H9" s="343" t="s">
        <v>466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45945</v>
      </c>
      <c r="Z9" s="38" t="s">
        <v>304</v>
      </c>
      <c r="AA9" s="34">
        <f>SUMIF(C13:C52,"&gt;0")</f>
        <v>5</v>
      </c>
      <c r="AD9" s="367" t="s">
        <v>91</v>
      </c>
      <c r="AE9" s="367"/>
      <c r="AF9" s="367"/>
      <c r="AG9" s="367"/>
      <c r="AH9" s="367"/>
      <c r="AI9" s="367"/>
      <c r="AJ9" s="367"/>
      <c r="AK9" s="269"/>
      <c r="AL9" s="367" t="s">
        <v>92</v>
      </c>
      <c r="AM9" s="367"/>
      <c r="AN9" s="367"/>
      <c r="AO9" s="269"/>
      <c r="AP9" s="367" t="s">
        <v>93</v>
      </c>
      <c r="AQ9" s="367"/>
      <c r="AR9" s="367"/>
      <c r="AS9" s="269"/>
      <c r="AT9" s="367" t="s">
        <v>217</v>
      </c>
      <c r="AU9" s="367"/>
      <c r="AV9" s="14"/>
      <c r="AW9" s="14"/>
    </row>
    <row r="10" spans="1:73" ht="15.75">
      <c r="B10" s="43"/>
      <c r="C10" s="24" t="s">
        <v>39</v>
      </c>
      <c r="D10" s="191" t="s">
        <v>464</v>
      </c>
      <c r="E10" s="149"/>
      <c r="F10" s="1"/>
      <c r="G10" s="341" t="s">
        <v>444</v>
      </c>
      <c r="H10" s="343" t="s">
        <v>467</v>
      </c>
      <c r="I10" s="1"/>
      <c r="J10" s="3" t="s">
        <v>449</v>
      </c>
      <c r="K10" s="344" t="s">
        <v>464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7"/>
      <c r="AE10" s="367"/>
      <c r="AF10" s="367"/>
      <c r="AG10" s="367"/>
      <c r="AH10" s="367"/>
      <c r="AI10" s="367"/>
      <c r="AJ10" s="367"/>
      <c r="AL10" s="367"/>
      <c r="AM10" s="367"/>
      <c r="AN10" s="367"/>
      <c r="AP10" s="367"/>
      <c r="AQ10" s="367"/>
      <c r="AR10" s="367"/>
      <c r="AT10" s="367"/>
      <c r="AU10" s="367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468</v>
      </c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 t="s">
        <v>45</v>
      </c>
      <c r="G13" s="68" t="s">
        <v>477</v>
      </c>
      <c r="H13" s="68" t="s">
        <v>469</v>
      </c>
      <c r="I13" s="81">
        <v>50</v>
      </c>
      <c r="J13" s="81">
        <v>99</v>
      </c>
      <c r="K13" s="254" t="s">
        <v>207</v>
      </c>
      <c r="L13" s="70" t="s">
        <v>45</v>
      </c>
      <c r="M13" s="284" t="s">
        <v>129</v>
      </c>
      <c r="N13" s="254" t="s">
        <v>213</v>
      </c>
      <c r="O13" s="254" t="s">
        <v>322</v>
      </c>
      <c r="P13" s="70" t="s">
        <v>45</v>
      </c>
      <c r="Q13" s="70" t="s">
        <v>45</v>
      </c>
      <c r="R13" s="70" t="s">
        <v>45</v>
      </c>
      <c r="S13" s="71">
        <f t="shared" ref="S13:S21" si="0">IF(U13="REVISAR MEDIDA","NO APLICA",W13+X13)</f>
        <v>192</v>
      </c>
      <c r="T13" s="316">
        <f t="shared" ref="T13:T52" si="1">IF(S13="","",S13*C13)</f>
        <v>192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192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192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 t="s">
        <v>45</v>
      </c>
      <c r="G14" s="68" t="s">
        <v>477</v>
      </c>
      <c r="H14" s="68" t="s">
        <v>470</v>
      </c>
      <c r="I14" s="81">
        <v>70</v>
      </c>
      <c r="J14" s="81">
        <v>20</v>
      </c>
      <c r="K14" s="254" t="s">
        <v>207</v>
      </c>
      <c r="L14" s="70" t="s">
        <v>45</v>
      </c>
      <c r="M14" s="284" t="s">
        <v>129</v>
      </c>
      <c r="N14" s="254" t="s">
        <v>213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f t="shared" si="0"/>
        <v>116</v>
      </c>
      <c r="T14" s="316">
        <f t="shared" si="1"/>
        <v>116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116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116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21</v>
      </c>
      <c r="F15" s="69" t="s">
        <v>45</v>
      </c>
      <c r="G15" s="68" t="s">
        <v>477</v>
      </c>
      <c r="H15" s="68" t="s">
        <v>471</v>
      </c>
      <c r="I15" s="81">
        <v>47.5</v>
      </c>
      <c r="J15" s="81">
        <v>99</v>
      </c>
      <c r="K15" s="254" t="s">
        <v>207</v>
      </c>
      <c r="L15" s="70" t="s">
        <v>45</v>
      </c>
      <c r="M15" s="284" t="s">
        <v>130</v>
      </c>
      <c r="N15" s="254" t="s">
        <v>213</v>
      </c>
      <c r="O15" s="254" t="s">
        <v>322</v>
      </c>
      <c r="P15" s="70" t="s">
        <v>45</v>
      </c>
      <c r="Q15" s="70" t="s">
        <v>45</v>
      </c>
      <c r="R15" s="70" t="s">
        <v>45</v>
      </c>
      <c r="S15" s="71">
        <f t="shared" si="0"/>
        <v>177</v>
      </c>
      <c r="T15" s="316">
        <f t="shared" si="1"/>
        <v>177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177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177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19</v>
      </c>
      <c r="F16" s="69" t="s">
        <v>45</v>
      </c>
      <c r="G16" s="68" t="s">
        <v>478</v>
      </c>
      <c r="H16" s="68" t="s">
        <v>472</v>
      </c>
      <c r="I16" s="81">
        <v>26.5</v>
      </c>
      <c r="J16" s="81">
        <v>70</v>
      </c>
      <c r="K16" s="254" t="s">
        <v>207</v>
      </c>
      <c r="L16" s="70" t="s">
        <v>45</v>
      </c>
      <c r="M16" s="284" t="s">
        <v>129</v>
      </c>
      <c r="N16" s="254" t="s">
        <v>213</v>
      </c>
      <c r="O16" s="254" t="s">
        <v>322</v>
      </c>
      <c r="P16" s="70" t="s">
        <v>45</v>
      </c>
      <c r="Q16" s="70" t="s">
        <v>45</v>
      </c>
      <c r="R16" s="70" t="s">
        <v>45</v>
      </c>
      <c r="S16" s="71">
        <f t="shared" si="0"/>
        <v>89</v>
      </c>
      <c r="T16" s="316">
        <f t="shared" si="1"/>
        <v>89</v>
      </c>
      <c r="U16" s="179" t="str">
        <f t="shared" si="2"/>
        <v/>
      </c>
      <c r="V16" s="120"/>
      <c r="W16" s="124">
        <f t="shared" si="8"/>
        <v>89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89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19</v>
      </c>
      <c r="F17" s="69" t="s">
        <v>45</v>
      </c>
      <c r="G17" s="68" t="s">
        <v>478</v>
      </c>
      <c r="H17" s="68" t="s">
        <v>473</v>
      </c>
      <c r="I17" s="81">
        <v>26.5</v>
      </c>
      <c r="J17" s="81">
        <v>70</v>
      </c>
      <c r="K17" s="254" t="s">
        <v>207</v>
      </c>
      <c r="L17" s="70" t="s">
        <v>45</v>
      </c>
      <c r="M17" s="284" t="s">
        <v>130</v>
      </c>
      <c r="N17" s="254" t="s">
        <v>213</v>
      </c>
      <c r="O17" s="254" t="s">
        <v>322</v>
      </c>
      <c r="P17" s="70" t="s">
        <v>45</v>
      </c>
      <c r="Q17" s="70" t="s">
        <v>45</v>
      </c>
      <c r="R17" s="70" t="s">
        <v>45</v>
      </c>
      <c r="S17" s="71">
        <f t="shared" si="0"/>
        <v>89</v>
      </c>
      <c r="T17" s="316">
        <f t="shared" si="1"/>
        <v>89</v>
      </c>
      <c r="U17" s="179" t="str">
        <f t="shared" si="2"/>
        <v/>
      </c>
      <c r="V17" s="120"/>
      <c r="W17" s="124">
        <f t="shared" si="8"/>
        <v>89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89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0"/>
        <v>0</v>
      </c>
      <c r="T18" s="316">
        <f t="shared" si="1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0"/>
        <v>0</v>
      </c>
      <c r="T19" s="316">
        <f t="shared" si="1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0"/>
        <v>0</v>
      </c>
      <c r="T20" s="316">
        <f t="shared" si="1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0"/>
        <v>0</v>
      </c>
      <c r="T21" s="316">
        <f t="shared" si="1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ref="S22:S52" si="10">IF(U22="REVISAR MEDIDA","NO APLICA",W22+X22)</f>
        <v>0</v>
      </c>
      <c r="T22" s="72">
        <f t="shared" si="1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0"/>
        <v>0</v>
      </c>
      <c r="T23" s="72">
        <f t="shared" si="1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0"/>
        <v>0</v>
      </c>
      <c r="T24" s="72">
        <f t="shared" si="1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663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0.4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265.2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397.8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46</v>
      </c>
      <c r="S64" s="278" t="s">
        <v>461</v>
      </c>
      <c r="T64" s="76">
        <f>IF(R64="NO",0,(T63*1.08)-T63)</f>
        <v>31.824000000000012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429.62400000000002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7" t="s">
        <v>9</v>
      </c>
      <c r="J3" s="387"/>
      <c r="K3" s="387"/>
      <c r="L3" s="387"/>
      <c r="S3" s="34" t="s">
        <v>437</v>
      </c>
    </row>
    <row r="4" spans="2:28" ht="25.5">
      <c r="D4" s="130"/>
      <c r="E4" s="131"/>
      <c r="I4" s="387"/>
      <c r="J4" s="387"/>
      <c r="K4" s="387"/>
      <c r="L4" s="387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6" t="s">
        <v>72</v>
      </c>
      <c r="V7" s="147"/>
      <c r="W7" s="1">
        <v>1</v>
      </c>
      <c r="X7" s="7">
        <f>'CALCULATOR SHEET'!I13</f>
        <v>50</v>
      </c>
      <c r="Y7" s="7">
        <f>'CALCULATOR SHEET'!J13</f>
        <v>99</v>
      </c>
      <c r="Z7" s="7">
        <f>IF(X7=0,"",MATCH(CEILING(X7,6),$C$7:$R$7,0))</f>
        <v>6</v>
      </c>
      <c r="AA7" s="7">
        <f>IF(Y7=0,"",MATCH(CEILING(Y7,6),$B$10:$B$26,0))</f>
        <v>14</v>
      </c>
      <c r="AB7" s="146">
        <f>IF(Z7="","",INDEX($C$10:$R$26,AA7,Z7))</f>
        <v>275</v>
      </c>
    </row>
    <row r="8" spans="2:28" ht="15.75">
      <c r="U8" s="386"/>
      <c r="V8" s="147"/>
      <c r="W8" s="1">
        <f>+W7+1</f>
        <v>2</v>
      </c>
      <c r="X8" s="7">
        <f>'CALCULATOR SHEET'!I14</f>
        <v>70</v>
      </c>
      <c r="Y8" s="7">
        <f>'CALCULATOR SHEET'!J14</f>
        <v>20</v>
      </c>
      <c r="Z8" s="7">
        <f t="shared" ref="Z8:Z71" si="0">IF(X8=0,"",MATCH(CEILING(X8,6),$C$7:$R$7,0))</f>
        <v>9</v>
      </c>
      <c r="AA8" s="7">
        <f t="shared" ref="AA8:AA71" si="1">IF(Y8=0,"",MATCH(CEILING(Y8,6),$B$10:$B$26,0))</f>
        <v>1</v>
      </c>
      <c r="AB8" s="146">
        <f t="shared" ref="AB8:AB71" si="2">IF(Z8="","",INDEX($C$10:$R$26,AA8,Z8))</f>
        <v>213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47.5</v>
      </c>
      <c r="Y9" s="7">
        <f>'CALCULATOR SHEET'!J15</f>
        <v>99</v>
      </c>
      <c r="Z9" s="7">
        <f t="shared" si="0"/>
        <v>5</v>
      </c>
      <c r="AA9" s="7">
        <f t="shared" si="1"/>
        <v>14</v>
      </c>
      <c r="AB9" s="146">
        <f t="shared" si="2"/>
        <v>266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26.5</v>
      </c>
      <c r="Y10" s="7">
        <f>'CALCULATOR SHEET'!J16</f>
        <v>70</v>
      </c>
      <c r="Z10" s="7">
        <f t="shared" si="0"/>
        <v>2</v>
      </c>
      <c r="AA10" s="7">
        <f t="shared" si="1"/>
        <v>9</v>
      </c>
      <c r="AB10" s="146">
        <f t="shared" si="2"/>
        <v>145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26.5</v>
      </c>
      <c r="Y11" s="7">
        <f>'CALCULATOR SHEET'!J17</f>
        <v>70</v>
      </c>
      <c r="Z11" s="7">
        <f t="shared" si="0"/>
        <v>2</v>
      </c>
      <c r="AA11" s="7">
        <f t="shared" si="1"/>
        <v>9</v>
      </c>
      <c r="AB11" s="146">
        <f t="shared" si="2"/>
        <v>145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10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50</v>
      </c>
      <c r="X7" s="7">
        <f>'CALCULATOR SHEET'!J13</f>
        <v>99</v>
      </c>
      <c r="Y7" s="7">
        <f>IF(W7=0,"",MATCH(CEILING(W7,6),$C$7:$Q$7,0))</f>
        <v>6</v>
      </c>
      <c r="Z7" s="7">
        <f>IF(X7=0,"",MATCH(CEILING(X7,6),$B$10:$B$26,0))</f>
        <v>14</v>
      </c>
      <c r="AA7" s="146">
        <f>IF(Y7="","",INDEX($C$10:$Q$26,Z7,Y7))</f>
        <v>312</v>
      </c>
    </row>
    <row r="8" spans="2:27">
      <c r="T8" s="386"/>
      <c r="V8" s="1">
        <f>+V7+1</f>
        <v>2</v>
      </c>
      <c r="W8" s="7">
        <f>'CALCULATOR SHEET'!I14</f>
        <v>70</v>
      </c>
      <c r="X8" s="7">
        <f>'CALCULATOR SHEET'!J14</f>
        <v>20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</v>
      </c>
      <c r="AA8" s="146">
        <f t="shared" ref="AA8:AA71" si="3">IF(Y8="","",INDEX($C$10:$Q$26,Z8,Y8))</f>
        <v>235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47.5</v>
      </c>
      <c r="X9" s="7">
        <f>'CALCULATOR SHEET'!J15</f>
        <v>99</v>
      </c>
      <c r="Y9" s="7">
        <f t="shared" si="1"/>
        <v>5</v>
      </c>
      <c r="Z9" s="7">
        <f t="shared" si="2"/>
        <v>14</v>
      </c>
      <c r="AA9" s="146">
        <f t="shared" si="3"/>
        <v>305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26.5</v>
      </c>
      <c r="X10" s="7">
        <f>'CALCULATOR SHEET'!J16</f>
        <v>70</v>
      </c>
      <c r="Y10" s="7">
        <f t="shared" si="1"/>
        <v>2</v>
      </c>
      <c r="Z10" s="7">
        <f t="shared" si="2"/>
        <v>9</v>
      </c>
      <c r="AA10" s="146">
        <f t="shared" si="3"/>
        <v>164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26.5</v>
      </c>
      <c r="X11" s="7">
        <f>'CALCULATOR SHEET'!J17</f>
        <v>70</v>
      </c>
      <c r="Y11" s="7">
        <f t="shared" si="1"/>
        <v>2</v>
      </c>
      <c r="Z11" s="7">
        <f t="shared" si="2"/>
        <v>9</v>
      </c>
      <c r="AA11" s="146">
        <f t="shared" si="3"/>
        <v>164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11</v>
      </c>
      <c r="J3" s="387"/>
      <c r="K3" s="387"/>
      <c r="L3" s="387"/>
      <c r="R3" s="34" t="s">
        <v>385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50</v>
      </c>
      <c r="X7" s="7">
        <f>'CALCULATOR SHEET'!J13</f>
        <v>99</v>
      </c>
      <c r="Y7" s="7">
        <f>IF(W7=0,"",MATCH(CEILING(W7,6),$C$7:$Q$7,0))</f>
        <v>6</v>
      </c>
      <c r="Z7" s="7">
        <f>IF(X7=0,"",MATCH(CEILING(X7,6),$B$10:$B$26,0))</f>
        <v>14</v>
      </c>
      <c r="AA7" s="146">
        <f>IF(Y7="","",INDEX($C$10:$Q$26,Z7,Y7))</f>
        <v>302</v>
      </c>
    </row>
    <row r="8" spans="2:27" ht="15" customHeight="1">
      <c r="T8" s="386"/>
      <c r="V8" s="1">
        <f>+V7+1</f>
        <v>2</v>
      </c>
      <c r="W8" s="7">
        <f>'CALCULATOR SHEET'!I14</f>
        <v>70</v>
      </c>
      <c r="X8" s="7">
        <f>'CALCULATOR SHEET'!J14</f>
        <v>20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</v>
      </c>
      <c r="AA8" s="146">
        <f t="shared" ref="AA8:AA71" si="3">IF(Y8="","",INDEX($C$10:$Q$26,Z8,Y8))</f>
        <v>225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47.5</v>
      </c>
      <c r="X9" s="7">
        <f>'CALCULATOR SHEET'!J15</f>
        <v>99</v>
      </c>
      <c r="Y9" s="7">
        <f t="shared" si="1"/>
        <v>5</v>
      </c>
      <c r="Z9" s="7">
        <f t="shared" si="2"/>
        <v>14</v>
      </c>
      <c r="AA9" s="146">
        <f t="shared" si="3"/>
        <v>295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26.5</v>
      </c>
      <c r="X10" s="7">
        <f>'CALCULATOR SHEET'!J16</f>
        <v>70</v>
      </c>
      <c r="Y10" s="7">
        <f t="shared" si="1"/>
        <v>2</v>
      </c>
      <c r="Z10" s="7">
        <f t="shared" si="2"/>
        <v>9</v>
      </c>
      <c r="AA10" s="146">
        <f t="shared" si="3"/>
        <v>157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26.5</v>
      </c>
      <c r="X11" s="7">
        <f>'CALCULATOR SHEET'!J17</f>
        <v>70</v>
      </c>
      <c r="Y11" s="7">
        <f t="shared" si="1"/>
        <v>2</v>
      </c>
      <c r="Z11" s="7">
        <f t="shared" si="2"/>
        <v>9</v>
      </c>
      <c r="AA11" s="146">
        <f t="shared" si="3"/>
        <v>157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12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50</v>
      </c>
      <c r="X7" s="7">
        <f>'CALCULATOR SHEET'!J13</f>
        <v>99</v>
      </c>
      <c r="Y7" s="7">
        <f>IF(W7=0,"",MATCH(CEILING(W7,6),$C$7:$Q$7,0))</f>
        <v>6</v>
      </c>
      <c r="Z7" s="7">
        <f>IF(X7=0,"",MATCH(CEILING(X7,6),$B$10:$B$26,0))</f>
        <v>14</v>
      </c>
      <c r="AA7" s="146">
        <f>IF(Y7="","",INDEX($C$10:$Q$26,Z7,Y7))</f>
        <v>395</v>
      </c>
    </row>
    <row r="8" spans="2:27" ht="15" customHeight="1">
      <c r="T8" s="386"/>
      <c r="V8" s="1">
        <f>+V7+1</f>
        <v>2</v>
      </c>
      <c r="W8" s="7">
        <f>'CALCULATOR SHEET'!I14</f>
        <v>70</v>
      </c>
      <c r="X8" s="7">
        <f>'CALCULATOR SHEET'!J14</f>
        <v>20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</v>
      </c>
      <c r="AA8" s="146">
        <f t="shared" ref="AA8:AA71" si="3">IF(Y8="","",INDEX($C$10:$Q$26,Z8,Y8))</f>
        <v>278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47.5</v>
      </c>
      <c r="X9" s="7">
        <f>'CALCULATOR SHEET'!J15</f>
        <v>99</v>
      </c>
      <c r="Y9" s="7">
        <f t="shared" si="1"/>
        <v>5</v>
      </c>
      <c r="Z9" s="7">
        <f t="shared" si="2"/>
        <v>14</v>
      </c>
      <c r="AA9" s="146">
        <f t="shared" si="3"/>
        <v>388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26.5</v>
      </c>
      <c r="X10" s="7">
        <f>'CALCULATOR SHEET'!J16</f>
        <v>70</v>
      </c>
      <c r="Y10" s="7">
        <f t="shared" si="1"/>
        <v>2</v>
      </c>
      <c r="Z10" s="7">
        <f t="shared" si="2"/>
        <v>9</v>
      </c>
      <c r="AA10" s="146">
        <f t="shared" si="3"/>
        <v>203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26.5</v>
      </c>
      <c r="X11" s="7">
        <f>'CALCULATOR SHEET'!J17</f>
        <v>70</v>
      </c>
      <c r="Y11" s="7">
        <f t="shared" si="1"/>
        <v>2</v>
      </c>
      <c r="Z11" s="7">
        <f t="shared" si="2"/>
        <v>9</v>
      </c>
      <c r="AA11" s="146">
        <f t="shared" si="3"/>
        <v>203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13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50</v>
      </c>
      <c r="X7" s="7">
        <f>'CALCULATOR SHEET'!J13</f>
        <v>99</v>
      </c>
      <c r="Y7" s="7">
        <f>IF(W7=0,"",MATCH(CEILING(W7,6),$C$7:$Q$7,0))</f>
        <v>6</v>
      </c>
      <c r="Z7" s="7">
        <f>IF(X7=0,"",MATCH(CEILING(X7,6),$B$10:$B$26,0))</f>
        <v>14</v>
      </c>
      <c r="AA7" s="146">
        <f>IF(Y7="","",INDEX($C$10:$Q$26,Z7,Y7))</f>
        <v>415</v>
      </c>
    </row>
    <row r="8" spans="2:27" ht="15" customHeight="1">
      <c r="T8" s="386"/>
      <c r="V8" s="1">
        <f>+V7+1</f>
        <v>2</v>
      </c>
      <c r="W8" s="7">
        <f>'CALCULATOR SHEET'!I14</f>
        <v>70</v>
      </c>
      <c r="X8" s="7">
        <f>'CALCULATOR SHEET'!J14</f>
        <v>20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</v>
      </c>
      <c r="AA8" s="146">
        <f t="shared" ref="AA8:AA71" si="3">IF(Y8="","",INDEX($C$10:$Q$26,Z8,Y8))</f>
        <v>288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47.5</v>
      </c>
      <c r="X9" s="7">
        <f>'CALCULATOR SHEET'!J15</f>
        <v>99</v>
      </c>
      <c r="Y9" s="7">
        <f t="shared" si="1"/>
        <v>5</v>
      </c>
      <c r="Z9" s="7">
        <f t="shared" si="2"/>
        <v>14</v>
      </c>
      <c r="AA9" s="146">
        <f t="shared" si="3"/>
        <v>406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26.5</v>
      </c>
      <c r="X10" s="7">
        <f>'CALCULATOR SHEET'!J16</f>
        <v>70</v>
      </c>
      <c r="Y10" s="7">
        <f t="shared" si="1"/>
        <v>2</v>
      </c>
      <c r="Z10" s="7">
        <f t="shared" si="2"/>
        <v>9</v>
      </c>
      <c r="AA10" s="146">
        <f t="shared" si="3"/>
        <v>211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26.5</v>
      </c>
      <c r="X11" s="7">
        <f>'CALCULATOR SHEET'!J17</f>
        <v>70</v>
      </c>
      <c r="Y11" s="7">
        <f t="shared" si="1"/>
        <v>2</v>
      </c>
      <c r="Z11" s="7">
        <f t="shared" si="2"/>
        <v>9</v>
      </c>
      <c r="AA11" s="146">
        <f t="shared" si="3"/>
        <v>211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7" t="s">
        <v>295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50</v>
      </c>
      <c r="X7" s="7">
        <f>'CALCULATOR SHEET'!J13</f>
        <v>99</v>
      </c>
      <c r="Y7" s="7">
        <f>IF(W7=0,"",MATCH(CEILING(W7,6),$C$7:$Q$7,0))</f>
        <v>6</v>
      </c>
      <c r="Z7" s="7">
        <f>IF(X7=0,"",MATCH(CEILING(X7,6),$B$10:$B$26,0))</f>
        <v>14</v>
      </c>
      <c r="AA7" s="146">
        <f>IF(Y7="","",INDEX($C$10:$Q$26,Z7,Y7))</f>
        <v>406</v>
      </c>
    </row>
    <row r="8" spans="2:27" ht="15" customHeight="1">
      <c r="T8" s="386"/>
      <c r="V8" s="1">
        <f>+V7+1</f>
        <v>2</v>
      </c>
      <c r="W8" s="7">
        <f>'CALCULATOR SHEET'!I14</f>
        <v>70</v>
      </c>
      <c r="X8" s="7">
        <f>'CALCULATOR SHEET'!J14</f>
        <v>20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</v>
      </c>
      <c r="AA8" s="146">
        <f t="shared" ref="AA8:AA71" si="3">IF(Y8="","",INDEX($C$10:$Q$26,Z8,Y8))</f>
        <v>273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47.5</v>
      </c>
      <c r="X9" s="7">
        <f>'CALCULATOR SHEET'!J15</f>
        <v>99</v>
      </c>
      <c r="Y9" s="7">
        <f t="shared" si="1"/>
        <v>5</v>
      </c>
      <c r="Z9" s="7">
        <f t="shared" si="2"/>
        <v>14</v>
      </c>
      <c r="AA9" s="146">
        <f t="shared" si="3"/>
        <v>399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26.5</v>
      </c>
      <c r="X10" s="7">
        <f>'CALCULATOR SHEET'!J16</f>
        <v>70</v>
      </c>
      <c r="Y10" s="7">
        <f t="shared" si="1"/>
        <v>2</v>
      </c>
      <c r="Z10" s="7">
        <f t="shared" si="2"/>
        <v>9</v>
      </c>
      <c r="AA10" s="146">
        <f t="shared" si="3"/>
        <v>205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26.5</v>
      </c>
      <c r="X11" s="7">
        <f>'CALCULATOR SHEET'!J17</f>
        <v>70</v>
      </c>
      <c r="Y11" s="7">
        <f t="shared" si="1"/>
        <v>2</v>
      </c>
      <c r="Z11" s="7">
        <f t="shared" si="2"/>
        <v>9</v>
      </c>
      <c r="AA11" s="146">
        <f t="shared" si="3"/>
        <v>205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8" t="s">
        <v>104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33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</row>
    <row r="3" spans="1:33" ht="15.75" thickBot="1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50</v>
      </c>
      <c r="Y5" s="7">
        <f>'PM-ORDER'!P5</f>
        <v>99</v>
      </c>
      <c r="Z5" s="7">
        <f>IF(X5&lt;&gt;"",MATCH(CEILING(X5,6),$C$4:$S$4,0),"")</f>
        <v>6</v>
      </c>
      <c r="AA5" s="7">
        <f>IF(X5&lt;&gt;"",MATCH(CEILING(Y5,6),$B$7:$B$26,0),"")</f>
        <v>14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70</v>
      </c>
      <c r="Y6" s="7">
        <f>'PM-ORDER'!P6</f>
        <v>20</v>
      </c>
      <c r="Z6" s="7">
        <f t="shared" ref="Z6:Z44" si="0">IF(X6&lt;&gt;"",MATCH(CEILING(X6,6),$C$4:$S$4,0),"")</f>
        <v>9</v>
      </c>
      <c r="AA6" s="7">
        <f t="shared" ref="AA6:AA44" si="1">IF(X6&lt;&gt;"",MATCH(CEILING(Y6,6),$B$7:$B$26,0),"")</f>
        <v>1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47.5</v>
      </c>
      <c r="Y7" s="7">
        <f>'PM-ORDER'!P7</f>
        <v>99</v>
      </c>
      <c r="Z7" s="7">
        <f t="shared" si="0"/>
        <v>5</v>
      </c>
      <c r="AA7" s="7">
        <f t="shared" si="1"/>
        <v>14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26.5</v>
      </c>
      <c r="Y8" s="7">
        <f>'PM-ORDER'!P8</f>
        <v>70</v>
      </c>
      <c r="Z8" s="7">
        <f t="shared" si="0"/>
        <v>2</v>
      </c>
      <c r="AA8" s="7">
        <f t="shared" si="1"/>
        <v>9</v>
      </c>
      <c r="AC8" s="7" t="str">
        <f>IF('PM-ORDER'!G8="ROLLER",INDEX($C$7:$S$26,AA8,Z8),"")</f>
        <v>RL-MAN -BSCH</v>
      </c>
      <c r="AF8" s="7" t="str">
        <f>IF('PM-ORDER'!G8="ZEBRA",INDEX($C$35:$S$54,AA8,Z8),"")</f>
        <v/>
      </c>
      <c r="AG8" s="1" t="str">
        <f t="shared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26.5</v>
      </c>
      <c r="Y9" s="7">
        <f>'PM-ORDER'!P9</f>
        <v>70</v>
      </c>
      <c r="Z9" s="7">
        <f t="shared" si="0"/>
        <v>2</v>
      </c>
      <c r="AA9" s="7">
        <f t="shared" si="1"/>
        <v>9</v>
      </c>
      <c r="AC9" s="7" t="str">
        <f>IF('PM-ORDER'!G9="ROLLER",INDEX($C$7:$S$26,AA9,Z9),"")</f>
        <v>RL-MAN -BSCH</v>
      </c>
      <c r="AF9" s="7" t="str">
        <f>IF('PM-ORDER'!G9="ZEBRA",INDEX($C$35:$S$54,AA9,Z9),"")</f>
        <v/>
      </c>
      <c r="AG9" s="1" t="str">
        <f t="shared" si="2"/>
        <v>RL-MAN -BSCH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8" t="s">
        <v>93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6"/>
      <c r="T11" s="366"/>
      <c r="U11" s="366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6"/>
      <c r="T14" s="366"/>
      <c r="U14" s="366"/>
      <c r="W14" s="366"/>
      <c r="X14" s="366"/>
      <c r="Y14" s="366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6"/>
      <c r="T20" s="366"/>
      <c r="U20" s="366"/>
      <c r="W20" s="366"/>
      <c r="X20" s="366"/>
      <c r="Y20" s="366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2" t="s">
        <v>90</v>
      </c>
      <c r="I82" s="372"/>
      <c r="J82" s="372" t="s">
        <v>440</v>
      </c>
      <c r="K82" s="372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2" t="s">
        <v>88</v>
      </c>
      <c r="F84" s="372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3" t="s">
        <v>214</v>
      </c>
      <c r="V1" s="373"/>
      <c r="AG1" s="375" t="s">
        <v>218</v>
      </c>
      <c r="AH1" s="376"/>
      <c r="AI1" s="376"/>
      <c r="AJ1" s="376"/>
      <c r="AK1" s="376"/>
      <c r="AL1" s="376"/>
      <c r="AM1" s="376"/>
      <c r="AN1" s="376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45965</v>
      </c>
      <c r="H2" s="223"/>
      <c r="U2" s="373"/>
      <c r="V2" s="373"/>
      <c r="AG2" s="377"/>
      <c r="AH2" s="378"/>
      <c r="AI2" s="378"/>
      <c r="AJ2" s="378"/>
      <c r="AK2" s="378"/>
      <c r="AL2" s="378"/>
      <c r="AM2" s="378"/>
      <c r="AN2" s="378"/>
      <c r="AO2" s="294"/>
    </row>
    <row r="3" spans="2:41" ht="15" customHeight="1">
      <c r="C3" s="223" t="s">
        <v>160</v>
      </c>
      <c r="G3" s="226"/>
      <c r="I3" s="34">
        <v>0</v>
      </c>
      <c r="U3" s="374"/>
      <c r="V3" s="374"/>
      <c r="AG3" s="379"/>
      <c r="AH3" s="380"/>
      <c r="AI3" s="380"/>
      <c r="AJ3" s="380"/>
      <c r="AK3" s="380"/>
      <c r="AL3" s="380"/>
      <c r="AM3" s="380"/>
      <c r="AN3" s="380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BS 101525EG-1 PESOS</v>
      </c>
      <c r="D5" s="229">
        <f>IF('CALCULATOR SHEET'!D13&lt;&gt;"",'CALCULATOR SHEET'!$T$9,"")</f>
        <v>45945</v>
      </c>
      <c r="E5" s="230" t="str">
        <f>IF(D5&lt;&gt;"","BAJA SHADES","")</f>
        <v>BAJA SHADES</v>
      </c>
      <c r="F5" s="231" t="str">
        <f>IF(C5&lt;&gt;"",'CALCULATOR SHEET'!$D$9,"")</f>
        <v>VF MEXICO</v>
      </c>
      <c r="G5" s="231" t="str">
        <f>IF('CALCULATOR SHEET'!D13&lt;&gt;"",'CALCULATOR SHEET'!D13,"")</f>
        <v>ROLLER</v>
      </c>
      <c r="H5" s="231" t="str">
        <f>IF(Q5="CCL",BOMS!AG5,"")</f>
        <v>RL-MAN-BSMD</v>
      </c>
      <c r="I5" s="230">
        <v>1</v>
      </c>
      <c r="J5" s="231" t="str">
        <f>IF(C5&lt;&gt;"",'CALCULATOR SHEET'!K13,"")</f>
        <v>PLASTIC CHAIN WHITE</v>
      </c>
      <c r="K5" s="231" t="str">
        <f>IF(J5=GENERAL!$H$6,GENERAL!$H$6,IF(J5=GENERAL!$H$7,GENERAL!$H$7,IF('PM-ORDER'!J5=GENERAL!$H$8,GENERAL!$H$8,"")))</f>
        <v>PLASTIC CHAIN WHITE</v>
      </c>
      <c r="L5" s="231" t="str">
        <f>IF(C5&lt;&gt;"",'CALCULATOR SHEET'!G13,"")</f>
        <v>BO LONGBEACH BLANCO</v>
      </c>
      <c r="M5" s="231" t="str">
        <f>IF(C5&lt;&gt;"",'CALCULATOR SHEET'!O13,"")</f>
        <v>STANDARD ROLL</v>
      </c>
      <c r="N5" s="231" t="str">
        <f>IF(C5&lt;&gt;"",'CALCULATOR SHEET'!H13,"")</f>
        <v>LATERAL IZQ</v>
      </c>
      <c r="O5" s="233">
        <f>IF(D5&lt;&gt;"",'CALCULATOR SHEET'!I13,"")</f>
        <v>50</v>
      </c>
      <c r="P5" s="233">
        <f>IF(E5&lt;&gt;"",'CALCULATOR SHEET'!J13,"")</f>
        <v>99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PLAZA CHULA VISTA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BS 101525EG-1 PESOS</v>
      </c>
      <c r="D6" s="229">
        <f>IF('CALCULATOR SHEET'!D14&lt;&gt;"",'CALCULATOR SHEET'!$T$9,"")</f>
        <v>45945</v>
      </c>
      <c r="E6" s="230" t="str">
        <f t="shared" ref="E6:E69" si="0">IF(D6&lt;&gt;"","BAJA SHADES","")</f>
        <v>BAJA SHADES</v>
      </c>
      <c r="F6" s="231" t="str">
        <f>IF(C6&lt;&gt;"",'CALCULATOR SHEET'!$D$9,"")</f>
        <v>VF MEXICO</v>
      </c>
      <c r="G6" s="231" t="str">
        <f>IF('CALCULATOR SHEET'!D14&lt;&gt;"",'CALCULATOR SHEET'!D14,"")</f>
        <v>ROLLER</v>
      </c>
      <c r="H6" s="231" t="str">
        <f>IF(Q6="CCL",BOMS!AG6,"")</f>
        <v>RL-MAN -BSCH</v>
      </c>
      <c r="I6" s="230">
        <v>1</v>
      </c>
      <c r="J6" s="231" t="str">
        <f>IF(C6&lt;&gt;"",'CALCULATOR SHEET'!K14,"")</f>
        <v>PLASTIC CHAIN WHITE</v>
      </c>
      <c r="K6" s="231" t="str">
        <f>IF(J6=GENERAL!$H$6,GENERAL!$H$6,IF(J6=GENERAL!$H$7,GENERAL!$H$7,IF('PM-ORDER'!J6=GENERAL!$H$8,GENERAL!$H$8,"")))</f>
        <v>PLASTIC CHAIN WHITE</v>
      </c>
      <c r="L6" s="231" t="str">
        <f>IF(C6&lt;&gt;"",'CALCULATOR SHEET'!G14,"")</f>
        <v>BO LONGBEACH BLANCO</v>
      </c>
      <c r="M6" s="231" t="str">
        <f>IF(C6&lt;&gt;"",'CALCULATOR SHEET'!O14,"")</f>
        <v>STANDARD ROLL</v>
      </c>
      <c r="N6" s="231" t="str">
        <f>IF(C6&lt;&gt;"",'CALCULATOR SHEET'!H14,"")</f>
        <v xml:space="preserve">CENTRO </v>
      </c>
      <c r="O6" s="233">
        <f>IF(D6&lt;&gt;"",'CALCULATOR SHEET'!I14,"")</f>
        <v>70</v>
      </c>
      <c r="P6" s="233">
        <f>IF(E6&lt;&gt;"",'CALCULATOR SHEET'!J14,"")</f>
        <v>20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PLAZA CHULA VISTA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BS 101525EG-1 PESOS</v>
      </c>
      <c r="D7" s="229">
        <f>IF('CALCULATOR SHEET'!D15&lt;&gt;"",'CALCULATOR SHEET'!$T$9,"")</f>
        <v>45945</v>
      </c>
      <c r="E7" s="230" t="str">
        <f t="shared" si="0"/>
        <v>BAJA SHADES</v>
      </c>
      <c r="F7" s="231" t="str">
        <f>IF(C7&lt;&gt;"",'CALCULATOR SHEET'!$D$9,"")</f>
        <v>VF MEXICO</v>
      </c>
      <c r="G7" s="231" t="str">
        <f>IF('CALCULATOR SHEET'!D15&lt;&gt;"",'CALCULATOR SHEET'!D15,"")</f>
        <v>ROLLER</v>
      </c>
      <c r="H7" s="231" t="str">
        <f>IF(Q7="CCL",BOMS!AG7,"")</f>
        <v>RL-MAN-BSMD</v>
      </c>
      <c r="I7" s="230">
        <v>1</v>
      </c>
      <c r="J7" s="231" t="str">
        <f>IF(C7&lt;&gt;"",'CALCULATOR SHEET'!K15,"")</f>
        <v>PLASTIC CHAIN WHITE</v>
      </c>
      <c r="K7" s="231" t="str">
        <f>IF(J7=GENERAL!$H$6,GENERAL!$H$6,IF(J7=GENERAL!$H$7,GENERAL!$H$7,IF('PM-ORDER'!J7=GENERAL!$H$8,GENERAL!$H$8,"")))</f>
        <v>PLASTIC CHAIN WHITE</v>
      </c>
      <c r="L7" s="231" t="str">
        <f>IF(C7&lt;&gt;"",'CALCULATOR SHEET'!G15,"")</f>
        <v>BO LONGBEACH BLANCO</v>
      </c>
      <c r="M7" s="231" t="str">
        <f>IF(C7&lt;&gt;"",'CALCULATOR SHEET'!O15,"")</f>
        <v>STANDARD ROLL</v>
      </c>
      <c r="N7" s="231" t="str">
        <f>IF(C7&lt;&gt;"",'CALCULATOR SHEET'!H15,"")</f>
        <v>LATERAL DERECHO</v>
      </c>
      <c r="O7" s="233">
        <f>IF(D7&lt;&gt;"",'CALCULATOR SHEET'!I15,"")</f>
        <v>47.5</v>
      </c>
      <c r="P7" s="233">
        <f>IF(E7&lt;&gt;"",'CALCULATOR SHEET'!J15,"")</f>
        <v>99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R</v>
      </c>
      <c r="S7" s="230" t="str">
        <f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>PLAZA CHULA VISTA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BS 101525EG-1 PESOS</v>
      </c>
      <c r="D8" s="229">
        <f>IF('CALCULATOR SHEET'!D16&lt;&gt;"",'CALCULATOR SHEET'!$T$9,"")</f>
        <v>45945</v>
      </c>
      <c r="E8" s="230" t="str">
        <f t="shared" si="0"/>
        <v>BAJA SHADES</v>
      </c>
      <c r="F8" s="231" t="str">
        <f>IF(C8&lt;&gt;"",'CALCULATOR SHEET'!$D$9,"")</f>
        <v>VF MEXICO</v>
      </c>
      <c r="G8" s="231" t="str">
        <f>IF('CALCULATOR SHEET'!D16&lt;&gt;"",'CALCULATOR SHEET'!D16,"")</f>
        <v>ROLLER</v>
      </c>
      <c r="H8" s="231" t="str">
        <f>IF(Q8="CCL",BOMS!AG8,"")</f>
        <v>RL-MAN -BSCH</v>
      </c>
      <c r="I8" s="230">
        <v>1</v>
      </c>
      <c r="J8" s="231" t="str">
        <f>IF(C8&lt;&gt;"",'CALCULATOR SHEET'!K16,"")</f>
        <v>PLASTIC CHAIN WHITE</v>
      </c>
      <c r="K8" s="231" t="str">
        <f>IF(J8=GENERAL!$H$6,GENERAL!$H$6,IF(J8=GENERAL!$H$7,GENERAL!$H$7,IF('PM-ORDER'!J8=GENERAL!$H$8,GENERAL!$H$8,"")))</f>
        <v>PLASTIC CHAIN WHITE</v>
      </c>
      <c r="L8" s="231" t="str">
        <f>IF(C8&lt;&gt;"",'CALCULATOR SHEET'!G16,"")</f>
        <v>SCREEN WHITE</v>
      </c>
      <c r="M8" s="231" t="str">
        <f>IF(C8&lt;&gt;"",'CALCULATOR SHEET'!O16,"")</f>
        <v>STANDARD ROLL</v>
      </c>
      <c r="N8" s="231" t="str">
        <f>IF(C8&lt;&gt;"",'CALCULATOR SHEET'!H16,"")</f>
        <v>PUERTA A</v>
      </c>
      <c r="O8" s="233">
        <f>IF(D8&lt;&gt;"",'CALCULATOR SHEET'!I16,"")</f>
        <v>26.5</v>
      </c>
      <c r="P8" s="233">
        <f>IF(E8&lt;&gt;"",'CALCULATOR SHEET'!J16,"")</f>
        <v>70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L</v>
      </c>
      <c r="S8" s="230" t="str">
        <f>IF(D8&lt;&gt;"",'CALCULATOR SHEET'!N16,"")</f>
        <v>OUTSIDE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>PLAZA CHULA VISTA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BS 101525EG-1 PESOS</v>
      </c>
      <c r="D9" s="229">
        <f>IF('CALCULATOR SHEET'!D17&lt;&gt;"",'CALCULATOR SHEET'!$T$9,"")</f>
        <v>45945</v>
      </c>
      <c r="E9" s="230" t="str">
        <f t="shared" si="0"/>
        <v>BAJA SHADES</v>
      </c>
      <c r="F9" s="231" t="str">
        <f>IF(C9&lt;&gt;"",'CALCULATOR SHEET'!$D$9,"")</f>
        <v>VF MEXICO</v>
      </c>
      <c r="G9" s="231" t="str">
        <f>IF('CALCULATOR SHEET'!D17&lt;&gt;"",'CALCULATOR SHEET'!D17,"")</f>
        <v>ROLLER</v>
      </c>
      <c r="H9" s="231" t="str">
        <f>IF(Q9="CCL",BOMS!AG9,"")</f>
        <v>RL-MAN -BSCH</v>
      </c>
      <c r="I9" s="230">
        <v>1</v>
      </c>
      <c r="J9" s="231" t="str">
        <f>IF(C9&lt;&gt;"",'CALCULATOR SHEET'!K17,"")</f>
        <v>PLASTIC CHAIN WHITE</v>
      </c>
      <c r="K9" s="231" t="str">
        <f>IF(J9=GENERAL!$H$6,GENERAL!$H$6,IF(J9=GENERAL!$H$7,GENERAL!$H$7,IF('PM-ORDER'!J9=GENERAL!$H$8,GENERAL!$H$8,"")))</f>
        <v>PLASTIC CHAIN WHITE</v>
      </c>
      <c r="L9" s="231" t="str">
        <f>IF(C9&lt;&gt;"",'CALCULATOR SHEET'!G17,"")</f>
        <v>SCREEN WHITE</v>
      </c>
      <c r="M9" s="231" t="str">
        <f>IF(C9&lt;&gt;"",'CALCULATOR SHEET'!O17,"")</f>
        <v>STANDARD ROLL</v>
      </c>
      <c r="N9" s="231" t="str">
        <f>IF(C9&lt;&gt;"",'CALCULATOR SHEET'!H17,"")</f>
        <v>PUERTA B</v>
      </c>
      <c r="O9" s="233">
        <f>IF(D9&lt;&gt;"",'CALCULATOR SHEET'!I17,"")</f>
        <v>26.5</v>
      </c>
      <c r="P9" s="233">
        <f>IF(E9&lt;&gt;"",'CALCULATOR SHEET'!J17,"")</f>
        <v>70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R</v>
      </c>
      <c r="S9" s="230" t="str">
        <f>IF(D9&lt;&gt;"",'CALCULATOR SHEET'!N17,"")</f>
        <v>OUTSIDE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>PLAZA CHULA VISTA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1" t="s">
        <v>104</v>
      </c>
      <c r="D2" s="381"/>
      <c r="F2" s="381" t="s">
        <v>89</v>
      </c>
      <c r="G2" s="381"/>
      <c r="I2" s="381" t="s">
        <v>93</v>
      </c>
      <c r="J2" s="381"/>
    </row>
    <row r="3" spans="3:10">
      <c r="C3" s="381"/>
      <c r="D3" s="381"/>
      <c r="F3" s="381"/>
      <c r="G3" s="381"/>
      <c r="I3" s="381"/>
      <c r="J3" s="381"/>
    </row>
    <row r="4" spans="3:10">
      <c r="C4" s="381"/>
      <c r="D4" s="381"/>
      <c r="F4" s="381"/>
      <c r="G4" s="381"/>
      <c r="I4" s="381"/>
      <c r="J4" s="381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3" t="s">
        <v>60</v>
      </c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3"/>
      <c r="BO4" s="383"/>
      <c r="BP4" s="383"/>
      <c r="BQ4" s="383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50</v>
      </c>
      <c r="AK7" s="36">
        <f>'CALCULATOR SHEET'!J13</f>
        <v>99</v>
      </c>
      <c r="AL7" s="36">
        <f>IF(AJ7=0,"",MATCH(CEILING(AJ7,6),$D$4:$Z$4,0))</f>
        <v>6</v>
      </c>
      <c r="AM7" s="36">
        <f>IF(AK7=0,"",MATCH(CEILING(AK7,6),$C$7:$C$28,0))</f>
        <v>14</v>
      </c>
      <c r="AN7" s="57">
        <f>IF(AL7="","",INDEX($D$7:$Z$28,AM7,AL7))</f>
        <v>157</v>
      </c>
      <c r="AO7" s="58"/>
      <c r="AP7" s="57">
        <f>IF(AJ7&gt;0,HLOOKUP(CEILING(AJ7,6),$D$30:$Z$31,2,0),"")</f>
        <v>65</v>
      </c>
      <c r="AQ7" s="57">
        <f>IF(AJ7&gt;0,HLOOKUP(CEILING(AJ7,6),$D$33:$Z$34,2,0),"")</f>
        <v>65</v>
      </c>
      <c r="AR7" s="59">
        <f>IF(AJ7&gt;0,HLOOKUP(CEILING(AJ7,6),$D$36:$Z$37,2,0))</f>
        <v>33</v>
      </c>
      <c r="AS7" s="57">
        <f>IF(AL7="","",INDEX($AX$6:$BT$27,AM7,AL7))</f>
        <v>550</v>
      </c>
      <c r="AT7" s="37">
        <f>IF(AK7&gt;0,VLOOKUP(CEILING(AK7,6),$AA$7:$AB$28,2,0),"")</f>
        <v>85</v>
      </c>
      <c r="AU7" s="109">
        <f>IF(AK7&gt;0,VLOOKUP(CEILING(AK7,6),$AA$7:$AC$28,3,0),"")</f>
        <v>12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70</v>
      </c>
      <c r="AK8" s="36">
        <f>'CALCULATOR SHEET'!J14</f>
        <v>20</v>
      </c>
      <c r="AL8" s="36">
        <f t="shared" ref="AL8:AL71" si="0">IF(AJ8=0,"",MATCH(CEILING(AJ8,6),$D$4:$Z$4,0))</f>
        <v>9</v>
      </c>
      <c r="AM8" s="36">
        <f t="shared" ref="AM8:AM71" si="1">IF(AK8=0,"",MATCH(CEILING(AK8,6),$C$7:$C$28,0))</f>
        <v>1</v>
      </c>
      <c r="AN8" s="57">
        <f t="shared" ref="AN8:AN71" si="2">IF(AL8="","",INDEX($D$7:$Z$28,AM8,AL8))</f>
        <v>100</v>
      </c>
      <c r="AO8" s="58"/>
      <c r="AP8" s="57">
        <f t="shared" ref="AP8:AP71" si="3">IF(AJ8&gt;0,HLOOKUP(CEILING(AJ8,6),$D$30:$Z$31,2,0),"")</f>
        <v>74</v>
      </c>
      <c r="AQ8" s="57">
        <f t="shared" ref="AQ8:AQ71" si="4">IF(AJ8&gt;0,HLOOKUP(CEILING(AJ8,6),$D$33:$Z$34,2,0),"")</f>
        <v>81</v>
      </c>
      <c r="AR8" s="59">
        <f t="shared" ref="AR8:AR71" si="5">IF(AJ8&gt;0,HLOOKUP(CEILING(AJ8,6),$D$36:$Z$37,2,0))</f>
        <v>44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20</v>
      </c>
      <c r="AU8" s="109">
        <f t="shared" ref="AU8:AU71" si="8">IF(AK8&gt;0,VLOOKUP(CEILING(AK8,6),$AA$7:$AC$28,3,0),"")</f>
        <v>5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47.5</v>
      </c>
      <c r="AK9" s="36">
        <f>'CALCULATOR SHEET'!J15</f>
        <v>99</v>
      </c>
      <c r="AL9" s="36">
        <f t="shared" si="0"/>
        <v>5</v>
      </c>
      <c r="AM9" s="36">
        <f t="shared" si="1"/>
        <v>14</v>
      </c>
      <c r="AN9" s="57">
        <f t="shared" si="2"/>
        <v>146</v>
      </c>
      <c r="AO9" s="58"/>
      <c r="AP9" s="57">
        <f t="shared" si="3"/>
        <v>62</v>
      </c>
      <c r="AQ9" s="57">
        <f t="shared" si="4"/>
        <v>56</v>
      </c>
      <c r="AR9" s="59">
        <f t="shared" si="5"/>
        <v>30</v>
      </c>
      <c r="AS9" s="57">
        <f t="shared" si="6"/>
        <v>550</v>
      </c>
      <c r="AT9" s="37">
        <f t="shared" si="7"/>
        <v>85</v>
      </c>
      <c r="AU9" s="109">
        <f t="shared" si="8"/>
        <v>12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26.5</v>
      </c>
      <c r="AK10" s="36">
        <f>'CALCULATOR SHEET'!J16</f>
        <v>70</v>
      </c>
      <c r="AL10" s="36">
        <f t="shared" si="0"/>
        <v>2</v>
      </c>
      <c r="AM10" s="36">
        <f t="shared" si="1"/>
        <v>9</v>
      </c>
      <c r="AN10" s="57">
        <f t="shared" si="2"/>
        <v>89</v>
      </c>
      <c r="AO10" s="58"/>
      <c r="AP10" s="57">
        <f t="shared" si="3"/>
        <v>54</v>
      </c>
      <c r="AQ10" s="57">
        <f t="shared" si="4"/>
        <v>40</v>
      </c>
      <c r="AR10" s="59">
        <f t="shared" si="5"/>
        <v>19</v>
      </c>
      <c r="AS10" s="57">
        <f t="shared" si="6"/>
        <v>471</v>
      </c>
      <c r="AT10" s="37">
        <f t="shared" si="7"/>
        <v>60</v>
      </c>
      <c r="AU10" s="109">
        <f t="shared" si="8"/>
        <v>9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26.5</v>
      </c>
      <c r="AK11" s="36">
        <f>'CALCULATOR SHEET'!J17</f>
        <v>70</v>
      </c>
      <c r="AL11" s="36">
        <f t="shared" si="0"/>
        <v>2</v>
      </c>
      <c r="AM11" s="36">
        <f t="shared" si="1"/>
        <v>9</v>
      </c>
      <c r="AN11" s="57">
        <f t="shared" si="2"/>
        <v>89</v>
      </c>
      <c r="AO11" s="58"/>
      <c r="AP11" s="57">
        <f t="shared" si="3"/>
        <v>54</v>
      </c>
      <c r="AQ11" s="57">
        <f t="shared" si="4"/>
        <v>40</v>
      </c>
      <c r="AR11" s="59">
        <f t="shared" si="5"/>
        <v>19</v>
      </c>
      <c r="AS11" s="57">
        <f t="shared" si="6"/>
        <v>471</v>
      </c>
      <c r="AT11" s="37">
        <f t="shared" si="7"/>
        <v>60</v>
      </c>
      <c r="AU11" s="109">
        <f t="shared" si="8"/>
        <v>9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50</v>
      </c>
      <c r="AK7" s="53">
        <f>'CALCULATOR SHEET'!J13</f>
        <v>99</v>
      </c>
      <c r="AL7" s="53">
        <f>IF(AJ7=0,"",MATCH(CEILING(AJ7,6),$D$4:$Z$4,0))</f>
        <v>6</v>
      </c>
      <c r="AM7" s="53">
        <f>IF(AK7=0,"",MATCH(CEILING(AK7,6),$C$7:$C$28,0))</f>
        <v>14</v>
      </c>
      <c r="AN7" s="54">
        <f>IF(AL7="","",INDEX($D$7:$Z$28,AM7,AL7))</f>
        <v>168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70</v>
      </c>
      <c r="AK8" s="53">
        <f>'CALCULATOR SHEET'!J14</f>
        <v>20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</v>
      </c>
      <c r="AN8" s="54">
        <f t="shared" ref="AN8:AN71" si="2">IF(AL8="","",INDEX($D$7:$Z$28,AM8,AL8))</f>
        <v>105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47.5</v>
      </c>
      <c r="AK9" s="53">
        <f>'CALCULATOR SHEET'!J15</f>
        <v>99</v>
      </c>
      <c r="AL9" s="53">
        <f t="shared" si="0"/>
        <v>5</v>
      </c>
      <c r="AM9" s="53">
        <f t="shared" si="1"/>
        <v>14</v>
      </c>
      <c r="AN9" s="54">
        <f t="shared" si="2"/>
        <v>156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26.5</v>
      </c>
      <c r="AK10" s="53">
        <f>'CALCULATOR SHEET'!J16</f>
        <v>70</v>
      </c>
      <c r="AL10" s="53">
        <f t="shared" si="0"/>
        <v>2</v>
      </c>
      <c r="AM10" s="53">
        <f t="shared" si="1"/>
        <v>9</v>
      </c>
      <c r="AN10" s="54">
        <f t="shared" si="2"/>
        <v>93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26.5</v>
      </c>
      <c r="AK11" s="53">
        <f>'CALCULATOR SHEET'!J17</f>
        <v>70</v>
      </c>
      <c r="AL11" s="53">
        <f t="shared" si="0"/>
        <v>2</v>
      </c>
      <c r="AM11" s="53">
        <f t="shared" si="1"/>
        <v>9</v>
      </c>
      <c r="AN11" s="54">
        <f t="shared" si="2"/>
        <v>93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50</v>
      </c>
      <c r="AK7" s="53">
        <f>'CALCULATOR SHEET'!J13</f>
        <v>99</v>
      </c>
      <c r="AL7" s="53">
        <f t="shared" ref="AL7:AL70" si="0">IF(AJ7=0,"",MATCH(CEILING(AJ7,6),$D$4:$Z$4,0))</f>
        <v>6</v>
      </c>
      <c r="AM7" s="53">
        <f>IF(AK7=0,"",MATCH(CEILING(AK7,6),$C$7:$C$28,0))</f>
        <v>14</v>
      </c>
      <c r="AN7" s="54">
        <f t="shared" ref="AN7:AN70" si="1">IF(AL7="","",INDEX($D$7:$Z$28,AM7,AL7))</f>
        <v>192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70</v>
      </c>
      <c r="AK8" s="53">
        <f>'CALCULATOR SHEET'!J14</f>
        <v>20</v>
      </c>
      <c r="AL8" s="53">
        <f t="shared" si="0"/>
        <v>9</v>
      </c>
      <c r="AM8" s="53">
        <f t="shared" ref="AM8:AM71" si="2">IF(AK8=0,"",MATCH(CEILING(AK8,6),$C$7:$C$28,0))</f>
        <v>1</v>
      </c>
      <c r="AN8" s="54">
        <f t="shared" si="1"/>
        <v>116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47.5</v>
      </c>
      <c r="AK9" s="53">
        <f>'CALCULATOR SHEET'!J15</f>
        <v>99</v>
      </c>
      <c r="AL9" s="53">
        <f t="shared" si="0"/>
        <v>5</v>
      </c>
      <c r="AM9" s="53">
        <f t="shared" si="2"/>
        <v>14</v>
      </c>
      <c r="AN9" s="54">
        <f t="shared" si="1"/>
        <v>177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26.5</v>
      </c>
      <c r="AK10" s="53">
        <f>'CALCULATOR SHEET'!J16</f>
        <v>70</v>
      </c>
      <c r="AL10" s="53">
        <f t="shared" si="0"/>
        <v>2</v>
      </c>
      <c r="AM10" s="53">
        <f t="shared" si="2"/>
        <v>9</v>
      </c>
      <c r="AN10" s="54">
        <f t="shared" si="1"/>
        <v>103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26.5</v>
      </c>
      <c r="AK11" s="53">
        <f>'CALCULATOR SHEET'!J17</f>
        <v>70</v>
      </c>
      <c r="AL11" s="53">
        <f t="shared" si="0"/>
        <v>2</v>
      </c>
      <c r="AM11" s="53">
        <f t="shared" si="2"/>
        <v>9</v>
      </c>
      <c r="AN11" s="54">
        <f t="shared" si="1"/>
        <v>103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2021-07-26T21:45:24Z</cp:lastPrinted>
  <dcterms:created xsi:type="dcterms:W3CDTF">2016-09-27T19:33:28Z</dcterms:created>
  <dcterms:modified xsi:type="dcterms:W3CDTF">2025-11-04T19:56:17Z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