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KIM LIFE\"/>
    </mc:Choice>
  </mc:AlternateContent>
  <xr:revisionPtr revIDLastSave="0" documentId="8_{9765AA6F-9972-4F31-9B6D-48EC608C1D59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3" i="59" l="1"/>
  <c r="AA12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<sst xmlns="http://schemas.openxmlformats.org/spreadsheetml/2006/main" count="3360" uniqueCount="483">
  <si>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</si>
  <si>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</si>
  <si>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</si>
  <si>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</si>
  <si>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</si>
  <si>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</si>
  <si>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</si>
  <si>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</si>
  <si>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</si>
  <si>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</si>
  <si>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</si>
  <si>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</si>
  <si>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</si>
  <si>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</si>
  <si>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</si>
  <si>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</si>
  <si>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</si>
  <si>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</si>
  <si>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</si>
  <si>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</si>
  <si>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</si>
  <si>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</si>
  <si>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</si>
  <si>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</si>
  <si>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</si>
  <si>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</si>
  <si>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</si>
  <si>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</si>
  <si>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</si>
  <si>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</si>
  <si>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</si>
  <si>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</si>
  <si>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</si>
  <si>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</si>
  <si>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</si>
  <si>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</si>
  <si>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</si>
  <si>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</si>
  <si>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</si>
  <si>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</si>
  <si>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</si>
  <si>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</si>
  <si>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</si>
  <si>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</si>
  <si>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</si>
  <si>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</si>
  <si>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</si>
  <si>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</si>
  <si>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</si>
  <si>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</si>
  <si>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</si>
  <si>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</si>
  <si>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</si>
  <si>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</si>
  <si>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</si>
  <si>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</si>
  <si>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</si>
  <si>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</si>
  <si>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</si>
  <si>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</si>
  <si>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</si>
  <si>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</si>
  <si>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</si>
  <si>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</si>
  <si>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</si>
  <si>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</si>
  <si>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</si>
  <si>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</si>
  <si>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</si>
  <si>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</si>
  <si>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</si>
  <si>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</si>
  <si>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</si>
  <si>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</si>
  <si>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</si>
  <si>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</si>
  <si>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</si>
  <si>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</si>
  <si>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</si>
  <si>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</si>
  <si>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</si>
  <si>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</si>
  <si>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</si>
  <si>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</si>
  <si>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</si>
  <si>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</si>
  <si>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</si>
  <si>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</si>
  <si>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</si>
  <si>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</si>
  <si>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</si>
  <si>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</si>
  <si>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</si>
  <si>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</si>
  <si>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</si>
  <si>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</si>
  <si>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</si>
  <si>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</si>
  <si>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</si>
  <si>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</si>
  <si>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</si>
  <si>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</si>
  <si>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</si>
  <si>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</si>
  <si>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</si>
  <si>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</si>
  <si>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</si>
  <si>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</si>
  <si>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</si>
  <si>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</si>
  <si>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</si>
  <si>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</si>
  <si>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</si>
  <si>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</si>
  <si>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</si>
  <si>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</si>
  <si>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</si>
  <si>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</si>
  <si>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</si>
  <si>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</si>
  <si>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</si>
  <si>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</si>
  <si>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</si>
  <si>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</si>
  <si>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</si>
  <si>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</si>
  <si>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</si>
  <si>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</si>
  <si>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</si>
  <si>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</si>
  <si>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</si>
  <si>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</si>
  <si>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</si>
  <si>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</si>
  <si>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</si>
  <si>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</si>
  <si>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</si>
  <si>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</si>
  <si>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</si>
  <si>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</si>
  <si>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</si>
  <si>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</si>
  <si>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</si>
  <si>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</si>
  <si>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</si>
  <si>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</si>
  <si>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</si>
  <si>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</si>
  <si>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</si>
  <si>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</si>
  <si>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</si>
  <si>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</si>
  <si>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</si>
  <si>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</si>
  <si>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</si>
  <si>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</si>
  <si>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</si>
  <si>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</si>
  <si>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</si>
  <si>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</si>
  <si>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</si>
  <si>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</si>
  <si>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</si>
  <si>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</si>
  <si>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</si>
  <si>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</si>
  <si>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</si>
  <si>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</si>
  <si>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</si>
  <si>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</si>
  <si>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</si>
  <si>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</si>
  <si>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</si>
  <si>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</si>
  <si>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</si>
  <si>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</si>
  <si>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</si>
  <si>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</si>
  <si>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</si>
  <si>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</si>
  <si>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</si>
  <si>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</si>
  <si>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</si>
  <si>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</si>
  <si>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</si>
  <si>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</si>
  <si>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</si>
  <si>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</si>
  <si>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</si>
  <si>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</si>
  <si>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</si>
  <si>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</si>
  <si>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</si>
  <si>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</si>
  <si>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</si>
  <si>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</si>
  <si>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</si>
  <si>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</si>
  <si>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</si>
  <si>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</si>
  <si>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</si>
  <si>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</si>
  <si>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</si>
  <si>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</si>
  <si>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</si>
  <si>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</si>
  <si>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</si>
  <si>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</si>
  <si>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</si>
  <si>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</si>
  <si>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</si>
  <si>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</si>
  <si>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</si>
  <si>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</si>
  <si>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</si>
  <si>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</si>
  <si>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</si>
  <si>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</si>
  <si>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</si>
  <si>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</si>
  <si>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</si>
  <si>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</si>
  <si>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</si>
  <si>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</si>
  <si>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</si>
  <si>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</si>
  <si>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</si>
  <si>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</si>
  <si>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</si>
  <si>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</si>
  <si>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</si>
  <si>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</si>
  <si>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</si>
  <si>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</si>
  <si>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</si>
  <si>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</si>
  <si>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</si>
  <si>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</si>
  <si>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</si>
  <si>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</si>
  <si>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</si>
  <si>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</si>
  <si>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</si>
  <si>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</si>
  <si>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</si>
  <si>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</si>
  <si>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</si>
  <si>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</si>
  <si>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</si>
  <si>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</si>
  <si>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</si>
  <si>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</si>
  <si>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</si>
  <si>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</si>
  <si>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</si>
  <si>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</si>
  <si>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</si>
  <si>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</si>
  <si>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</si>
  <si>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</si>
  <si>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</si>
  <si>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</si>
  <si>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</si>
  <si>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</si>
  <si>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</si>
  <si>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</si>
  <si>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</si>
  <si>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</si>
  <si>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</si>
  <si>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</si>
  <si>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</si>
  <si>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</si>
  <si>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</si>
  <si>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</si>
  <si>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</si>
  <si>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</si>
  <si>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</si>
  <si>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</si>
  <si>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</si>
  <si>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</si>
  <si>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</si>
  <si>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</si>
  <si>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</si>
  <si>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</si>
  <si>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</si>
  <si>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</si>
  <si>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</si>
  <si>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</si>
  <si>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</si>
  <si>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</si>
  <si>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</si>
  <si>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</si>
  <si>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</si>
  <si>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</si>
  <si>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</si>
  <si>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</si>
  <si>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</si>
  <si>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</si>
  <si>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</si>
  <si>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</si>
  <si>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</si>
  <si>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</si>
  <si>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</si>
  <si>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</si>
  <si>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</si>
  <si>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</si>
  <si>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</si>
  <si>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</si>
  <si>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</si>
  <si>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</si>
  <si>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</si>
  <si>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</si>
  <si>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</si>
  <si>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</si>
  <si>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</si>
  <si>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</si>
  <si>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</si>
  <si>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</si>
  <si>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</si>
  <si>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</si>
  <si>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</si>
  <si>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</si>
  <si>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</si>
  <si>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</si>
  <si>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</si>
  <si>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</si>
  <si>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</si>
  <si>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</si>
  <si>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</si>
  <si>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</si>
  <si>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</si>
  <si>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</si>
  <si>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</si>
  <si>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</si>
  <si>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</si>
  <si>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</si>
  <si>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</si>
  <si>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</si>
  <si>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</si>
  <si>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</si>
  <si>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</si>
  <si>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</si>
  <si>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</si>
  <si>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</si>
  <si>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</si>
  <si>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</si>
  <si>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</si>
  <si>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</si>
  <si>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</si>
  <si>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</si>
  <si>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</si>
  <si>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</si>
  <si>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</si>
  <si>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</si>
  <si>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</si>
  <si>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</si>
  <si>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</si>
  <si>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</si>
  <si>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</si>
  <si>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</si>
  <si>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</si>
  <si>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</si>
  <si>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</si>
  <si>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</si>
  <si>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</si>
  <si>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</si>
  <si>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</si>
  <si>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</si>
  <si>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</si>
  <si>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</si>
  <si>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</si>
  <si>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</si>
  <si>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</si>
  <si>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</si>
  <si>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</si>
  <si>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</si>
  <si>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</si>
  <si>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</si>
  <si>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</si>
  <si>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</si>
  <si>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</si>
  <si>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</si>
  <si>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</si>
  <si>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</si>
  <si>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</si>
  <si>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</si>
  <si>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</si>
  <si>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</si>
  <si>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</si>
  <si>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</si>
  <si>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</si>
  <si>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</si>
  <si>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</si>
  <si>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</si>
  <si>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</si>
  <si>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</si>
  <si>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</si>
  <si>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</si>
  <si>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</si>
  <si>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</si>
  <si>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</si>
  <si>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</si>
  <si>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</si>
  <si>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</si>
  <si>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</si>
  <si>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</si>
  <si>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</si>
  <si>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</si>
  <si>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</si>
  <si>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</si>
  <si>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</si>
  <si>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</si>
  <si>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</si>
  <si>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</si>
  <si>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</si>
  <si>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</si>
  <si>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</si>
  <si>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</si>
  <si>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</si>
  <si>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</si>
  <si>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</si>
  <si>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</si>
  <si>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</si>
  <si>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</si>
  <si>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</si>
  <si>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</si>
  <si>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</si>
  <si>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</si>
  <si>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</si>
  <si>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</si>
  <si>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</si>
  <si>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</si>
  <si>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</si>
  <si>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</si>
  <si>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</si>
  <si>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</si>
  <si>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</si>
  <si>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</si>
  <si>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</si>
  <si>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</si>
  <si>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</si>
  <si>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</si>
  <si>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</si>
  <si>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</si>
  <si>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</si>
  <si>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</si>
  <si>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</si>
  <si>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</si>
  <si>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</si>
  <si>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</si>
  <si>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</si>
  <si>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</si>
  <si>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</si>
  <si>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</si>
  <si>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</si>
  <si>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</si>
  <si>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</si>
  <si>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</si>
  <si>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</si>
  <si>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</si>
  <si>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</si>
  <si>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</si>
  <si>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</si>
  <si>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</si>
  <si>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</si>
  <si>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ENSENADA </t>
  </si>
  <si>
    <t xml:space="preserve">CAMPO TURISTICO LA MISION </t>
  </si>
  <si>
    <t xml:space="preserve">VISTA AL MAR </t>
  </si>
  <si>
    <t xml:space="preserve">S/N </t>
  </si>
  <si>
    <t xml:space="preserve">KIM LIFE </t>
  </si>
  <si>
    <t xml:space="preserve">KIM LIFE RESIDENCE </t>
  </si>
  <si>
    <t>001 650-619-4954</t>
  </si>
  <si>
    <t>*</t>
  </si>
  <si>
    <t xml:space="preserve">SCREEN SOFT BLACK </t>
  </si>
  <si>
    <t xml:space="preserve">BO LONG BEACH BLACK </t>
  </si>
  <si>
    <t xml:space="preserve">WINDOW A </t>
  </si>
  <si>
    <t xml:space="preserve">SLIDING DOOR 1 SIDE A </t>
  </si>
  <si>
    <t xml:space="preserve">SLIDING DOOR 1 SIDE B </t>
  </si>
  <si>
    <t xml:space="preserve">SLIDING DOOR 1 SIDE C </t>
  </si>
  <si>
    <t xml:space="preserve">SLIDING DOOR 2 SIDE A </t>
  </si>
  <si>
    <t xml:space="preserve">SLIDING DOOR 2 SIDE B </t>
  </si>
  <si>
    <t xml:space="preserve">SLIDING DOOM 2 SIDE C </t>
  </si>
  <si>
    <t xml:space="preserve">BS 251031 B MANUAL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</si>
</sst>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45961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251031 B MANUAL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KIM LIFE RESIDENCE </v>
      </c>
      <c r="J7" s="365" t="str">
        <f>IF('CALCULATOR SHEET'!H8&lt;&gt;"","Calle: "&amp;'CALCULATOR SHEET'!H10&amp;", Numero: "&amp;'CALCULATOR SHEET'!H11,"")</f>
        <v xml:space="preserve">Calle: VISTA AL MAR , Numero: S/N 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CAMPO TURISTICO LA MISION  - ENSENADA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KIM LIFE </v>
      </c>
      <c r="J10" s="365" t="str">
        <f>IF('CALCULATOR SHEET'!K11&lt;&gt;"",'CALCULATOR SHEET'!$K$11&amp;" Cell: "&amp;'CALCULATOR SHEET'!K10,"")</f>
        <v>* Cell: 001 650-619-4954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 xml:space="preserve">SCREEN SOFT BLACK </v>
      </c>
      <c r="H14" s="170" t="str">
        <f>IF('CALCULATOR SHEET'!H13&lt;&gt;"",'CALCULATOR SHEET'!H13,"")</f>
        <v xml:space="preserve">WINDOW A </v>
      </c>
      <c r="I14" s="171">
        <f>IF(E14&lt;&gt;"",'CALCULATOR SHEET'!I13,"")</f>
        <v>109</v>
      </c>
      <c r="J14" s="171">
        <f>IF(I14&lt;&gt;"",'CALCULATOR SHEET'!J13,"")</f>
        <v>79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R</v>
      </c>
      <c r="M14" s="169" t="str">
        <f>IF(E14&lt;&gt;"",IF(OR('CALCULATOR SHEET'!P13&lt;&gt;"NO",'CALCULATOR SHEET'!Q13&lt;&gt;"NO"),"YES",""),"")</f>
        <v/>
      </c>
      <c r="N14" s="172">
        <f>IF(E14&lt;&gt;"",T14,"")</f>
        <v>381</v>
      </c>
      <c r="O14" s="164"/>
      <c r="P14" s="167">
        <f>IF(D14&lt;&gt;"",N14*D14,"")</f>
        <v>381</v>
      </c>
      <c r="Q14" s="194"/>
      <c r="R14" s="64" t="s">
        <v>200</v>
      </c>
      <c r="T14" s="160">
        <f>IF('CALCULATOR SHEET'!$T$58="PESOS",'CALCULATOR SHEET'!S13*'CALCULATOR SHEET'!$W$6,'CALCULATOR SHEET'!S13)</f>
        <v>381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 xml:space="preserve">SCREEN SOFT BLACK </v>
      </c>
      <c r="H15" s="175" t="str">
        <f>IF('CALCULATOR SHEET'!H14&lt;&gt;"",'CALCULATOR SHEET'!H14,"")</f>
        <v xml:space="preserve">SLIDING DOOR 1 SIDE A </v>
      </c>
      <c r="I15" s="176">
        <f>IF(E15&lt;&gt;"",'CALCULATOR SHEET'!I14,"")</f>
        <v>55.5</v>
      </c>
      <c r="J15" s="176">
        <f>IF(I15&lt;&gt;"",'CALCULATOR SHEET'!J14,"")</f>
        <v>86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189</v>
      </c>
      <c r="O15" s="165"/>
      <c r="P15" s="166">
        <f>IF(D15&lt;&gt;"",N15*D15,"")</f>
        <v>189</v>
      </c>
      <c r="Q15" s="195"/>
      <c r="R15" s="64" t="s">
        <v>200</v>
      </c>
      <c r="T15" s="160">
        <f>IF('CALCULATOR SHEET'!$T$58="PESOS",'CALCULATOR SHEET'!S14*'CALCULATOR SHEET'!$W$6,'CALCULATOR SHEET'!S14)</f>
        <v>189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3</v>
      </c>
      <c r="G16" s="175" t="str">
        <f>IF('CALCULATOR SHEET'!G15&lt;&gt;"",'CALCULATOR SHEET'!G15,"")</f>
        <v xml:space="preserve">SCREEN SOFT BLACK </v>
      </c>
      <c r="H16" s="175" t="str">
        <f>IF('CALCULATOR SHEET'!H15&lt;&gt;"",'CALCULATOR SHEET'!H15,"")</f>
        <v xml:space="preserve">SLIDING DOOR 1 SIDE B </v>
      </c>
      <c r="I16" s="176">
        <f>IF(E16&lt;&gt;"",'CALCULATOR SHEET'!I15,"")</f>
        <v>52.125</v>
      </c>
      <c r="J16" s="176">
        <f>IF(I16&lt;&gt;"",'CALCULATOR SHEET'!J15,"")</f>
        <v>86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176</v>
      </c>
      <c r="O16" s="165"/>
      <c r="P16" s="166">
        <f t="shared" ref="P16:P53" si="1">IF(D16&lt;&gt;"",N16*D16,"")</f>
        <v>176</v>
      </c>
      <c r="Q16" s="195"/>
      <c r="R16" s="64" t="s">
        <v>200</v>
      </c>
      <c r="T16" s="160">
        <f>IF('CALCULATOR SHEET'!$T$58="PESOS",'CALCULATOR SHEET'!S15*'CALCULATOR SHEET'!$W$6,'CALCULATOR SHEET'!S15)</f>
        <v>176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3</v>
      </c>
      <c r="G17" s="175" t="str">
        <f>IF('CALCULATOR SHEET'!G16&lt;&gt;"",'CALCULATOR SHEET'!G16,"")</f>
        <v xml:space="preserve">SCREEN SOFT BLACK </v>
      </c>
      <c r="H17" s="175" t="str">
        <f>IF('CALCULATOR SHEET'!H16&lt;&gt;"",'CALCULATOR SHEET'!H16,"")</f>
        <v xml:space="preserve">SLIDING DOOR 1 SIDE C </v>
      </c>
      <c r="I17" s="176">
        <f>IF(E17&lt;&gt;"",'CALCULATOR SHEET'!I16,"")</f>
        <v>55.25</v>
      </c>
      <c r="J17" s="176">
        <f>IF(I17&lt;&gt;"",'CALCULATOR SHEET'!J16,"")</f>
        <v>86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189</v>
      </c>
      <c r="O17" s="165"/>
      <c r="P17" s="166">
        <f t="shared" si="1"/>
        <v>189</v>
      </c>
      <c r="Q17" s="195"/>
      <c r="R17" s="64" t="s">
        <v>200</v>
      </c>
      <c r="T17" s="160">
        <f>IF('CALCULATOR SHEET'!$T$58="PESOS",'CALCULATOR SHEET'!S16*'CALCULATOR SHEET'!$W$6,'CALCULATOR SHEET'!S16)</f>
        <v>189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3</v>
      </c>
      <c r="G18" s="175" t="str">
        <f>IF('CALCULATOR SHEET'!G17&lt;&gt;"",'CALCULATOR SHEET'!G17,"")</f>
        <v xml:space="preserve">BO LONG BEACH BLACK </v>
      </c>
      <c r="H18" s="175" t="str">
        <f>IF('CALCULATOR SHEET'!H17&lt;&gt;"",'CALCULATOR SHEET'!H17,"")</f>
        <v xml:space="preserve">SLIDING DOOR 2 SIDE A </v>
      </c>
      <c r="I18" s="176">
        <f>IF(E18&lt;&gt;"",'CALCULATOR SHEET'!I17,"")</f>
        <v>55.5</v>
      </c>
      <c r="J18" s="176">
        <f>IF(I18&lt;&gt;"",'CALCULATOR SHEET'!J17,"")</f>
        <v>86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L</v>
      </c>
      <c r="M18" s="174" t="str">
        <f>IF(E18&lt;&gt;"",IF(OR('CALCULATOR SHEET'!P17&lt;&gt;"NO",'CALCULATOR SHEET'!Q17&lt;&gt;"NO"),"YES",""),"")</f>
        <v/>
      </c>
      <c r="N18" s="177">
        <f t="shared" si="0"/>
        <v>189</v>
      </c>
      <c r="O18" s="165"/>
      <c r="P18" s="166">
        <f t="shared" si="1"/>
        <v>189</v>
      </c>
      <c r="Q18" s="195"/>
      <c r="R18" s="64" t="s">
        <v>200</v>
      </c>
      <c r="T18" s="160">
        <f>IF('CALCULATOR SHEET'!$T$58="PESOS",'CALCULATOR SHEET'!S17*'CALCULATOR SHEET'!$W$6,'CALCULATOR SHEET'!S17)</f>
        <v>189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3</v>
      </c>
      <c r="G19" s="175" t="str">
        <f>IF('CALCULATOR SHEET'!G18&lt;&gt;"",'CALCULATOR SHEET'!G18,"")</f>
        <v xml:space="preserve">BO LONG BEACH BLACK </v>
      </c>
      <c r="H19" s="175" t="str">
        <f>IF('CALCULATOR SHEET'!H18&lt;&gt;"",'CALCULATOR SHEET'!H18,"")</f>
        <v xml:space="preserve">SLIDING DOOR 2 SIDE B </v>
      </c>
      <c r="I19" s="176">
        <f>IF(E19&lt;&gt;"",'CALCULATOR SHEET'!I18,"")</f>
        <v>52</v>
      </c>
      <c r="J19" s="176">
        <f>IF(I19&lt;&gt;"",'CALCULATOR SHEET'!J18,"")</f>
        <v>86</v>
      </c>
      <c r="K19" s="169" t="str">
        <f>IF('CALCULATOR SHEET'!K18&lt;&gt;"",IF('CALCULATOR SHEET'!$W$2=1,'CALCULATOR SHEET'!K18,VLOOKUP('CALCULATOR SHEET'!K18,GENERAL!$H$6:$I$11,2,0)),"")</f>
        <v>METAL CHAIN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/>
      </c>
      <c r="N19" s="177">
        <f t="shared" si="0"/>
        <v>176</v>
      </c>
      <c r="O19" s="165"/>
      <c r="P19" s="166">
        <f t="shared" si="1"/>
        <v>176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176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3</v>
      </c>
      <c r="G20" s="175" t="str">
        <f>IF('CALCULATOR SHEET'!G19&lt;&gt;"",'CALCULATOR SHEET'!G19,"")</f>
        <v xml:space="preserve">BO LONG BEACH BLACK </v>
      </c>
      <c r="H20" s="175" t="str">
        <f>IF('CALCULATOR SHEET'!H19&lt;&gt;"",'CALCULATOR SHEET'!H19,"")</f>
        <v xml:space="preserve">SLIDING DOOM 2 SIDE C </v>
      </c>
      <c r="I20" s="176">
        <f>IF(E20&lt;&gt;"",'CALCULATOR SHEET'!I19,"")</f>
        <v>54.875</v>
      </c>
      <c r="J20" s="176">
        <f>IF(I20&lt;&gt;"",'CALCULATOR SHEET'!J19,"")</f>
        <v>86</v>
      </c>
      <c r="K20" s="169" t="str">
        <f>IF('CALCULATOR SHEET'!K19&lt;&gt;"",IF('CALCULATOR SHEET'!$W$2=1,'CALCULATOR SHEET'!K19,VLOOKUP('CALCULATOR SHEET'!K19,GENERAL!$H$6:$I$11,2,0)),"")</f>
        <v>METAL CHAIN</v>
      </c>
      <c r="L20" s="174" t="str">
        <f>IF('CALCULATOR SHEET'!M19&lt;&gt;"",'CALCULATOR SHEET'!M19,"")</f>
        <v>R</v>
      </c>
      <c r="M20" s="174" t="str">
        <f>IF(E20&lt;&gt;"",IF(OR('CALCULATOR SHEET'!P19&lt;&gt;"NO",'CALCULATOR SHEET'!Q19&lt;&gt;"NO"),"YES",""),"")</f>
        <v/>
      </c>
      <c r="N20" s="177">
        <f t="shared" si="0"/>
        <v>189</v>
      </c>
      <c r="O20" s="165"/>
      <c r="P20" s="166">
        <f t="shared" si="1"/>
        <v>189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189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1489</v>
      </c>
      <c r="Q62" s="188"/>
      <c r="X62" s="163" t="str">
        <f>IF('CALCULATOR SHEET'!$W$2=1,GENERAL!Q35,GENERAL!S35)</f>
        <v>SUB TOTAL</v>
      </c>
      <c r="Y62" s="222">
        <f>P62</f>
        <v>1489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446.7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1042.3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1042.3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1042.3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1042.3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1042.3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109</v>
      </c>
      <c r="AK7" s="53">
        <f>'CALCULATOR SHEET'!J13</f>
        <v>79</v>
      </c>
      <c r="AL7" s="53">
        <f>IF(AJ7=0,"",MATCH(CEILING(AJ7,6),$D$4:$Z$4,0))</f>
        <v>16</v>
      </c>
      <c r="AM7" s="53">
        <f>IF(AK7=0,"",MATCH(CEILING(AK7,6),$C$7:$C$28,0))</f>
        <v>11</v>
      </c>
      <c r="AN7" s="54">
        <f>IF(AL7="","",INDEX($D$7:$Z$28,AM7,AL7))</f>
        <v>392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55.5</v>
      </c>
      <c r="AK8" s="53">
        <f>'CALCULATOR SHEET'!J14</f>
        <v>86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190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52.125</v>
      </c>
      <c r="AK9" s="53">
        <f>'CALCULATOR SHEET'!J15</f>
        <v>86</v>
      </c>
      <c r="AL9" s="53">
        <f t="shared" si="0"/>
        <v>6</v>
      </c>
      <c r="AM9" s="53">
        <f t="shared" si="1"/>
        <v>12</v>
      </c>
      <c r="AN9" s="54">
        <f t="shared" si="2"/>
        <v>176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55.25</v>
      </c>
      <c r="AK10" s="53">
        <f>'CALCULATOR SHEET'!J16</f>
        <v>86</v>
      </c>
      <c r="AL10" s="53">
        <f t="shared" si="0"/>
        <v>7</v>
      </c>
      <c r="AM10" s="53">
        <f t="shared" si="1"/>
        <v>12</v>
      </c>
      <c r="AN10" s="54">
        <f t="shared" si="2"/>
        <v>190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55.5</v>
      </c>
      <c r="AK11" s="53">
        <f>'CALCULATOR SHEET'!J17</f>
        <v>86</v>
      </c>
      <c r="AL11" s="53">
        <f t="shared" si="0"/>
        <v>7</v>
      </c>
      <c r="AM11" s="53">
        <f t="shared" si="1"/>
        <v>12</v>
      </c>
      <c r="AN11" s="54">
        <f t="shared" si="2"/>
        <v>190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52</v>
      </c>
      <c r="AK12" s="53">
        <f>'CALCULATOR SHEET'!J18</f>
        <v>86</v>
      </c>
      <c r="AL12" s="53">
        <f t="shared" si="0"/>
        <v>6</v>
      </c>
      <c r="AM12" s="53">
        <f t="shared" si="1"/>
        <v>12</v>
      </c>
      <c r="AN12" s="54">
        <f t="shared" si="2"/>
        <v>176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54.875</v>
      </c>
      <c r="AK13" s="53">
        <f>'CALCULATOR SHEET'!J19</f>
        <v>86</v>
      </c>
      <c r="AL13" s="53">
        <f t="shared" si="0"/>
        <v>7</v>
      </c>
      <c r="AM13" s="53">
        <f t="shared" si="1"/>
        <v>12</v>
      </c>
      <c r="AN13" s="54">
        <f t="shared" si="2"/>
        <v>190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109</v>
      </c>
      <c r="AK7" s="53">
        <f>'CALCULATOR SHEET'!J13</f>
        <v>79</v>
      </c>
      <c r="AL7" s="53">
        <f t="shared" ref="AL7:AL70" si="0">IF(AJ7=0,"",MATCH(CEILING(AJ7,6),$D$4:$Z$4,0))</f>
        <v>16</v>
      </c>
      <c r="AM7" s="53">
        <f>IF(AK7=0,"",MATCH(CEILING(AK7,6),$C$7:$C$28,0))</f>
        <v>11</v>
      </c>
      <c r="AN7" s="54">
        <f t="shared" ref="AN7:AN70" si="1">IF(AL7="","",INDEX($D$7:$Z$28,AM7,AL7))</f>
        <v>459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55.5</v>
      </c>
      <c r="AK8" s="53">
        <f>'CALCULATOR SHEET'!J14</f>
        <v>86</v>
      </c>
      <c r="AL8" s="53">
        <f t="shared" si="0"/>
        <v>7</v>
      </c>
      <c r="AM8" s="53">
        <f t="shared" ref="AM8:AM71" si="2">IF(AK8=0,"",MATCH(CEILING(AK8,6),$C$7:$C$28,0))</f>
        <v>12</v>
      </c>
      <c r="AN8" s="54">
        <f t="shared" si="1"/>
        <v>228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52.125</v>
      </c>
      <c r="AK9" s="53">
        <f>'CALCULATOR SHEET'!J15</f>
        <v>86</v>
      </c>
      <c r="AL9" s="53">
        <f t="shared" si="0"/>
        <v>6</v>
      </c>
      <c r="AM9" s="53">
        <f t="shared" si="2"/>
        <v>12</v>
      </c>
      <c r="AN9" s="54">
        <f t="shared" si="1"/>
        <v>210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55.25</v>
      </c>
      <c r="AK10" s="53">
        <f>'CALCULATOR SHEET'!J16</f>
        <v>86</v>
      </c>
      <c r="AL10" s="53">
        <f t="shared" si="0"/>
        <v>7</v>
      </c>
      <c r="AM10" s="53">
        <f t="shared" si="2"/>
        <v>12</v>
      </c>
      <c r="AN10" s="54">
        <f t="shared" si="1"/>
        <v>228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55.5</v>
      </c>
      <c r="AK11" s="53">
        <f>'CALCULATOR SHEET'!J17</f>
        <v>86</v>
      </c>
      <c r="AL11" s="53">
        <f t="shared" si="0"/>
        <v>7</v>
      </c>
      <c r="AM11" s="53">
        <f t="shared" si="2"/>
        <v>12</v>
      </c>
      <c r="AN11" s="54">
        <f t="shared" si="1"/>
        <v>228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52</v>
      </c>
      <c r="AK12" s="53">
        <f>'CALCULATOR SHEET'!J18</f>
        <v>86</v>
      </c>
      <c r="AL12" s="53">
        <f t="shared" si="0"/>
        <v>6</v>
      </c>
      <c r="AM12" s="53">
        <f t="shared" si="2"/>
        <v>12</v>
      </c>
      <c r="AN12" s="54">
        <f t="shared" si="1"/>
        <v>210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54.875</v>
      </c>
      <c r="AK13" s="53">
        <f>'CALCULATOR SHEET'!J19</f>
        <v>86</v>
      </c>
      <c r="AL13" s="53">
        <f t="shared" si="0"/>
        <v>7</v>
      </c>
      <c r="AM13" s="53">
        <f t="shared" si="2"/>
        <v>12</v>
      </c>
      <c r="AN13" s="54">
        <f t="shared" si="1"/>
        <v>228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109</v>
      </c>
      <c r="AK7" s="53">
        <f>'CALCULATOR SHEET'!J13</f>
        <v>79</v>
      </c>
      <c r="AL7" s="53">
        <f>IF(AJ7=0,"",MATCH(CEILING(AJ7,6),$D$4:$Z$4,0))</f>
        <v>16</v>
      </c>
      <c r="AM7" s="53">
        <f>IF(AK7=0,"",MATCH(CEILING(AK7,6),$C$7:$C$28,0))</f>
        <v>11</v>
      </c>
      <c r="AN7" s="54">
        <f>IF(AL7="","",INDEX($D$7:$Z$28,AM7,AL7))</f>
        <v>470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55.5</v>
      </c>
      <c r="AK8" s="53">
        <f>'CALCULATOR SHEET'!J14</f>
        <v>86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234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52.125</v>
      </c>
      <c r="AK9" s="53">
        <f>'CALCULATOR SHEET'!J15</f>
        <v>86</v>
      </c>
      <c r="AL9" s="53">
        <f t="shared" si="0"/>
        <v>6</v>
      </c>
      <c r="AM9" s="53">
        <f t="shared" si="1"/>
        <v>12</v>
      </c>
      <c r="AN9" s="54">
        <f t="shared" si="2"/>
        <v>216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55.25</v>
      </c>
      <c r="AK10" s="53">
        <f>'CALCULATOR SHEET'!J16</f>
        <v>86</v>
      </c>
      <c r="AL10" s="53">
        <f t="shared" si="0"/>
        <v>7</v>
      </c>
      <c r="AM10" s="53">
        <f t="shared" si="1"/>
        <v>12</v>
      </c>
      <c r="AN10" s="54">
        <f t="shared" si="2"/>
        <v>234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55.5</v>
      </c>
      <c r="AK11" s="53">
        <f>'CALCULATOR SHEET'!J17</f>
        <v>86</v>
      </c>
      <c r="AL11" s="53">
        <f t="shared" si="0"/>
        <v>7</v>
      </c>
      <c r="AM11" s="53">
        <f t="shared" si="1"/>
        <v>12</v>
      </c>
      <c r="AN11" s="54">
        <f t="shared" si="2"/>
        <v>234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52</v>
      </c>
      <c r="AK12" s="53">
        <f>'CALCULATOR SHEET'!J18</f>
        <v>86</v>
      </c>
      <c r="AL12" s="53">
        <f t="shared" si="0"/>
        <v>6</v>
      </c>
      <c r="AM12" s="53">
        <f t="shared" si="1"/>
        <v>12</v>
      </c>
      <c r="AN12" s="54">
        <f t="shared" si="2"/>
        <v>216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54.875</v>
      </c>
      <c r="AK13" s="53">
        <f>'CALCULATOR SHEET'!J19</f>
        <v>86</v>
      </c>
      <c r="AL13" s="53">
        <f t="shared" si="0"/>
        <v>7</v>
      </c>
      <c r="AM13" s="53">
        <f t="shared" si="1"/>
        <v>12</v>
      </c>
      <c r="AN13" s="54">
        <f t="shared" si="2"/>
        <v>234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109</v>
      </c>
      <c r="AK7" s="53">
        <f>'CALCULATOR SHEET'!J13</f>
        <v>79</v>
      </c>
      <c r="AL7" s="53">
        <f>IF(AJ7=0,"",MATCH(CEILING(AJ7,6),$D$4:$Z$4,0))</f>
        <v>16</v>
      </c>
      <c r="AM7" s="53">
        <f>IF(AK7=0,"",MATCH(CEILING(AK7,6),$C$7:$C$28,0))</f>
        <v>11</v>
      </c>
      <c r="AN7" s="54">
        <f>IF(AL7="","",INDEX($D$7:$Z$28,AM7,AL7))</f>
        <v>551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55.5</v>
      </c>
      <c r="AK8" s="53">
        <f>'CALCULATOR SHEET'!J14</f>
        <v>86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279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52.125</v>
      </c>
      <c r="AK9" s="53">
        <f>'CALCULATOR SHEET'!J15</f>
        <v>86</v>
      </c>
      <c r="AL9" s="53">
        <f t="shared" si="0"/>
        <v>6</v>
      </c>
      <c r="AM9" s="53">
        <f t="shared" si="1"/>
        <v>12</v>
      </c>
      <c r="AN9" s="54">
        <f t="shared" si="2"/>
        <v>256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55.25</v>
      </c>
      <c r="AK10" s="53">
        <f>'CALCULATOR SHEET'!J16</f>
        <v>86</v>
      </c>
      <c r="AL10" s="53">
        <f t="shared" si="0"/>
        <v>7</v>
      </c>
      <c r="AM10" s="53">
        <f t="shared" si="1"/>
        <v>12</v>
      </c>
      <c r="AN10" s="54">
        <f t="shared" si="2"/>
        <v>279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55.5</v>
      </c>
      <c r="AK11" s="53">
        <f>'CALCULATOR SHEET'!J17</f>
        <v>86</v>
      </c>
      <c r="AL11" s="53">
        <f t="shared" si="0"/>
        <v>7</v>
      </c>
      <c r="AM11" s="53">
        <f t="shared" si="1"/>
        <v>12</v>
      </c>
      <c r="AN11" s="54">
        <f t="shared" si="2"/>
        <v>279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52</v>
      </c>
      <c r="AK12" s="53">
        <f>'CALCULATOR SHEET'!J18</f>
        <v>86</v>
      </c>
      <c r="AL12" s="53">
        <f t="shared" si="0"/>
        <v>6</v>
      </c>
      <c r="AM12" s="53">
        <f t="shared" si="1"/>
        <v>12</v>
      </c>
      <c r="AN12" s="54">
        <f t="shared" si="2"/>
        <v>256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54.875</v>
      </c>
      <c r="AK13" s="53">
        <f>'CALCULATOR SHEET'!J19</f>
        <v>86</v>
      </c>
      <c r="AL13" s="53">
        <f t="shared" si="0"/>
        <v>7</v>
      </c>
      <c r="AM13" s="53">
        <f t="shared" si="1"/>
        <v>12</v>
      </c>
      <c r="AN13" s="54">
        <f t="shared" si="2"/>
        <v>279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109</v>
      </c>
      <c r="AK7" s="53">
        <f>'CALCULATOR SHEET'!J13</f>
        <v>79</v>
      </c>
      <c r="AL7" s="53">
        <f>IF(AJ7=0,"",MATCH(CEILING(AJ7,6),$D$4:$Z$4,0))</f>
        <v>16</v>
      </c>
      <c r="AM7" s="53">
        <f>IF(AK7=0,"",MATCH(CEILING(AK7,6),$C$7:$C$28,0))</f>
        <v>11</v>
      </c>
      <c r="AN7" s="54">
        <f>IF(AL7="","",INDEX($D$7:$Z$28,AM7,AL7))</f>
        <v>623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55.5</v>
      </c>
      <c r="AK8" s="53">
        <f>'CALCULATOR SHEET'!J14</f>
        <v>86</v>
      </c>
      <c r="AL8" s="53">
        <f t="shared" ref="AL8:AL71" si="1">IF(AJ8=0,"",MATCH(CEILING(AJ8,6),$D$4:$Z$4,0))</f>
        <v>7</v>
      </c>
      <c r="AM8" s="53">
        <f t="shared" ref="AM8:AM71" si="2">IF(AK8=0,"",MATCH(CEILING(AK8,6),$C$7:$C$28,0))</f>
        <v>12</v>
      </c>
      <c r="AN8" s="54">
        <f t="shared" ref="AN8:AN71" si="3">IF(AL8="","",INDEX($D$7:$Z$28,AM8,AL8))</f>
        <v>320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52.125</v>
      </c>
      <c r="AK9" s="53">
        <f>'CALCULATOR SHEET'!J15</f>
        <v>86</v>
      </c>
      <c r="AL9" s="53">
        <f>IF(AJ9=0,"",MATCH(CEILING(AJ9,6),$D$4:$Z$4,0))</f>
        <v>6</v>
      </c>
      <c r="AM9" s="53">
        <f t="shared" si="2"/>
        <v>12</v>
      </c>
      <c r="AN9" s="54">
        <f t="shared" si="3"/>
        <v>293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55.25</v>
      </c>
      <c r="AK10" s="53">
        <f>'CALCULATOR SHEET'!J16</f>
        <v>86</v>
      </c>
      <c r="AL10" s="53">
        <f t="shared" si="1"/>
        <v>7</v>
      </c>
      <c r="AM10" s="53">
        <f t="shared" si="2"/>
        <v>12</v>
      </c>
      <c r="AN10" s="54">
        <f t="shared" si="3"/>
        <v>320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55.5</v>
      </c>
      <c r="AK11" s="53">
        <f>'CALCULATOR SHEET'!J17</f>
        <v>86</v>
      </c>
      <c r="AL11" s="53">
        <f t="shared" si="1"/>
        <v>7</v>
      </c>
      <c r="AM11" s="53">
        <f t="shared" si="2"/>
        <v>12</v>
      </c>
      <c r="AN11" s="54">
        <f t="shared" si="3"/>
        <v>320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52</v>
      </c>
      <c r="AK12" s="53">
        <f>'CALCULATOR SHEET'!J18</f>
        <v>86</v>
      </c>
      <c r="AL12" s="53">
        <f t="shared" si="1"/>
        <v>6</v>
      </c>
      <c r="AM12" s="53">
        <f t="shared" si="2"/>
        <v>12</v>
      </c>
      <c r="AN12" s="54">
        <f t="shared" si="3"/>
        <v>293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54.875</v>
      </c>
      <c r="AK13" s="53">
        <f>'CALCULATOR SHEET'!J19</f>
        <v>86</v>
      </c>
      <c r="AL13" s="53">
        <f t="shared" si="1"/>
        <v>7</v>
      </c>
      <c r="AM13" s="53">
        <f t="shared" si="2"/>
        <v>12</v>
      </c>
      <c r="AN13" s="54">
        <f t="shared" si="3"/>
        <v>320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109</v>
      </c>
      <c r="AK7" s="53">
        <f>'CALCULATOR SHEET'!J13</f>
        <v>79</v>
      </c>
      <c r="AL7" s="53">
        <f>IF(AJ7=0,"",MATCH(CEILING(AJ7,6),$D$4:$Z$4,0))</f>
        <v>16</v>
      </c>
      <c r="AM7" s="53">
        <f>IF(AK7=0,"",MATCH(CEILING(AK7,6),$C$7:$C$28,0))</f>
        <v>11</v>
      </c>
      <c r="AN7" s="54">
        <f>IF(AL7="","",INDEX($D$7:$Z$28,AM7,AL7))</f>
        <v>704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55.5</v>
      </c>
      <c r="AK8" s="53">
        <f>'CALCULATOR SHEET'!J14</f>
        <v>86</v>
      </c>
      <c r="AL8" s="53">
        <f t="shared" ref="AL8:AL71" si="17">IF(AJ8=0,"",MATCH(CEILING(AJ8,6),$D$4:$Z$4,0))</f>
        <v>7</v>
      </c>
      <c r="AM8" s="53">
        <f t="shared" ref="AM8:AM71" si="18">IF(AK8=0,"",MATCH(CEILING(AK8,6),$C$7:$C$28,0))</f>
        <v>12</v>
      </c>
      <c r="AN8" s="54">
        <f t="shared" ref="AN8:AN71" si="19">IF(AL8="","",INDEX($D$7:$Z$28,AM8,AL8))</f>
        <v>403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52.125</v>
      </c>
      <c r="AK9" s="53">
        <f>'CALCULATOR SHEET'!J15</f>
        <v>86</v>
      </c>
      <c r="AL9" s="53">
        <f t="shared" si="17"/>
        <v>6</v>
      </c>
      <c r="AM9" s="53">
        <f t="shared" si="18"/>
        <v>12</v>
      </c>
      <c r="AN9" s="54">
        <f t="shared" si="19"/>
        <v>368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55.25</v>
      </c>
      <c r="AK10" s="53">
        <f>'CALCULATOR SHEET'!J16</f>
        <v>86</v>
      </c>
      <c r="AL10" s="53">
        <f t="shared" si="17"/>
        <v>7</v>
      </c>
      <c r="AM10" s="53">
        <f t="shared" si="18"/>
        <v>12</v>
      </c>
      <c r="AN10" s="54">
        <f t="shared" si="19"/>
        <v>403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55.5</v>
      </c>
      <c r="AK11" s="53">
        <f>'CALCULATOR SHEET'!J17</f>
        <v>86</v>
      </c>
      <c r="AL11" s="53">
        <f t="shared" si="17"/>
        <v>7</v>
      </c>
      <c r="AM11" s="53">
        <f t="shared" si="18"/>
        <v>12</v>
      </c>
      <c r="AN11" s="54">
        <f t="shared" si="19"/>
        <v>403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52</v>
      </c>
      <c r="AK12" s="53">
        <f>'CALCULATOR SHEET'!J18</f>
        <v>86</v>
      </c>
      <c r="AL12" s="53">
        <f t="shared" si="17"/>
        <v>6</v>
      </c>
      <c r="AM12" s="53">
        <f t="shared" si="18"/>
        <v>12</v>
      </c>
      <c r="AN12" s="54">
        <f t="shared" si="19"/>
        <v>368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54.875</v>
      </c>
      <c r="AK13" s="53">
        <f>'CALCULATOR SHEET'!J19</f>
        <v>86</v>
      </c>
      <c r="AL13" s="53">
        <f t="shared" si="17"/>
        <v>7</v>
      </c>
      <c r="AM13" s="53">
        <f t="shared" si="18"/>
        <v>12</v>
      </c>
      <c r="AN13" s="54">
        <f t="shared" si="19"/>
        <v>403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109</v>
      </c>
      <c r="Z7" s="7">
        <f>'CALCULATOR SHEET'!J13</f>
        <v>79</v>
      </c>
      <c r="AA7" s="7">
        <f>IF(Y7=0,"",MATCH(CEILING(Y7,6),$C$7:$R$7,0))</f>
        <v>15</v>
      </c>
      <c r="AB7" s="7">
        <f>IF(Z7=0,"",MATCH(CEILING(Z7,6),$B$10:$B$26,0))</f>
        <v>9</v>
      </c>
      <c r="AC7" s="146">
        <f>IF(AA7="","",IF(W7="GROUP 1",INDEX($C$10:$R$26,AB7,AA7),IF(W7="GROUP 2",INDEX($C$39:$R$55,AB7,AA7),IF(W7="GROUP 3",INDEX($C$64:$R$80,AB7,AA7),""))))</f>
        <v>1043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210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3</v>
      </c>
      <c r="X8" s="1">
        <f>+X7+1</f>
        <v>2</v>
      </c>
      <c r="Y8" s="7">
        <f>'CALCULATOR SHEET'!I14</f>
        <v>55.5</v>
      </c>
      <c r="Z8" s="7">
        <f>'CALCULATOR SHEET'!J14</f>
        <v>86</v>
      </c>
      <c r="AA8" s="7">
        <f t="shared" ref="AA8:AA28" si="1">IF(Y8=0,"",MATCH(CEILING(Y8,6),$C$7:$R$7,0))</f>
        <v>6</v>
      </c>
      <c r="AB8" s="7">
        <f t="shared" ref="AB8:AB28" si="2">IF(Z8=0,"",MATCH(CEILING(Z8,6),$B$10:$B$26,0))</f>
        <v>10</v>
      </c>
      <c r="AC8" s="146">
        <f t="shared" ref="AC8:AC71" si="3">IF(AA8="","",IF(W8="GROUP 1",INDEX($C$10:$R$26,AB8,AA8),IF(W8="GROUP 2",INDEX($C$39:$R$55,AB8,AA8),IF(W8="GROUP 3",INDEX($C$64:$R$80,AB8,AA8),""))))</f>
        <v>834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211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3</v>
      </c>
      <c r="X9" s="1">
        <f t="shared" ref="X9:X28" si="6">+X8+1</f>
        <v>3</v>
      </c>
      <c r="Y9" s="7">
        <f>'CALCULATOR SHEET'!I15</f>
        <v>52.125</v>
      </c>
      <c r="Z9" s="7">
        <f>'CALCULATOR SHEET'!J15</f>
        <v>86</v>
      </c>
      <c r="AA9" s="7">
        <f t="shared" si="1"/>
        <v>5</v>
      </c>
      <c r="AB9" s="7">
        <f t="shared" si="2"/>
        <v>10</v>
      </c>
      <c r="AC9" s="146">
        <f t="shared" si="3"/>
        <v>810</v>
      </c>
      <c r="AD9" s="13" t="str">
        <f>IF(AND('CALCULATOR SHEET'!P15="YES",'CALCULATOR SHEET'!Q15="YES"),HLOOKUP(CEILING(Y9,6),$C$28:$Q$31,3,FALSE),"")</f>
        <v/>
      </c>
      <c r="AE9" s="13">
        <f t="shared" si="4"/>
        <v>211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3</v>
      </c>
      <c r="X10" s="1">
        <f t="shared" si="6"/>
        <v>4</v>
      </c>
      <c r="Y10" s="7">
        <f>'CALCULATOR SHEET'!I16</f>
        <v>55.25</v>
      </c>
      <c r="Z10" s="7">
        <f>'CALCULATOR SHEET'!J16</f>
        <v>86</v>
      </c>
      <c r="AA10" s="7">
        <f t="shared" si="1"/>
        <v>6</v>
      </c>
      <c r="AB10" s="7">
        <f t="shared" si="2"/>
        <v>10</v>
      </c>
      <c r="AC10" s="146">
        <f t="shared" si="3"/>
        <v>834</v>
      </c>
      <c r="AD10" s="13" t="str">
        <f>IF(AND('CALCULATOR SHEET'!P16="YES",'CALCULATOR SHEET'!Q16="YES"),HLOOKUP(CEILING(Y10,6),$C$28:$Q$31,3,FALSE),"")</f>
        <v/>
      </c>
      <c r="AE10" s="13">
        <f t="shared" si="4"/>
        <v>211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3</v>
      </c>
      <c r="X11" s="1">
        <f t="shared" si="6"/>
        <v>5</v>
      </c>
      <c r="Y11" s="7">
        <f>'CALCULATOR SHEET'!I17</f>
        <v>55.5</v>
      </c>
      <c r="Z11" s="7">
        <f>'CALCULATOR SHEET'!J17</f>
        <v>86</v>
      </c>
      <c r="AA11" s="7">
        <f t="shared" si="1"/>
        <v>6</v>
      </c>
      <c r="AB11" s="7">
        <f t="shared" si="2"/>
        <v>10</v>
      </c>
      <c r="AC11" s="146">
        <f t="shared" si="3"/>
        <v>834</v>
      </c>
      <c r="AD11" s="13" t="str">
        <f>IF(AND('CALCULATOR SHEET'!P17="YES",'CALCULATOR SHEET'!Q17="YES"),HLOOKUP(CEILING(Y11,6),$C$28:$Q$31,3,FALSE),"")</f>
        <v/>
      </c>
      <c r="AE11" s="13">
        <f t="shared" si="4"/>
        <v>211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3</v>
      </c>
      <c r="X12" s="1">
        <f t="shared" si="6"/>
        <v>6</v>
      </c>
      <c r="Y12" s="7">
        <f>'CALCULATOR SHEET'!I18</f>
        <v>52</v>
      </c>
      <c r="Z12" s="7">
        <f>'CALCULATOR SHEET'!J18</f>
        <v>86</v>
      </c>
      <c r="AA12" s="7">
        <f t="shared" si="1"/>
        <v>5</v>
      </c>
      <c r="AB12" s="7">
        <f t="shared" si="2"/>
        <v>10</v>
      </c>
      <c r="AC12" s="146">
        <f t="shared" si="3"/>
        <v>810</v>
      </c>
      <c r="AD12" s="13" t="str">
        <f>IF(AND('CALCULATOR SHEET'!P18="YES",'CALCULATOR SHEET'!Q18="YES"),HLOOKUP(CEILING(Y12,6),$C$28:$Q$31,3,FALSE),"")</f>
        <v/>
      </c>
      <c r="AE12" s="13">
        <f t="shared" si="4"/>
        <v>211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3</v>
      </c>
      <c r="X13" s="1">
        <f t="shared" si="6"/>
        <v>7</v>
      </c>
      <c r="Y13" s="7">
        <f>'CALCULATOR SHEET'!I19</f>
        <v>54.875</v>
      </c>
      <c r="Z13" s="7">
        <f>'CALCULATOR SHEET'!J19</f>
        <v>86</v>
      </c>
      <c r="AA13" s="7">
        <f t="shared" si="1"/>
        <v>6</v>
      </c>
      <c r="AB13" s="7">
        <f t="shared" si="2"/>
        <v>10</v>
      </c>
      <c r="AC13" s="146">
        <f t="shared" si="3"/>
        <v>834</v>
      </c>
      <c r="AD13" s="13" t="str">
        <f>IF(AND('CALCULATOR SHEET'!P19="YES",'CALCULATOR SHEET'!Q19="YES"),HLOOKUP(CEILING(Y13,6),$C$28:$Q$31,3,FALSE),"")</f>
        <v/>
      </c>
      <c r="AE13" s="13">
        <f t="shared" si="4"/>
        <v>211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109</v>
      </c>
      <c r="W7" s="7">
        <f>'CALCULATOR SHEET'!J13</f>
        <v>79</v>
      </c>
      <c r="X7" s="7" t="e">
        <f>IF(V7=0,"",MATCH(CEILING(V7,6),$C$8:$Q$8,0))</f>
        <v>#N/A</v>
      </c>
      <c r="Y7" s="7">
        <f>IF(W7=0,"",MATCH(CEILING(W7,6),$B$10:$B$26,0))</f>
        <v>11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55.5</v>
      </c>
      <c r="W8" s="7">
        <f>'CALCULATOR SHEET'!J14</f>
        <v>86</v>
      </c>
      <c r="X8" s="7">
        <f t="shared" ref="X8:X73" si="0">IF(V8=0,"",MATCH(CEILING(V8,6),$C$8:$Q$8,0))</f>
        <v>7</v>
      </c>
      <c r="Y8" s="7">
        <f t="shared" ref="Y8:Y71" si="1">IF(W8=0,"",MATCH(CEILING(W8,6),$B$10:$B$26,0))</f>
        <v>12</v>
      </c>
      <c r="Z8" s="146">
        <f>IF(X8="","",INDEX($C$12:$Q$26,Y8,X8))</f>
        <v>324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52.125</v>
      </c>
      <c r="W9" s="7">
        <f>'CALCULATOR SHEET'!J15</f>
        <v>86</v>
      </c>
      <c r="X9" s="7">
        <f t="shared" si="0"/>
        <v>6</v>
      </c>
      <c r="Y9" s="7">
        <f t="shared" si="1"/>
        <v>12</v>
      </c>
      <c r="Z9" s="146">
        <f>IF(X9="","",INDEX($C$12:$Q$26,Y9,X9))</f>
        <v>285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55.25</v>
      </c>
      <c r="W12" s="7">
        <f>'CALCULATOR SHEET'!J16</f>
        <v>86</v>
      </c>
      <c r="X12" s="7">
        <f t="shared" si="0"/>
        <v>7</v>
      </c>
      <c r="Y12" s="7">
        <f t="shared" si="1"/>
        <v>12</v>
      </c>
      <c r="Z12" s="146">
        <f t="shared" ref="Z12:Z43" si="3">IF(X12="","",INDEX($C$12:$Q$26,Y12,X12))</f>
        <v>324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55.5</v>
      </c>
      <c r="W13" s="7">
        <f>'CALCULATOR SHEET'!J17</f>
        <v>86</v>
      </c>
      <c r="X13" s="7">
        <f t="shared" si="0"/>
        <v>7</v>
      </c>
      <c r="Y13" s="7">
        <f t="shared" si="1"/>
        <v>12</v>
      </c>
      <c r="Z13" s="146">
        <f t="shared" si="3"/>
        <v>324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52</v>
      </c>
      <c r="W14" s="7">
        <f>'CALCULATOR SHEET'!J18</f>
        <v>86</v>
      </c>
      <c r="X14" s="7">
        <f t="shared" si="0"/>
        <v>6</v>
      </c>
      <c r="Y14" s="7">
        <f t="shared" si="1"/>
        <v>12</v>
      </c>
      <c r="Z14" s="146">
        <f t="shared" si="3"/>
        <v>285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54.875</v>
      </c>
      <c r="W15" s="7">
        <f>'CALCULATOR SHEET'!J19</f>
        <v>86</v>
      </c>
      <c r="X15" s="7">
        <f t="shared" si="0"/>
        <v>7</v>
      </c>
      <c r="Y15" s="7">
        <f t="shared" si="1"/>
        <v>12</v>
      </c>
      <c r="Z15" s="146">
        <f t="shared" si="3"/>
        <v>324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109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55.5</v>
      </c>
      <c r="X8" s="7">
        <f>'CALCULATOR SHEET'!J14</f>
        <v>86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195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52.125</v>
      </c>
      <c r="X9" s="7">
        <f>'CALCULATOR SHEET'!J15</f>
        <v>86</v>
      </c>
      <c r="Y9" s="7">
        <f t="shared" si="1"/>
        <v>6</v>
      </c>
      <c r="Z9" s="7">
        <f t="shared" si="2"/>
        <v>12</v>
      </c>
      <c r="AA9" s="146">
        <f t="shared" si="3"/>
        <v>152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55.25</v>
      </c>
      <c r="X10" s="7">
        <f>'CALCULATOR SHEET'!J16</f>
        <v>86</v>
      </c>
      <c r="Y10" s="7">
        <f t="shared" si="1"/>
        <v>7</v>
      </c>
      <c r="Z10" s="7">
        <f t="shared" si="2"/>
        <v>12</v>
      </c>
      <c r="AA10" s="146">
        <f t="shared" si="3"/>
        <v>195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55.5</v>
      </c>
      <c r="X11" s="7">
        <f>'CALCULATOR SHEET'!J17</f>
        <v>86</v>
      </c>
      <c r="Y11" s="7">
        <f t="shared" si="1"/>
        <v>7</v>
      </c>
      <c r="Z11" s="7">
        <f t="shared" si="2"/>
        <v>12</v>
      </c>
      <c r="AA11" s="146">
        <f t="shared" si="3"/>
        <v>195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52</v>
      </c>
      <c r="X12" s="7">
        <f>'CALCULATOR SHEET'!J18</f>
        <v>86</v>
      </c>
      <c r="Y12" s="7">
        <f t="shared" si="1"/>
        <v>6</v>
      </c>
      <c r="Z12" s="7">
        <f t="shared" si="2"/>
        <v>12</v>
      </c>
      <c r="AA12" s="146">
        <f t="shared" si="3"/>
        <v>152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54.875</v>
      </c>
      <c r="X13" s="7">
        <f>'CALCULATOR SHEET'!J19</f>
        <v>86</v>
      </c>
      <c r="Y13" s="7">
        <f t="shared" si="1"/>
        <v>7</v>
      </c>
      <c r="Z13" s="7">
        <f t="shared" si="2"/>
        <v>12</v>
      </c>
      <c r="AA13" s="146">
        <f t="shared" si="3"/>
        <v>195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109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>
      <c r="T8" s="385"/>
      <c r="V8" s="1">
        <f>+V7+1</f>
        <v>2</v>
      </c>
      <c r="W8" s="7">
        <f>'CALCULATOR SHEET'!I14</f>
        <v>55.5</v>
      </c>
      <c r="X8" s="7">
        <f>'CALCULATOR SHEET'!J14</f>
        <v>86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311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52.125</v>
      </c>
      <c r="X9" s="7">
        <f>'CALCULATOR SHEET'!J15</f>
        <v>86</v>
      </c>
      <c r="Y9" s="7">
        <f t="shared" si="1"/>
        <v>6</v>
      </c>
      <c r="Z9" s="7">
        <f t="shared" si="2"/>
        <v>12</v>
      </c>
      <c r="AA9" s="146">
        <f t="shared" si="3"/>
        <v>217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55.25</v>
      </c>
      <c r="X10" s="7">
        <f>'CALCULATOR SHEET'!J16</f>
        <v>86</v>
      </c>
      <c r="Y10" s="7">
        <f t="shared" si="1"/>
        <v>7</v>
      </c>
      <c r="Z10" s="7">
        <f t="shared" si="2"/>
        <v>12</v>
      </c>
      <c r="AA10" s="146">
        <f t="shared" si="3"/>
        <v>311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55.5</v>
      </c>
      <c r="X11" s="7">
        <f>'CALCULATOR SHEET'!J17</f>
        <v>86</v>
      </c>
      <c r="Y11" s="7">
        <f t="shared" si="1"/>
        <v>7</v>
      </c>
      <c r="Z11" s="7">
        <f t="shared" si="2"/>
        <v>12</v>
      </c>
      <c r="AA11" s="146">
        <f t="shared" si="3"/>
        <v>311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52</v>
      </c>
      <c r="X12" s="7">
        <f>'CALCULATOR SHEET'!J18</f>
        <v>86</v>
      </c>
      <c r="Y12" s="7">
        <f t="shared" si="1"/>
        <v>6</v>
      </c>
      <c r="Z12" s="7">
        <f t="shared" si="2"/>
        <v>12</v>
      </c>
      <c r="AA12" s="146">
        <f t="shared" si="3"/>
        <v>217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54.875</v>
      </c>
      <c r="X13" s="7">
        <f>'CALCULATOR SHEET'!J19</f>
        <v>86</v>
      </c>
      <c r="Y13" s="7">
        <f t="shared" si="1"/>
        <v>7</v>
      </c>
      <c r="Z13" s="7">
        <f t="shared" si="2"/>
        <v>12</v>
      </c>
      <c r="AA13" s="146">
        <f t="shared" si="3"/>
        <v>311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T6" sqref="T6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3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482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465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470</v>
      </c>
      <c r="E9" s="39"/>
      <c r="F9" s="1"/>
      <c r="G9" s="38" t="s">
        <v>443</v>
      </c>
      <c r="H9" s="343" t="s">
        <v>466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45961</v>
      </c>
      <c r="Z9" s="38" t="s">
        <v>304</v>
      </c>
      <c r="AA9" s="34">
        <f>SUMIF(C13:C52,"&gt;0")</f>
        <v>7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469</v>
      </c>
      <c r="E10" s="149"/>
      <c r="F10" s="1"/>
      <c r="G10" s="341" t="s">
        <v>444</v>
      </c>
      <c r="H10" s="343" t="s">
        <v>467</v>
      </c>
      <c r="I10" s="1"/>
      <c r="J10" s="3" t="s">
        <v>449</v>
      </c>
      <c r="K10" s="344" t="s">
        <v>471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468</v>
      </c>
      <c r="I11" s="46"/>
      <c r="J11" s="38" t="s">
        <v>448</v>
      </c>
      <c r="K11" s="301" t="s">
        <v>472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/>
      <c r="G13" s="68" t="s">
        <v>473</v>
      </c>
      <c r="H13" s="68" t="s">
        <v>475</v>
      </c>
      <c r="I13" s="81">
        <v>109</v>
      </c>
      <c r="J13" s="81">
        <v>79</v>
      </c>
      <c r="K13" s="254" t="s">
        <v>96</v>
      </c>
      <c r="L13" s="70"/>
      <c r="M13" s="284" t="s">
        <v>130</v>
      </c>
      <c r="N13" s="254" t="s">
        <v>213</v>
      </c>
      <c r="O13" s="254" t="s">
        <v>322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381</v>
      </c>
      <c r="T13" s="316">
        <f t="shared" ref="T13:T52" si="0">IF(S13="","",S13*C13)</f>
        <v>381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381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371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10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10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/>
      <c r="G14" s="68" t="s">
        <v>473</v>
      </c>
      <c r="H14" s="68" t="s">
        <v>476</v>
      </c>
      <c r="I14" s="81">
        <v>55.5</v>
      </c>
      <c r="J14" s="81">
        <v>86</v>
      </c>
      <c r="K14" s="254" t="s">
        <v>96</v>
      </c>
      <c r="L14" s="70"/>
      <c r="M14" s="284" t="s">
        <v>129</v>
      </c>
      <c r="N14" s="254" t="s">
        <v>212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189</v>
      </c>
      <c r="T14" s="316">
        <f t="shared" si="0"/>
        <v>189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189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179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10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10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21</v>
      </c>
      <c r="F15" s="69"/>
      <c r="G15" s="68" t="s">
        <v>473</v>
      </c>
      <c r="H15" s="68" t="s">
        <v>477</v>
      </c>
      <c r="I15" s="81">
        <v>52.125</v>
      </c>
      <c r="J15" s="81">
        <v>86</v>
      </c>
      <c r="K15" s="254" t="s">
        <v>96</v>
      </c>
      <c r="L15" s="70"/>
      <c r="M15" s="284" t="s">
        <v>129</v>
      </c>
      <c r="N15" s="254" t="s">
        <v>213</v>
      </c>
      <c r="O15" s="254" t="s">
        <v>322</v>
      </c>
      <c r="P15" s="70" t="s">
        <v>45</v>
      </c>
      <c r="Q15" s="70" t="s">
        <v>45</v>
      </c>
      <c r="R15" s="70" t="s">
        <v>45</v>
      </c>
      <c r="S15" s="71">
        <f t="shared" si="1"/>
        <v>176</v>
      </c>
      <c r="T15" s="316">
        <f t="shared" si="0"/>
        <v>176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176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166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10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10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21</v>
      </c>
      <c r="F16" s="69"/>
      <c r="G16" s="68" t="s">
        <v>473</v>
      </c>
      <c r="H16" s="68" t="s">
        <v>478</v>
      </c>
      <c r="I16" s="81">
        <v>55.25</v>
      </c>
      <c r="J16" s="81">
        <v>86</v>
      </c>
      <c r="K16" s="254" t="s">
        <v>96</v>
      </c>
      <c r="L16" s="70"/>
      <c r="M16" s="284" t="s">
        <v>130</v>
      </c>
      <c r="N16" s="254" t="s">
        <v>212</v>
      </c>
      <c r="O16" s="254" t="s">
        <v>322</v>
      </c>
      <c r="P16" s="70" t="s">
        <v>45</v>
      </c>
      <c r="Q16" s="70" t="s">
        <v>45</v>
      </c>
      <c r="R16" s="70" t="s">
        <v>45</v>
      </c>
      <c r="S16" s="71">
        <f t="shared" si="1"/>
        <v>189</v>
      </c>
      <c r="T16" s="316">
        <f t="shared" si="0"/>
        <v>189</v>
      </c>
      <c r="U16" s="179" t="str">
        <f t="shared" si="2"/>
        <v/>
      </c>
      <c r="V16" s="120"/>
      <c r="W16" s="124">
        <f t="shared" si="8"/>
        <v>189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179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10</v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10</v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21</v>
      </c>
      <c r="F17" s="69"/>
      <c r="G17" s="68" t="s">
        <v>474</v>
      </c>
      <c r="H17" s="68" t="s">
        <v>479</v>
      </c>
      <c r="I17" s="81">
        <v>55.5</v>
      </c>
      <c r="J17" s="81">
        <v>86</v>
      </c>
      <c r="K17" s="254" t="s">
        <v>96</v>
      </c>
      <c r="L17" s="70"/>
      <c r="M17" s="284" t="s">
        <v>129</v>
      </c>
      <c r="N17" s="254" t="s">
        <v>212</v>
      </c>
      <c r="O17" s="254" t="s">
        <v>322</v>
      </c>
      <c r="P17" s="70" t="s">
        <v>45</v>
      </c>
      <c r="Q17" s="70" t="s">
        <v>45</v>
      </c>
      <c r="R17" s="70" t="s">
        <v>45</v>
      </c>
      <c r="S17" s="71">
        <f t="shared" si="1"/>
        <v>189</v>
      </c>
      <c r="T17" s="316">
        <f t="shared" si="0"/>
        <v>189</v>
      </c>
      <c r="U17" s="179" t="str">
        <f t="shared" si="2"/>
        <v/>
      </c>
      <c r="V17" s="120"/>
      <c r="W17" s="124">
        <f t="shared" si="8"/>
        <v>189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179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10</v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6"/>
        <v>10</v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21</v>
      </c>
      <c r="F18" s="69"/>
      <c r="G18" s="68" t="s">
        <v>474</v>
      </c>
      <c r="H18" s="68" t="s">
        <v>480</v>
      </c>
      <c r="I18" s="81">
        <v>52</v>
      </c>
      <c r="J18" s="81">
        <v>86</v>
      </c>
      <c r="K18" s="254" t="s">
        <v>96</v>
      </c>
      <c r="L18" s="70"/>
      <c r="M18" s="284" t="s">
        <v>130</v>
      </c>
      <c r="N18" s="254" t="s">
        <v>213</v>
      </c>
      <c r="O18" s="254" t="s">
        <v>322</v>
      </c>
      <c r="P18" s="70" t="s">
        <v>45</v>
      </c>
      <c r="Q18" s="70" t="s">
        <v>45</v>
      </c>
      <c r="R18" s="70" t="s">
        <v>45</v>
      </c>
      <c r="S18" s="71">
        <f t="shared" si="1"/>
        <v>176</v>
      </c>
      <c r="T18" s="316">
        <f t="shared" si="0"/>
        <v>176</v>
      </c>
      <c r="U18" s="179" t="str">
        <f t="shared" si="2"/>
        <v/>
      </c>
      <c r="V18" s="120"/>
      <c r="W18" s="124">
        <f t="shared" si="8"/>
        <v>176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166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10</v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6"/>
        <v>10</v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21</v>
      </c>
      <c r="F19" s="69"/>
      <c r="G19" s="68" t="s">
        <v>474</v>
      </c>
      <c r="H19" s="68" t="s">
        <v>481</v>
      </c>
      <c r="I19" s="81">
        <v>54.875</v>
      </c>
      <c r="J19" s="81">
        <v>86</v>
      </c>
      <c r="K19" s="254" t="s">
        <v>96</v>
      </c>
      <c r="L19" s="70"/>
      <c r="M19" s="284" t="s">
        <v>130</v>
      </c>
      <c r="N19" s="254" t="s">
        <v>212</v>
      </c>
      <c r="O19" s="254" t="s">
        <v>322</v>
      </c>
      <c r="P19" s="70" t="s">
        <v>45</v>
      </c>
      <c r="Q19" s="70" t="s">
        <v>45</v>
      </c>
      <c r="R19" s="70" t="s">
        <v>45</v>
      </c>
      <c r="S19" s="71">
        <f t="shared" si="1"/>
        <v>189</v>
      </c>
      <c r="T19" s="316">
        <f t="shared" si="0"/>
        <v>189</v>
      </c>
      <c r="U19" s="179" t="str">
        <f t="shared" si="2"/>
        <v/>
      </c>
      <c r="V19" s="120"/>
      <c r="W19" s="124">
        <f t="shared" si="8"/>
        <v>189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179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10</v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6"/>
        <v>10</v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6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1489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446.7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1042.3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1042.3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109</v>
      </c>
      <c r="Y7" s="7">
        <f>'CALCULATOR SHEET'!J13</f>
        <v>79</v>
      </c>
      <c r="Z7" s="7">
        <f>IF(X7=0,"",MATCH(CEILING(X7,6),$C$7:$R$7,0))</f>
        <v>16</v>
      </c>
      <c r="AA7" s="7">
        <f>IF(Y7=0,"",MATCH(CEILING(Y7,6),$B$10:$B$26,0))</f>
        <v>11</v>
      </c>
      <c r="AB7" s="146" t="str">
        <f>IF(Z7="","",INDEX($C$10:$R$26,AA7,Z7))</f>
        <v>N/A</v>
      </c>
    </row>
    <row r="8" spans="2:28" ht="15.75">
      <c r="U8" s="385"/>
      <c r="V8" s="147"/>
      <c r="W8" s="1">
        <f>+W7+1</f>
        <v>2</v>
      </c>
      <c r="X8" s="7">
        <f>'CALCULATOR SHEET'!I14</f>
        <v>55.5</v>
      </c>
      <c r="Y8" s="7">
        <f>'CALCULATOR SHEET'!J14</f>
        <v>86</v>
      </c>
      <c r="Z8" s="7">
        <f t="shared" ref="Z8:Z71" si="0">IF(X8=0,"",MATCH(CEILING(X8,6),$C$7:$R$7,0))</f>
        <v>7</v>
      </c>
      <c r="AA8" s="7">
        <f t="shared" ref="AA8:AA71" si="1">IF(Y8=0,"",MATCH(CEILING(Y8,6),$B$10:$B$26,0))</f>
        <v>12</v>
      </c>
      <c r="AB8" s="146">
        <f t="shared" ref="AB8:AB71" si="2">IF(Z8="","",INDEX($C$10:$R$26,AA8,Z8))</f>
        <v>363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52.125</v>
      </c>
      <c r="Y9" s="7">
        <f>'CALCULATOR SHEET'!J15</f>
        <v>86</v>
      </c>
      <c r="Z9" s="7">
        <f t="shared" si="0"/>
        <v>6</v>
      </c>
      <c r="AA9" s="7">
        <f t="shared" si="1"/>
        <v>12</v>
      </c>
      <c r="AB9" s="146">
        <f t="shared" si="2"/>
        <v>243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55.25</v>
      </c>
      <c r="Y10" s="7">
        <f>'CALCULATOR SHEET'!J16</f>
        <v>86</v>
      </c>
      <c r="Z10" s="7">
        <f t="shared" si="0"/>
        <v>7</v>
      </c>
      <c r="AA10" s="7">
        <f t="shared" si="1"/>
        <v>12</v>
      </c>
      <c r="AB10" s="146">
        <f t="shared" si="2"/>
        <v>363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55.5</v>
      </c>
      <c r="Y11" s="7">
        <f>'CALCULATOR SHEET'!J17</f>
        <v>86</v>
      </c>
      <c r="Z11" s="7">
        <f t="shared" si="0"/>
        <v>7</v>
      </c>
      <c r="AA11" s="7">
        <f t="shared" si="1"/>
        <v>12</v>
      </c>
      <c r="AB11" s="146">
        <f t="shared" si="2"/>
        <v>363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52</v>
      </c>
      <c r="Y12" s="7">
        <f>'CALCULATOR SHEET'!J18</f>
        <v>86</v>
      </c>
      <c r="Z12" s="7">
        <f t="shared" si="0"/>
        <v>6</v>
      </c>
      <c r="AA12" s="7">
        <f t="shared" si="1"/>
        <v>12</v>
      </c>
      <c r="AB12" s="146">
        <f t="shared" si="2"/>
        <v>243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54.875</v>
      </c>
      <c r="Y13" s="7">
        <f>'CALCULATOR SHEET'!J19</f>
        <v>86</v>
      </c>
      <c r="Z13" s="7">
        <f t="shared" si="0"/>
        <v>7</v>
      </c>
      <c r="AA13" s="7">
        <f t="shared" si="1"/>
        <v>12</v>
      </c>
      <c r="AB13" s="146">
        <f t="shared" si="2"/>
        <v>363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109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>
      <c r="T8" s="385"/>
      <c r="V8" s="1">
        <f>+V7+1</f>
        <v>2</v>
      </c>
      <c r="W8" s="7">
        <f>'CALCULATOR SHEET'!I14</f>
        <v>55.5</v>
      </c>
      <c r="X8" s="7">
        <f>'CALCULATOR SHEET'!J14</f>
        <v>86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429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52.125</v>
      </c>
      <c r="X9" s="7">
        <f>'CALCULATOR SHEET'!J15</f>
        <v>86</v>
      </c>
      <c r="Y9" s="7">
        <f t="shared" si="1"/>
        <v>6</v>
      </c>
      <c r="Z9" s="7">
        <f t="shared" si="2"/>
        <v>12</v>
      </c>
      <c r="AA9" s="146">
        <f t="shared" si="3"/>
        <v>277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55.25</v>
      </c>
      <c r="X10" s="7">
        <f>'CALCULATOR SHEET'!J16</f>
        <v>86</v>
      </c>
      <c r="Y10" s="7">
        <f t="shared" si="1"/>
        <v>7</v>
      </c>
      <c r="Z10" s="7">
        <f t="shared" si="2"/>
        <v>12</v>
      </c>
      <c r="AA10" s="146">
        <f t="shared" si="3"/>
        <v>429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55.5</v>
      </c>
      <c r="X11" s="7">
        <f>'CALCULATOR SHEET'!J17</f>
        <v>86</v>
      </c>
      <c r="Y11" s="7">
        <f t="shared" si="1"/>
        <v>7</v>
      </c>
      <c r="Z11" s="7">
        <f t="shared" si="2"/>
        <v>12</v>
      </c>
      <c r="AA11" s="146">
        <f t="shared" si="3"/>
        <v>429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52</v>
      </c>
      <c r="X12" s="7">
        <f>'CALCULATOR SHEET'!J18</f>
        <v>86</v>
      </c>
      <c r="Y12" s="7">
        <f t="shared" si="1"/>
        <v>6</v>
      </c>
      <c r="Z12" s="7">
        <f t="shared" si="2"/>
        <v>12</v>
      </c>
      <c r="AA12" s="146">
        <f t="shared" si="3"/>
        <v>277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54.875</v>
      </c>
      <c r="X13" s="7">
        <f>'CALCULATOR SHEET'!J19</f>
        <v>86</v>
      </c>
      <c r="Y13" s="7">
        <f t="shared" si="1"/>
        <v>7</v>
      </c>
      <c r="Z13" s="7">
        <f t="shared" si="2"/>
        <v>12</v>
      </c>
      <c r="AA13" s="146">
        <f t="shared" si="3"/>
        <v>429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109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55.5</v>
      </c>
      <c r="X8" s="7">
        <f>'CALCULATOR SHEET'!J14</f>
        <v>86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416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52.125</v>
      </c>
      <c r="X9" s="7">
        <f>'CALCULATOR SHEET'!J15</f>
        <v>86</v>
      </c>
      <c r="Y9" s="7">
        <f t="shared" si="1"/>
        <v>6</v>
      </c>
      <c r="Z9" s="7">
        <f t="shared" si="2"/>
        <v>12</v>
      </c>
      <c r="AA9" s="146">
        <f t="shared" si="3"/>
        <v>267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55.25</v>
      </c>
      <c r="X10" s="7">
        <f>'CALCULATOR SHEET'!J16</f>
        <v>86</v>
      </c>
      <c r="Y10" s="7">
        <f t="shared" si="1"/>
        <v>7</v>
      </c>
      <c r="Z10" s="7">
        <f t="shared" si="2"/>
        <v>12</v>
      </c>
      <c r="AA10" s="146">
        <f t="shared" si="3"/>
        <v>416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55.5</v>
      </c>
      <c r="X11" s="7">
        <f>'CALCULATOR SHEET'!J17</f>
        <v>86</v>
      </c>
      <c r="Y11" s="7">
        <f t="shared" si="1"/>
        <v>7</v>
      </c>
      <c r="Z11" s="7">
        <f t="shared" si="2"/>
        <v>12</v>
      </c>
      <c r="AA11" s="146">
        <f t="shared" si="3"/>
        <v>416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52</v>
      </c>
      <c r="X12" s="7">
        <f>'CALCULATOR SHEET'!J18</f>
        <v>86</v>
      </c>
      <c r="Y12" s="7">
        <f t="shared" si="1"/>
        <v>6</v>
      </c>
      <c r="Z12" s="7">
        <f t="shared" si="2"/>
        <v>12</v>
      </c>
      <c r="AA12" s="146">
        <f t="shared" si="3"/>
        <v>267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54.875</v>
      </c>
      <c r="X13" s="7">
        <f>'CALCULATOR SHEET'!J19</f>
        <v>86</v>
      </c>
      <c r="Y13" s="7">
        <f t="shared" si="1"/>
        <v>7</v>
      </c>
      <c r="Z13" s="7">
        <f t="shared" si="2"/>
        <v>12</v>
      </c>
      <c r="AA13" s="146">
        <f t="shared" si="3"/>
        <v>416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109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55.5</v>
      </c>
      <c r="X8" s="7">
        <f>'CALCULATOR SHEET'!J14</f>
        <v>86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572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52.125</v>
      </c>
      <c r="X9" s="7">
        <f>'CALCULATOR SHEET'!J15</f>
        <v>86</v>
      </c>
      <c r="Y9" s="7">
        <f t="shared" si="1"/>
        <v>6</v>
      </c>
      <c r="Z9" s="7">
        <f t="shared" si="2"/>
        <v>12</v>
      </c>
      <c r="AA9" s="146">
        <f t="shared" si="3"/>
        <v>349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55.25</v>
      </c>
      <c r="X10" s="7">
        <f>'CALCULATOR SHEET'!J16</f>
        <v>86</v>
      </c>
      <c r="Y10" s="7">
        <f t="shared" si="1"/>
        <v>7</v>
      </c>
      <c r="Z10" s="7">
        <f t="shared" si="2"/>
        <v>12</v>
      </c>
      <c r="AA10" s="146">
        <f t="shared" si="3"/>
        <v>572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55.5</v>
      </c>
      <c r="X11" s="7">
        <f>'CALCULATOR SHEET'!J17</f>
        <v>86</v>
      </c>
      <c r="Y11" s="7">
        <f t="shared" si="1"/>
        <v>7</v>
      </c>
      <c r="Z11" s="7">
        <f t="shared" si="2"/>
        <v>12</v>
      </c>
      <c r="AA11" s="146">
        <f t="shared" si="3"/>
        <v>572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52</v>
      </c>
      <c r="X12" s="7">
        <f>'CALCULATOR SHEET'!J18</f>
        <v>86</v>
      </c>
      <c r="Y12" s="7">
        <f t="shared" si="1"/>
        <v>6</v>
      </c>
      <c r="Z12" s="7">
        <f t="shared" si="2"/>
        <v>12</v>
      </c>
      <c r="AA12" s="146">
        <f t="shared" si="3"/>
        <v>349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54.875</v>
      </c>
      <c r="X13" s="7">
        <f>'CALCULATOR SHEET'!J19</f>
        <v>86</v>
      </c>
      <c r="Y13" s="7">
        <f t="shared" si="1"/>
        <v>7</v>
      </c>
      <c r="Z13" s="7">
        <f t="shared" si="2"/>
        <v>12</v>
      </c>
      <c r="AA13" s="146">
        <f t="shared" si="3"/>
        <v>572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109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55.5</v>
      </c>
      <c r="X8" s="7">
        <f>'CALCULATOR SHEET'!J14</f>
        <v>86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605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52.125</v>
      </c>
      <c r="X9" s="7">
        <f>'CALCULATOR SHEET'!J15</f>
        <v>86</v>
      </c>
      <c r="Y9" s="7">
        <f t="shared" si="1"/>
        <v>6</v>
      </c>
      <c r="Z9" s="7">
        <f t="shared" si="2"/>
        <v>12</v>
      </c>
      <c r="AA9" s="146">
        <f t="shared" si="3"/>
        <v>366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55.25</v>
      </c>
      <c r="X10" s="7">
        <f>'CALCULATOR SHEET'!J16</f>
        <v>86</v>
      </c>
      <c r="Y10" s="7">
        <f t="shared" si="1"/>
        <v>7</v>
      </c>
      <c r="Z10" s="7">
        <f t="shared" si="2"/>
        <v>12</v>
      </c>
      <c r="AA10" s="146">
        <f t="shared" si="3"/>
        <v>605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55.5</v>
      </c>
      <c r="X11" s="7">
        <f>'CALCULATOR SHEET'!J17</f>
        <v>86</v>
      </c>
      <c r="Y11" s="7">
        <f t="shared" si="1"/>
        <v>7</v>
      </c>
      <c r="Z11" s="7">
        <f t="shared" si="2"/>
        <v>12</v>
      </c>
      <c r="AA11" s="146">
        <f t="shared" si="3"/>
        <v>605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52</v>
      </c>
      <c r="X12" s="7">
        <f>'CALCULATOR SHEET'!J18</f>
        <v>86</v>
      </c>
      <c r="Y12" s="7">
        <f t="shared" si="1"/>
        <v>6</v>
      </c>
      <c r="Z12" s="7">
        <f t="shared" si="2"/>
        <v>12</v>
      </c>
      <c r="AA12" s="146">
        <f t="shared" si="3"/>
        <v>366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54.875</v>
      </c>
      <c r="X13" s="7">
        <f>'CALCULATOR SHEET'!J19</f>
        <v>86</v>
      </c>
      <c r="Y13" s="7">
        <f t="shared" si="1"/>
        <v>7</v>
      </c>
      <c r="Z13" s="7">
        <f t="shared" si="2"/>
        <v>12</v>
      </c>
      <c r="AA13" s="146">
        <f t="shared" si="3"/>
        <v>605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109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55.5</v>
      </c>
      <c r="X8" s="7">
        <f>'CALCULATOR SHEET'!J14</f>
        <v>86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608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52.125</v>
      </c>
      <c r="X9" s="7">
        <f>'CALCULATOR SHEET'!J15</f>
        <v>86</v>
      </c>
      <c r="Y9" s="7">
        <f t="shared" si="1"/>
        <v>6</v>
      </c>
      <c r="Z9" s="7">
        <f t="shared" si="2"/>
        <v>12</v>
      </c>
      <c r="AA9" s="146">
        <f t="shared" si="3"/>
        <v>359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55.25</v>
      </c>
      <c r="X10" s="7">
        <f>'CALCULATOR SHEET'!J16</f>
        <v>86</v>
      </c>
      <c r="Y10" s="7">
        <f t="shared" si="1"/>
        <v>7</v>
      </c>
      <c r="Z10" s="7">
        <f t="shared" si="2"/>
        <v>12</v>
      </c>
      <c r="AA10" s="146">
        <f t="shared" si="3"/>
        <v>608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55.5</v>
      </c>
      <c r="X11" s="7">
        <f>'CALCULATOR SHEET'!J17</f>
        <v>86</v>
      </c>
      <c r="Y11" s="7">
        <f t="shared" si="1"/>
        <v>7</v>
      </c>
      <c r="Z11" s="7">
        <f t="shared" si="2"/>
        <v>12</v>
      </c>
      <c r="AA11" s="146">
        <f t="shared" si="3"/>
        <v>608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52</v>
      </c>
      <c r="X12" s="7">
        <f>'CALCULATOR SHEET'!J18</f>
        <v>86</v>
      </c>
      <c r="Y12" s="7">
        <f t="shared" si="1"/>
        <v>6</v>
      </c>
      <c r="Z12" s="7">
        <f t="shared" si="2"/>
        <v>12</v>
      </c>
      <c r="AA12" s="146">
        <f t="shared" si="3"/>
        <v>359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54.875</v>
      </c>
      <c r="X13" s="7">
        <f>'CALCULATOR SHEET'!J19</f>
        <v>86</v>
      </c>
      <c r="Y13" s="7">
        <f t="shared" si="1"/>
        <v>7</v>
      </c>
      <c r="Z13" s="7">
        <f t="shared" si="2"/>
        <v>12</v>
      </c>
      <c r="AA13" s="146">
        <f t="shared" si="3"/>
        <v>608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109</v>
      </c>
      <c r="Y5" s="7">
        <f>'PM-ORDER'!P5</f>
        <v>79</v>
      </c>
      <c r="Z5" s="7">
        <f>IF(X5&lt;&gt;"",MATCH(CEILING(X5,6),$C$4:$S$4,0),"")</f>
        <v>16</v>
      </c>
      <c r="AA5" s="7">
        <f>IF(X5&lt;&gt;"",MATCH(CEILING(Y5,6),$B$7:$B$26,0),"")</f>
        <v>11</v>
      </c>
      <c r="AB5" s="7"/>
      <c r="AC5" s="7" t="str">
        <f>IF('PM-ORDER'!G5="ROLLER",INDEX($C$7:$S$26,AA5,Z5),"")</f>
        <v>RL-MAN-BSGD</v>
      </c>
      <c r="AF5" s="7" t="str">
        <f>IF('PM-ORDER'!G5="ZEBRA",INDEX($C$35:$S$54,AA5,Z5),"")</f>
        <v/>
      </c>
      <c r="AG5" s="1" t="str">
        <f>CONCATENATE(AC5,AF5)</f>
        <v>RL-MAN-BSGD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55.5</v>
      </c>
      <c r="Y6" s="7">
        <f>'PM-ORDER'!P6</f>
        <v>86</v>
      </c>
      <c r="Z6" s="7">
        <f t="shared" ref="Z6:Z44" si="0">IF(X6&lt;&gt;"",MATCH(CEILING(X6,6),$C$4:$S$4,0),"")</f>
        <v>7</v>
      </c>
      <c r="AA6" s="7">
        <f t="shared" ref="AA6:AA44" si="1">IF(X6&lt;&gt;"",MATCH(CEILING(Y6,6),$B$7:$B$26,0),"")</f>
        <v>12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52.125</v>
      </c>
      <c r="Y7" s="7">
        <f>'PM-ORDER'!P7</f>
        <v>86</v>
      </c>
      <c r="Z7" s="7">
        <f t="shared" si="0"/>
        <v>6</v>
      </c>
      <c r="AA7" s="7">
        <f t="shared" si="1"/>
        <v>12</v>
      </c>
      <c r="AC7" s="7" t="str">
        <f>IF('PM-ORDER'!G7="ROLLER",INDEX($C$7:$S$26,AA7,Z7),"")</f>
        <v>RL-MAN -BSCH</v>
      </c>
      <c r="AF7" s="7" t="str">
        <f>IF('PM-ORDER'!G7="ZEBRA",INDEX($C$35:$S$54,AA7,Z7),"")</f>
        <v/>
      </c>
      <c r="AG7" s="1" t="str">
        <f t="shared" si="2"/>
        <v>RL-MAN -BSCH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55.25</v>
      </c>
      <c r="Y8" s="7">
        <f>'PM-ORDER'!P8</f>
        <v>86</v>
      </c>
      <c r="Z8" s="7">
        <f t="shared" si="0"/>
        <v>7</v>
      </c>
      <c r="AA8" s="7">
        <f t="shared" si="1"/>
        <v>12</v>
      </c>
      <c r="AC8" s="7" t="str">
        <f>IF('PM-ORDER'!G8="ROLLER",INDEX($C$7:$S$26,AA8,Z8),"")</f>
        <v>RL-MAN -BSCH</v>
      </c>
      <c r="AF8" s="7" t="str">
        <f>IF('PM-ORDER'!G8="ZEBRA",INDEX($C$35:$S$54,AA8,Z8),"")</f>
        <v/>
      </c>
      <c r="AG8" s="1" t="str">
        <f t="shared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55.5</v>
      </c>
      <c r="Y9" s="7">
        <f>'PM-ORDER'!P9</f>
        <v>86</v>
      </c>
      <c r="Z9" s="7">
        <f t="shared" si="0"/>
        <v>7</v>
      </c>
      <c r="AA9" s="7">
        <f t="shared" si="1"/>
        <v>12</v>
      </c>
      <c r="AC9" s="7" t="str">
        <f>IF('PM-ORDER'!G9="ROLLER",INDEX($C$7:$S$26,AA9,Z9),"")</f>
        <v>RL-MAN -BSCH</v>
      </c>
      <c r="AF9" s="7" t="str">
        <f>IF('PM-ORDER'!G9="ZEBRA",INDEX($C$35:$S$54,AA9,Z9),"")</f>
        <v/>
      </c>
      <c r="AG9" s="1" t="str">
        <f t="shared" si="2"/>
        <v>RL-MAN -BSCH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52</v>
      </c>
      <c r="Y10" s="7">
        <f>'PM-ORDER'!P10</f>
        <v>86</v>
      </c>
      <c r="Z10" s="7">
        <f t="shared" si="0"/>
        <v>6</v>
      </c>
      <c r="AA10" s="7">
        <f t="shared" si="1"/>
        <v>12</v>
      </c>
      <c r="AC10" s="7" t="str">
        <f>IF('PM-ORDER'!G10="ROLLER",INDEX($C$7:$S$26,AA10,Z10),"")</f>
        <v>RL-MAN -BSCH</v>
      </c>
      <c r="AF10" s="7" t="str">
        <f>IF('PM-ORDER'!G10="ZEBRA",INDEX($C$35:$S$54,AA10,Z10),"")</f>
        <v/>
      </c>
      <c r="AG10" s="1" t="str">
        <f t="shared" si="2"/>
        <v>RL-MAN -BSCH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54.875</v>
      </c>
      <c r="Y11" s="7">
        <f>'PM-ORDER'!P11</f>
        <v>86</v>
      </c>
      <c r="Z11" s="7">
        <f t="shared" si="0"/>
        <v>7</v>
      </c>
      <c r="AA11" s="7">
        <f t="shared" si="1"/>
        <v>12</v>
      </c>
      <c r="AC11" s="7" t="str">
        <f>IF('PM-ORDER'!G11="ROLLER",INDEX($C$7:$S$26,AA11,Z11),"")</f>
        <v>RL-MAN -BSCH</v>
      </c>
      <c r="AF11" s="7" t="str">
        <f>IF('PM-ORDER'!G11="ZEBRA",INDEX($C$35:$S$54,AA11,Z11),"")</f>
        <v/>
      </c>
      <c r="AG11" s="1" t="str">
        <f t="shared" si="2"/>
        <v>RL-MAN -BSCH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45961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251031 B MANUAL </v>
      </c>
      <c r="D5" s="229">
        <f>IF('CALCULATOR SHEET'!D13&lt;&gt;"",'CALCULATOR SHEET'!$T$9,"")</f>
        <v>45961</v>
      </c>
      <c r="E5" s="230" t="str">
        <f>IF(D5&lt;&gt;"","BAJA SHADES","")</f>
        <v>BAJA SHADES</v>
      </c>
      <c r="F5" s="231" t="str">
        <f>IF(C5&lt;&gt;"",'CALCULATOR SHEET'!$D$9,"")</f>
        <v xml:space="preserve">KIM LIFE RESIDENCE </v>
      </c>
      <c r="G5" s="231" t="str">
        <f>IF('CALCULATOR SHEET'!D13&lt;&gt;"",'CALCULATOR SHEET'!D13,"")</f>
        <v>ROLLER</v>
      </c>
      <c r="H5" s="231" t="str">
        <f>IF(Q5="CCL",BOMS!AG5,"")</f>
        <v>RL-MAN-BSGD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 xml:space="preserve">SCREEN SOFT BLACK </v>
      </c>
      <c r="M5" s="231" t="str">
        <f>IF(C5&lt;&gt;"",'CALCULATOR SHEET'!O13,"")</f>
        <v>STANDARD ROLL</v>
      </c>
      <c r="N5" s="231" t="str">
        <f>IF(C5&lt;&gt;"",'CALCULATOR SHEET'!H13,"")</f>
        <v xml:space="preserve">WINDOW A </v>
      </c>
      <c r="O5" s="233">
        <f>IF(D5&lt;&gt;"",'CALCULATOR SHEET'!I13,"")</f>
        <v>109</v>
      </c>
      <c r="P5" s="233">
        <f>IF(E5&lt;&gt;"",'CALCULATOR SHEET'!J13,"")</f>
        <v>79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R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CAMPO TURISTICO LA MISION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251031 B MANUAL </v>
      </c>
      <c r="D6" s="229">
        <f>IF('CALCULATOR SHEET'!D14&lt;&gt;"",'CALCULATOR SHEET'!$T$9,"")</f>
        <v>45961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KIM LIFE RESIDENCE </v>
      </c>
      <c r="G6" s="231" t="str">
        <f>IF('CALCULATOR SHEET'!D14&lt;&gt;"",'CALCULATOR SHEET'!D14,"")</f>
        <v>ROLLER</v>
      </c>
      <c r="H6" s="231" t="str">
        <f>IF(Q6="CCL",BOMS!AG6,"")</f>
        <v>RL-MAN -BSCH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 xml:space="preserve">SCREEN SOFT BLACK </v>
      </c>
      <c r="M6" s="231" t="str">
        <f>IF(C6&lt;&gt;"",'CALCULATOR SHEET'!O14,"")</f>
        <v>STANDARD ROLL</v>
      </c>
      <c r="N6" s="231" t="str">
        <f>IF(C6&lt;&gt;"",'CALCULATOR SHEET'!H14,"")</f>
        <v xml:space="preserve">SLIDING DOOR 1 SIDE A </v>
      </c>
      <c r="O6" s="233">
        <f>IF(D6&lt;&gt;"",'CALCULATOR SHEET'!I14,"")</f>
        <v>55.5</v>
      </c>
      <c r="P6" s="233">
        <f>IF(E6&lt;&gt;"",'CALCULATOR SHEET'!J14,"")</f>
        <v>86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CAMPO TURISTICO LA MISION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251031 B MANUAL </v>
      </c>
      <c r="D7" s="229">
        <f>IF('CALCULATOR SHEET'!D15&lt;&gt;"",'CALCULATOR SHEET'!$T$9,"")</f>
        <v>45961</v>
      </c>
      <c r="E7" s="230" t="str">
        <f t="shared" si="0"/>
        <v>BAJA SHADES</v>
      </c>
      <c r="F7" s="231" t="str">
        <f>IF(C7&lt;&gt;"",'CALCULATOR SHEET'!$D$9,"")</f>
        <v xml:space="preserve">KIM LIFE RESIDENCE </v>
      </c>
      <c r="G7" s="231" t="str">
        <f>IF('CALCULATOR SHEET'!D15&lt;&gt;"",'CALCULATOR SHEET'!D15,"")</f>
        <v>ROLLER</v>
      </c>
      <c r="H7" s="231" t="str">
        <f>IF(Q7="CCL",BOMS!AG7,"")</f>
        <v>RL-MAN -BSCH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 xml:space="preserve">SCREEN SOFT BLACK </v>
      </c>
      <c r="M7" s="231" t="str">
        <f>IF(C7&lt;&gt;"",'CALCULATOR SHEET'!O15,"")</f>
        <v>STANDARD ROLL</v>
      </c>
      <c r="N7" s="231" t="str">
        <f>IF(C7&lt;&gt;"",'CALCULATOR SHEET'!H15,"")</f>
        <v xml:space="preserve">SLIDING DOOR 1 SIDE B </v>
      </c>
      <c r="O7" s="233">
        <f>IF(D7&lt;&gt;"",'CALCULATOR SHEET'!I15,"")</f>
        <v>52.125</v>
      </c>
      <c r="P7" s="233">
        <f>IF(E7&lt;&gt;"",'CALCULATOR SHEET'!J15,"")</f>
        <v>86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CAMPO TURISTICO LA MISION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 xml:space="preserve">BS 251031 B MANUAL </v>
      </c>
      <c r="D8" s="229">
        <f>IF('CALCULATOR SHEET'!D16&lt;&gt;"",'CALCULATOR SHEET'!$T$9,"")</f>
        <v>45961</v>
      </c>
      <c r="E8" s="230" t="str">
        <f t="shared" si="0"/>
        <v>BAJA SHADES</v>
      </c>
      <c r="F8" s="231" t="str">
        <f>IF(C8&lt;&gt;"",'CALCULATOR SHEET'!$D$9,"")</f>
        <v xml:space="preserve">KIM LIFE RESIDENCE </v>
      </c>
      <c r="G8" s="231" t="str">
        <f>IF('CALCULATOR SHEET'!D16&lt;&gt;"",'CALCULATOR SHEET'!D16,"")</f>
        <v>ROLLER</v>
      </c>
      <c r="H8" s="231" t="str">
        <f>IF(Q8="CCL",BOMS!AG8,"")</f>
        <v>RL-MAN -BSCH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 xml:space="preserve">SCREEN SOFT BLACK </v>
      </c>
      <c r="M8" s="231" t="str">
        <f>IF(C8&lt;&gt;"",'CALCULATOR SHEET'!O16,"")</f>
        <v>STANDARD ROLL</v>
      </c>
      <c r="N8" s="231" t="str">
        <f>IF(C8&lt;&gt;"",'CALCULATOR SHEET'!H16,"")</f>
        <v xml:space="preserve">SLIDING DOOR 1 SIDE C </v>
      </c>
      <c r="O8" s="233">
        <f>IF(D8&lt;&gt;"",'CALCULATOR SHEET'!I16,"")</f>
        <v>55.25</v>
      </c>
      <c r="P8" s="233">
        <f>IF(E8&lt;&gt;"",'CALCULATOR SHEET'!J16,"")</f>
        <v>86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R</v>
      </c>
      <c r="S8" s="230" t="str">
        <f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CAMPO TURISTICO LA MISION 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 xml:space="preserve">BS 251031 B MANUAL </v>
      </c>
      <c r="D9" s="229">
        <f>IF('CALCULATOR SHEET'!D17&lt;&gt;"",'CALCULATOR SHEET'!$T$9,"")</f>
        <v>45961</v>
      </c>
      <c r="E9" s="230" t="str">
        <f t="shared" si="0"/>
        <v>BAJA SHADES</v>
      </c>
      <c r="F9" s="231" t="str">
        <f>IF(C9&lt;&gt;"",'CALCULATOR SHEET'!$D$9,"")</f>
        <v xml:space="preserve">KIM LIFE RESIDENCE </v>
      </c>
      <c r="G9" s="231" t="str">
        <f>IF('CALCULATOR SHEET'!D17&lt;&gt;"",'CALCULATOR SHEET'!D17,"")</f>
        <v>ROLLER</v>
      </c>
      <c r="H9" s="231" t="str">
        <f>IF(Q9="CCL",BOMS!AG9,"")</f>
        <v>RL-MAN -BSCH</v>
      </c>
      <c r="I9" s="230">
        <v>1</v>
      </c>
      <c r="J9" s="231" t="str">
        <f>IF(C9&lt;&gt;"",'CALCULATOR SHEET'!K17,"")</f>
        <v>METAL CHAIN</v>
      </c>
      <c r="K9" s="231" t="str">
        <f>IF(J9=GENERAL!$H$6,GENERAL!$H$6,IF(J9=GENERAL!$H$7,GENERAL!$H$7,IF('PM-ORDER'!J9=GENERAL!$H$8,GENERAL!$H$8,"")))</f>
        <v>METAL CHAIN</v>
      </c>
      <c r="L9" s="231" t="str">
        <f>IF(C9&lt;&gt;"",'CALCULATOR SHEET'!G17,"")</f>
        <v xml:space="preserve">BO LONG BEACH BLACK </v>
      </c>
      <c r="M9" s="231" t="str">
        <f>IF(C9&lt;&gt;"",'CALCULATOR SHEET'!O17,"")</f>
        <v>STANDARD ROLL</v>
      </c>
      <c r="N9" s="231" t="str">
        <f>IF(C9&lt;&gt;"",'CALCULATOR SHEET'!H17,"")</f>
        <v xml:space="preserve">SLIDING DOOR 2 SIDE A </v>
      </c>
      <c r="O9" s="233">
        <f>IF(D9&lt;&gt;"",'CALCULATOR SHEET'!I17,"")</f>
        <v>55.5</v>
      </c>
      <c r="P9" s="233">
        <f>IF(E9&lt;&gt;"",'CALCULATOR SHEET'!J17,"")</f>
        <v>86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L</v>
      </c>
      <c r="S9" s="230" t="str">
        <f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 xml:space="preserve">CAMPO TURISTICO LA MISION 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 xml:space="preserve">BS 251031 B MANUAL </v>
      </c>
      <c r="D10" s="229">
        <f>IF('CALCULATOR SHEET'!D18&lt;&gt;"",'CALCULATOR SHEET'!$T$9,"")</f>
        <v>45961</v>
      </c>
      <c r="E10" s="230" t="str">
        <f t="shared" si="0"/>
        <v>BAJA SHADES</v>
      </c>
      <c r="F10" s="231" t="str">
        <f>IF(C10&lt;&gt;"",'CALCULATOR SHEET'!$D$9,"")</f>
        <v xml:space="preserve">KIM LIFE RESIDENCE </v>
      </c>
      <c r="G10" s="231" t="str">
        <f>IF('CALCULATOR SHEET'!D18&lt;&gt;"",'CALCULATOR SHEET'!D18,"")</f>
        <v>ROLLER</v>
      </c>
      <c r="H10" s="231" t="str">
        <f>IF(Q10="CCL",BOMS!AG10,"")</f>
        <v>RL-MAN -BSCH</v>
      </c>
      <c r="I10" s="230">
        <v>1</v>
      </c>
      <c r="J10" s="231" t="str">
        <f>IF(C10&lt;&gt;"",'CALCULATOR SHEET'!K18,"")</f>
        <v>METAL CHAIN</v>
      </c>
      <c r="K10" s="231" t="str">
        <f>IF(J10=GENERAL!$H$6,GENERAL!$H$6,IF(J10=GENERAL!$H$7,GENERAL!$H$7,IF('PM-ORDER'!J10=GENERAL!$H$8,GENERAL!$H$8,"")))</f>
        <v>METAL CHAIN</v>
      </c>
      <c r="L10" s="231" t="str">
        <f>IF(C10&lt;&gt;"",'CALCULATOR SHEET'!G18,"")</f>
        <v xml:space="preserve">BO LONG BEACH BLACK </v>
      </c>
      <c r="M10" s="231" t="str">
        <f>IF(C10&lt;&gt;"",'CALCULATOR SHEET'!O18,"")</f>
        <v>STANDARD ROLL</v>
      </c>
      <c r="N10" s="231" t="str">
        <f>IF(C10&lt;&gt;"",'CALCULATOR SHEET'!H18,"")</f>
        <v xml:space="preserve">SLIDING DOOR 2 SIDE B </v>
      </c>
      <c r="O10" s="233">
        <f>IF(D10&lt;&gt;"",'CALCULATOR SHEET'!I18,"")</f>
        <v>52</v>
      </c>
      <c r="P10" s="233">
        <f>IF(E10&lt;&gt;"",'CALCULATOR SHEET'!J18,"")</f>
        <v>86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R</v>
      </c>
      <c r="S10" s="230" t="str">
        <f>IF(D10&lt;&gt;"",'CALCULATOR SHEET'!N18,"")</f>
        <v>OUTSIDE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 xml:space="preserve">CAMPO TURISTICO LA MISION 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 xml:space="preserve">BS 251031 B MANUAL </v>
      </c>
      <c r="D11" s="229">
        <f>IF('CALCULATOR SHEET'!D19&lt;&gt;"",'CALCULATOR SHEET'!$T$9,"")</f>
        <v>45961</v>
      </c>
      <c r="E11" s="230" t="str">
        <f t="shared" si="0"/>
        <v>BAJA SHADES</v>
      </c>
      <c r="F11" s="231" t="str">
        <f>IF(C11&lt;&gt;"",'CALCULATOR SHEET'!$D$9,"")</f>
        <v xml:space="preserve">KIM LIFE RESIDENCE </v>
      </c>
      <c r="G11" s="231" t="str">
        <f>IF('CALCULATOR SHEET'!D19&lt;&gt;"",'CALCULATOR SHEET'!D19,"")</f>
        <v>ROLLER</v>
      </c>
      <c r="H11" s="231" t="str">
        <f>IF(Q11="CCL",BOMS!AG11,"")</f>
        <v>RL-MAN -BSCH</v>
      </c>
      <c r="I11" s="230">
        <v>1</v>
      </c>
      <c r="J11" s="231" t="str">
        <f>IF(C11&lt;&gt;"",'CALCULATOR SHEET'!K19,"")</f>
        <v>METAL CHAIN</v>
      </c>
      <c r="K11" s="231" t="str">
        <f>IF(J11=GENERAL!$H$6,GENERAL!$H$6,IF(J11=GENERAL!$H$7,GENERAL!$H$7,IF('PM-ORDER'!J11=GENERAL!$H$8,GENERAL!$H$8,"")))</f>
        <v>METAL CHAIN</v>
      </c>
      <c r="L11" s="231" t="str">
        <f>IF(C11&lt;&gt;"",'CALCULATOR SHEET'!G19,"")</f>
        <v xml:space="preserve">BO LONG BEACH BLACK </v>
      </c>
      <c r="M11" s="231" t="str">
        <f>IF(C11&lt;&gt;"",'CALCULATOR SHEET'!O19,"")</f>
        <v>STANDARD ROLL</v>
      </c>
      <c r="N11" s="231" t="str">
        <f>IF(C11&lt;&gt;"",'CALCULATOR SHEET'!H19,"")</f>
        <v xml:space="preserve">SLIDING DOOM 2 SIDE C </v>
      </c>
      <c r="O11" s="233">
        <f>IF(D11&lt;&gt;"",'CALCULATOR SHEET'!I19,"")</f>
        <v>54.875</v>
      </c>
      <c r="P11" s="233">
        <f>IF(E11&lt;&gt;"",'CALCULATOR SHEET'!J19,"")</f>
        <v>86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R</v>
      </c>
      <c r="S11" s="230" t="str">
        <f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 xml:space="preserve">CAMPO TURISTICO LA MISION 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109</v>
      </c>
      <c r="AK7" s="36">
        <f>'CALCULATOR SHEET'!J13</f>
        <v>79</v>
      </c>
      <c r="AL7" s="36">
        <f>IF(AJ7=0,"",MATCH(CEILING(AJ7,6),$D$4:$Z$4,0))</f>
        <v>16</v>
      </c>
      <c r="AM7" s="36">
        <f>IF(AK7=0,"",MATCH(CEILING(AK7,6),$C$7:$C$28,0))</f>
        <v>11</v>
      </c>
      <c r="AN7" s="57">
        <f>IF(AL7="","",INDEX($D$7:$Z$28,AM7,AL7))</f>
        <v>308</v>
      </c>
      <c r="AO7" s="58"/>
      <c r="AP7" s="57">
        <f>IF(AJ7&gt;0,HLOOKUP(CEILING(AJ7,6),$D$30:$Z$31,2,0),"")</f>
        <v>95</v>
      </c>
      <c r="AQ7" s="57">
        <f>IF(AJ7&gt;0,HLOOKUP(CEILING(AJ7,6),$D$33:$Z$34,2,0),"")</f>
        <v>126</v>
      </c>
      <c r="AR7" s="59">
        <f>IF(AJ7&gt;0,HLOOKUP(CEILING(AJ7,6),$D$36:$Z$37,2,0))</f>
        <v>70</v>
      </c>
      <c r="AS7" s="57">
        <f>IF(AL7="","",INDEX($AX$6:$BT$27,AM7,AL7))</f>
        <v>550</v>
      </c>
      <c r="AT7" s="37">
        <f>IF(AK7&gt;0,VLOOKUP(CEILING(AK7,6),$AA$7:$AB$28,2,0),"")</f>
        <v>70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55.5</v>
      </c>
      <c r="AK8" s="36">
        <f>'CALCULATOR SHEET'!J14</f>
        <v>86</v>
      </c>
      <c r="AL8" s="36">
        <f t="shared" ref="AL8:AL71" si="0">IF(AJ8=0,"",MATCH(CEILING(AJ8,6),$D$4:$Z$4,0))</f>
        <v>7</v>
      </c>
      <c r="AM8" s="36">
        <f t="shared" ref="AM8:AM71" si="1">IF(AK8=0,"",MATCH(CEILING(AK8,6),$C$7:$C$28,0))</f>
        <v>12</v>
      </c>
      <c r="AN8" s="57">
        <f t="shared" ref="AN8:AN71" si="2">IF(AL8="","",INDEX($D$7:$Z$28,AM8,AL8))</f>
        <v>144</v>
      </c>
      <c r="AO8" s="58"/>
      <c r="AP8" s="57">
        <f t="shared" ref="AP8:AP71" si="3">IF(AJ8&gt;0,HLOOKUP(CEILING(AJ8,6),$D$30:$Z$31,2,0),"")</f>
        <v>68</v>
      </c>
      <c r="AQ8" s="57">
        <f t="shared" ref="AQ8:AQ71" si="4">IF(AJ8&gt;0,HLOOKUP(CEILING(AJ8,6),$D$33:$Z$34,2,0),"")</f>
        <v>70</v>
      </c>
      <c r="AR8" s="59">
        <f t="shared" ref="AR8:AR71" si="5">IF(AJ8&gt;0,HLOOKUP(CEILING(AJ8,6),$D$36:$Z$37,2,0))</f>
        <v>37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75</v>
      </c>
      <c r="AU8" s="109">
        <f t="shared" ref="AU8:AU71" si="8">IF(AK8&gt;0,VLOOKUP(CEILING(AK8,6),$AA$7:$AC$28,3,0),"")</f>
        <v>10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52.125</v>
      </c>
      <c r="AK9" s="36">
        <f>'CALCULATOR SHEET'!J15</f>
        <v>86</v>
      </c>
      <c r="AL9" s="36">
        <f t="shared" si="0"/>
        <v>6</v>
      </c>
      <c r="AM9" s="36">
        <f t="shared" si="1"/>
        <v>12</v>
      </c>
      <c r="AN9" s="57">
        <f t="shared" si="2"/>
        <v>134</v>
      </c>
      <c r="AO9" s="58"/>
      <c r="AP9" s="57">
        <f t="shared" si="3"/>
        <v>65</v>
      </c>
      <c r="AQ9" s="57">
        <f t="shared" si="4"/>
        <v>65</v>
      </c>
      <c r="AR9" s="59">
        <f t="shared" si="5"/>
        <v>33</v>
      </c>
      <c r="AS9" s="57">
        <f t="shared" si="6"/>
        <v>471</v>
      </c>
      <c r="AT9" s="37">
        <f t="shared" si="7"/>
        <v>75</v>
      </c>
      <c r="AU9" s="109">
        <f t="shared" si="8"/>
        <v>10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55.25</v>
      </c>
      <c r="AK10" s="36">
        <f>'CALCULATOR SHEET'!J16</f>
        <v>86</v>
      </c>
      <c r="AL10" s="36">
        <f t="shared" si="0"/>
        <v>7</v>
      </c>
      <c r="AM10" s="36">
        <f t="shared" si="1"/>
        <v>12</v>
      </c>
      <c r="AN10" s="57">
        <f t="shared" si="2"/>
        <v>144</v>
      </c>
      <c r="AO10" s="58"/>
      <c r="AP10" s="57">
        <f t="shared" si="3"/>
        <v>68</v>
      </c>
      <c r="AQ10" s="57">
        <f t="shared" si="4"/>
        <v>70</v>
      </c>
      <c r="AR10" s="59">
        <f t="shared" si="5"/>
        <v>37</v>
      </c>
      <c r="AS10" s="57">
        <f t="shared" si="6"/>
        <v>471</v>
      </c>
      <c r="AT10" s="37">
        <f t="shared" si="7"/>
        <v>75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55.5</v>
      </c>
      <c r="AK11" s="36">
        <f>'CALCULATOR SHEET'!J17</f>
        <v>86</v>
      </c>
      <c r="AL11" s="36">
        <f t="shared" si="0"/>
        <v>7</v>
      </c>
      <c r="AM11" s="36">
        <f t="shared" si="1"/>
        <v>12</v>
      </c>
      <c r="AN11" s="57">
        <f t="shared" si="2"/>
        <v>144</v>
      </c>
      <c r="AO11" s="58"/>
      <c r="AP11" s="57">
        <f t="shared" si="3"/>
        <v>68</v>
      </c>
      <c r="AQ11" s="57">
        <f t="shared" si="4"/>
        <v>70</v>
      </c>
      <c r="AR11" s="59">
        <f t="shared" si="5"/>
        <v>37</v>
      </c>
      <c r="AS11" s="57">
        <f t="shared" si="6"/>
        <v>471</v>
      </c>
      <c r="AT11" s="37">
        <f t="shared" si="7"/>
        <v>75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52</v>
      </c>
      <c r="AK12" s="36">
        <f>'CALCULATOR SHEET'!J18</f>
        <v>86</v>
      </c>
      <c r="AL12" s="36">
        <f t="shared" si="0"/>
        <v>6</v>
      </c>
      <c r="AM12" s="36">
        <f t="shared" si="1"/>
        <v>12</v>
      </c>
      <c r="AN12" s="57">
        <f t="shared" si="2"/>
        <v>134</v>
      </c>
      <c r="AO12" s="58"/>
      <c r="AP12" s="57">
        <f t="shared" si="3"/>
        <v>65</v>
      </c>
      <c r="AQ12" s="57">
        <f t="shared" si="4"/>
        <v>65</v>
      </c>
      <c r="AR12" s="59">
        <f t="shared" si="5"/>
        <v>33</v>
      </c>
      <c r="AS12" s="57">
        <f t="shared" si="6"/>
        <v>471</v>
      </c>
      <c r="AT12" s="37">
        <f t="shared" si="7"/>
        <v>75</v>
      </c>
      <c r="AU12" s="109">
        <f t="shared" si="8"/>
        <v>10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54.875</v>
      </c>
      <c r="AK13" s="36">
        <f>'CALCULATOR SHEET'!J19</f>
        <v>86</v>
      </c>
      <c r="AL13" s="36">
        <f t="shared" si="0"/>
        <v>7</v>
      </c>
      <c r="AM13" s="36">
        <f t="shared" si="1"/>
        <v>12</v>
      </c>
      <c r="AN13" s="57">
        <f t="shared" si="2"/>
        <v>144</v>
      </c>
      <c r="AO13" s="58"/>
      <c r="AP13" s="57">
        <f t="shared" si="3"/>
        <v>68</v>
      </c>
      <c r="AQ13" s="57">
        <f t="shared" si="4"/>
        <v>70</v>
      </c>
      <c r="AR13" s="59">
        <f t="shared" si="5"/>
        <v>37</v>
      </c>
      <c r="AS13" s="57">
        <f t="shared" si="6"/>
        <v>471</v>
      </c>
      <c r="AT13" s="37">
        <f t="shared" si="7"/>
        <v>75</v>
      </c>
      <c r="AU13" s="109">
        <f t="shared" si="8"/>
        <v>10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109</v>
      </c>
      <c r="AK7" s="53">
        <f>'CALCULATOR SHEET'!J13</f>
        <v>79</v>
      </c>
      <c r="AL7" s="53">
        <f>IF(AJ7=0,"",MATCH(CEILING(AJ7,6),$D$4:$Z$4,0))</f>
        <v>16</v>
      </c>
      <c r="AM7" s="53">
        <f>IF(AK7=0,"",MATCH(CEILING(AK7,6),$C$7:$C$28,0))</f>
        <v>11</v>
      </c>
      <c r="AN7" s="54">
        <f>IF(AL7="","",INDEX($D$7:$Z$28,AM7,AL7))</f>
        <v>328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55.5</v>
      </c>
      <c r="AK8" s="53">
        <f>'CALCULATOR SHEET'!J14</f>
        <v>86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154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52.125</v>
      </c>
      <c r="AK9" s="53">
        <f>'CALCULATOR SHEET'!J15</f>
        <v>86</v>
      </c>
      <c r="AL9" s="53">
        <f t="shared" si="0"/>
        <v>6</v>
      </c>
      <c r="AM9" s="53">
        <f t="shared" si="1"/>
        <v>12</v>
      </c>
      <c r="AN9" s="54">
        <f t="shared" si="2"/>
        <v>144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55.25</v>
      </c>
      <c r="AK10" s="53">
        <f>'CALCULATOR SHEET'!J16</f>
        <v>86</v>
      </c>
      <c r="AL10" s="53">
        <f t="shared" si="0"/>
        <v>7</v>
      </c>
      <c r="AM10" s="53">
        <f t="shared" si="1"/>
        <v>12</v>
      </c>
      <c r="AN10" s="54">
        <f t="shared" si="2"/>
        <v>154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55.5</v>
      </c>
      <c r="AK11" s="53">
        <f>'CALCULATOR SHEET'!J17</f>
        <v>86</v>
      </c>
      <c r="AL11" s="53">
        <f t="shared" si="0"/>
        <v>7</v>
      </c>
      <c r="AM11" s="53">
        <f t="shared" si="1"/>
        <v>12</v>
      </c>
      <c r="AN11" s="54">
        <f t="shared" si="2"/>
        <v>154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52</v>
      </c>
      <c r="AK12" s="53">
        <f>'CALCULATOR SHEET'!J18</f>
        <v>86</v>
      </c>
      <c r="AL12" s="53">
        <f t="shared" si="0"/>
        <v>6</v>
      </c>
      <c r="AM12" s="53">
        <f t="shared" si="1"/>
        <v>12</v>
      </c>
      <c r="AN12" s="54">
        <f t="shared" si="2"/>
        <v>144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54.875</v>
      </c>
      <c r="AK13" s="53">
        <f>'CALCULATOR SHEET'!J19</f>
        <v>86</v>
      </c>
      <c r="AL13" s="53">
        <f t="shared" si="0"/>
        <v>7</v>
      </c>
      <c r="AM13" s="53">
        <f t="shared" si="1"/>
        <v>12</v>
      </c>
      <c r="AN13" s="54">
        <f t="shared" si="2"/>
        <v>154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109</v>
      </c>
      <c r="AK7" s="53">
        <f>'CALCULATOR SHEET'!J13</f>
        <v>79</v>
      </c>
      <c r="AL7" s="53">
        <f t="shared" ref="AL7:AL70" si="0">IF(AJ7=0,"",MATCH(CEILING(AJ7,6),$D$4:$Z$4,0))</f>
        <v>16</v>
      </c>
      <c r="AM7" s="53">
        <f>IF(AK7=0,"",MATCH(CEILING(AK7,6),$C$7:$C$28,0))</f>
        <v>11</v>
      </c>
      <c r="AN7" s="54">
        <f t="shared" ref="AN7:AN70" si="1">IF(AL7="","",INDEX($D$7:$Z$28,AM7,AL7))</f>
        <v>371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55.5</v>
      </c>
      <c r="AK8" s="53">
        <f>'CALCULATOR SHEET'!J14</f>
        <v>86</v>
      </c>
      <c r="AL8" s="53">
        <f t="shared" si="0"/>
        <v>7</v>
      </c>
      <c r="AM8" s="53">
        <f t="shared" ref="AM8:AM71" si="2">IF(AK8=0,"",MATCH(CEILING(AK8,6),$C$7:$C$28,0))</f>
        <v>12</v>
      </c>
      <c r="AN8" s="54">
        <f t="shared" si="1"/>
        <v>179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52.125</v>
      </c>
      <c r="AK9" s="53">
        <f>'CALCULATOR SHEET'!J15</f>
        <v>86</v>
      </c>
      <c r="AL9" s="53">
        <f t="shared" si="0"/>
        <v>6</v>
      </c>
      <c r="AM9" s="53">
        <f t="shared" si="2"/>
        <v>12</v>
      </c>
      <c r="AN9" s="54">
        <f t="shared" si="1"/>
        <v>166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55.25</v>
      </c>
      <c r="AK10" s="53">
        <f>'CALCULATOR SHEET'!J16</f>
        <v>86</v>
      </c>
      <c r="AL10" s="53">
        <f t="shared" si="0"/>
        <v>7</v>
      </c>
      <c r="AM10" s="53">
        <f t="shared" si="2"/>
        <v>12</v>
      </c>
      <c r="AN10" s="54">
        <f t="shared" si="1"/>
        <v>179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55.5</v>
      </c>
      <c r="AK11" s="53">
        <f>'CALCULATOR SHEET'!J17</f>
        <v>86</v>
      </c>
      <c r="AL11" s="53">
        <f t="shared" si="0"/>
        <v>7</v>
      </c>
      <c r="AM11" s="53">
        <f t="shared" si="2"/>
        <v>12</v>
      </c>
      <c r="AN11" s="54">
        <f t="shared" si="1"/>
        <v>179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52</v>
      </c>
      <c r="AK12" s="53">
        <f>'CALCULATOR SHEET'!J18</f>
        <v>86</v>
      </c>
      <c r="AL12" s="53">
        <f t="shared" si="0"/>
        <v>6</v>
      </c>
      <c r="AM12" s="53">
        <f t="shared" si="2"/>
        <v>12</v>
      </c>
      <c r="AN12" s="54">
        <f t="shared" si="1"/>
        <v>166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54.875</v>
      </c>
      <c r="AK13" s="53">
        <f>'CALCULATOR SHEET'!J19</f>
        <v>86</v>
      </c>
      <c r="AL13" s="53">
        <f t="shared" si="0"/>
        <v>7</v>
      </c>
      <c r="AM13" s="53">
        <f t="shared" si="2"/>
        <v>12</v>
      </c>
      <c r="AN13" s="54">
        <f t="shared" si="1"/>
        <v>179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2025-07-16T23:47:30Z</cp:lastPrinted>
  <dcterms:created xsi:type="dcterms:W3CDTF">2016-09-27T19:33:28Z</dcterms:created>
  <dcterms:modified xsi:type="dcterms:W3CDTF">2025-11-01T17:47:56Z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