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A52837C-0A7A-4CBA-96FB-A7CF39461B30}" xr6:coauthVersionLast="47" xr6:coauthVersionMax="47" xr10:uidLastSave="{00000000-0000-0000-0000-000000000000}"/>
  <bookViews>
    <workbookView xWindow="-120" yWindow="-120" windowWidth="29040" windowHeight="15840" tabRatio="988" activeTab="1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T10" i="59"/>
  <c r="X9" i="59"/>
  <c r="Z9" i="59" s="1"/>
  <c r="W9" i="59"/>
  <c r="X8" i="59"/>
  <c r="Z8" i="59" s="1"/>
  <c r="W8" i="59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Y8" i="59" l="1"/>
  <c r="Y7" i="59"/>
  <c r="AA7" i="59" s="1"/>
  <c r="Y10" i="59"/>
  <c r="Y9" i="59"/>
  <c r="AA9" i="59" s="1"/>
  <c r="AA31" i="59"/>
  <c r="AA28" i="59"/>
  <c r="AA20" i="59"/>
  <c r="AA19" i="59"/>
  <c r="AA11" i="59"/>
  <c r="AA10" i="59"/>
  <c r="AA8" i="59"/>
  <c r="I66" i="23"/>
  <c r="J66" i="23" s="1"/>
  <c r="I65" i="23"/>
  <c r="J65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Y8" i="58" l="1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T10" i="57"/>
  <c r="X9" i="57"/>
  <c r="Z9" i="57" s="1"/>
  <c r="W9" i="57"/>
  <c r="X8" i="57"/>
  <c r="Z8" i="57" s="1"/>
  <c r="W8" i="57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X9" i="55"/>
  <c r="Z9" i="55" s="1"/>
  <c r="W9" i="55"/>
  <c r="X8" i="55"/>
  <c r="Z8" i="55" s="1"/>
  <c r="W8" i="55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Y8" i="55" l="1"/>
  <c r="Y7" i="57"/>
  <c r="Y10" i="57"/>
  <c r="AA10" i="57" s="1"/>
  <c r="Y10" i="55"/>
  <c r="AA10" i="55" s="1"/>
  <c r="Y8" i="57"/>
  <c r="Y7" i="55"/>
  <c r="Y9" i="55"/>
  <c r="Y9" i="56"/>
  <c r="AA9" i="56" s="1"/>
  <c r="Y9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6"/>
  <c r="AA9" i="55"/>
  <c r="AA9" i="57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AA7" i="49" l="1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Y9" i="42" l="1"/>
  <c r="AA9" i="42" s="1"/>
  <c r="Y7" i="42"/>
  <c r="AA7" i="42" s="1"/>
  <c r="U14" i="38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<sst xmlns="http://schemas.openxmlformats.org/spreadsheetml/2006/main" count="3334" uniqueCount="478">
  <si>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</si>
  <si>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</si>
  <si>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</si>
  <si>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</si>
  <si>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</si>
  <si>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</si>
  <si>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</si>
  <si>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</si>
  <si>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</si>
  <si>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</si>
  <si>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</si>
  <si>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</si>
  <si>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</si>
  <si>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</si>
  <si>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</si>
  <si>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</si>
  <si>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</si>
  <si>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</si>
  <si>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</si>
  <si>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</si>
  <si>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</si>
  <si>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</si>
  <si>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</si>
  <si>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</si>
  <si>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</si>
  <si>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</si>
  <si>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</si>
  <si>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</si>
  <si>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</si>
  <si>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</si>
  <si>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</si>
  <si>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</si>
  <si>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</si>
  <si>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</si>
  <si>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</si>
  <si>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</si>
  <si>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</si>
  <si>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</si>
  <si>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</si>
  <si>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</si>
  <si>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</si>
  <si>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</si>
  <si>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</si>
  <si>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</si>
  <si>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</si>
  <si>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</si>
  <si>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</si>
  <si>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</si>
  <si>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</si>
  <si>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</si>
  <si>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</si>
  <si>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</si>
  <si>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</si>
  <si>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</si>
  <si>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</si>
  <si>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</si>
  <si>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</si>
  <si>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</si>
  <si>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</si>
  <si>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</si>
  <si>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</si>
  <si>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</si>
  <si>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</si>
  <si>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</si>
  <si>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</si>
  <si>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</si>
  <si>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</si>
  <si>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</si>
  <si>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</si>
  <si>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</si>
  <si>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</si>
  <si>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</si>
  <si>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</si>
  <si>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</si>
  <si>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</si>
  <si>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</si>
  <si>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</si>
  <si>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</si>
  <si>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</si>
  <si>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</si>
  <si>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</si>
  <si>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</si>
  <si>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</si>
  <si>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</si>
  <si>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</si>
  <si>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</si>
  <si>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</si>
  <si>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</si>
  <si>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</si>
  <si>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</si>
  <si>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</si>
  <si>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</si>
  <si>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</si>
  <si>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</si>
  <si>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</si>
  <si>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</si>
  <si>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</si>
  <si>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</si>
  <si>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</si>
  <si>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</si>
  <si>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</si>
  <si>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</si>
  <si>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</si>
  <si>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</si>
  <si>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</si>
  <si>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</si>
  <si>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</si>
  <si>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</si>
  <si>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</si>
  <si>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</si>
  <si>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</si>
  <si>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</si>
  <si>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</si>
  <si>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</si>
  <si>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</si>
  <si>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</si>
  <si>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</si>
  <si>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</si>
  <si>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</si>
  <si>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</si>
  <si>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</si>
  <si>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</si>
  <si>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</si>
  <si>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</si>
  <si>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</si>
  <si>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</si>
  <si>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</si>
  <si>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</si>
  <si>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</si>
  <si>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</si>
  <si>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</si>
  <si>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</si>
  <si>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</si>
  <si>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</si>
  <si>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</si>
  <si>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</si>
  <si>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</si>
  <si>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</si>
  <si>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</si>
  <si>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</si>
  <si>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</si>
  <si>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</si>
  <si>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</si>
  <si>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</si>
  <si>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</si>
  <si>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</si>
  <si>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</si>
  <si>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</si>
  <si>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</si>
  <si>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</si>
  <si>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</si>
  <si>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</si>
  <si>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</si>
  <si>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</si>
  <si>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</si>
  <si>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</si>
  <si>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</si>
  <si>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</si>
  <si>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</si>
  <si>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</si>
  <si>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</si>
  <si>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</si>
  <si>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</si>
  <si>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</si>
  <si>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</si>
  <si>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</si>
  <si>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</si>
  <si>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</si>
  <si>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</si>
  <si>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</si>
  <si>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</si>
  <si>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</si>
  <si>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</si>
  <si>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</si>
  <si>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</si>
  <si>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</si>
  <si>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</si>
  <si>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</si>
  <si>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</si>
  <si>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</si>
  <si>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</si>
  <si>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</si>
  <si>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</si>
  <si>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</si>
  <si>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</si>
  <si>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</si>
  <si>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</si>
  <si>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</si>
  <si>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</si>
  <si>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</si>
  <si>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</si>
  <si>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</si>
  <si>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</si>
  <si>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</si>
  <si>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</si>
  <si>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</si>
  <si>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</si>
  <si>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</si>
  <si>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</si>
  <si>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</si>
  <si>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</si>
  <si>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</si>
  <si>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</si>
  <si>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</si>
  <si>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</si>
  <si>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</si>
  <si>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</si>
  <si>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</si>
  <si>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</si>
  <si>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</si>
  <si>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</si>
  <si>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</si>
  <si>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</si>
  <si>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</si>
  <si>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</si>
  <si>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</si>
  <si>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</si>
  <si>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</si>
  <si>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</si>
  <si>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</si>
  <si>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</si>
  <si>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</si>
  <si>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</si>
  <si>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</si>
  <si>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</si>
  <si>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</si>
  <si>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</si>
  <si>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</si>
  <si>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</si>
  <si>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</si>
  <si>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</si>
  <si>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</si>
  <si>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</si>
  <si>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</si>
  <si>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</si>
  <si>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</si>
  <si>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</si>
  <si>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</si>
  <si>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</si>
  <si>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</si>
  <si>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</si>
  <si>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</si>
  <si>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</si>
  <si>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</si>
  <si>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</si>
  <si>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</si>
  <si>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</si>
  <si>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</si>
  <si>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</si>
  <si>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</si>
  <si>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</si>
  <si>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</si>
  <si>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</si>
  <si>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</si>
  <si>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</si>
  <si>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</si>
  <si>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</si>
  <si>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</si>
  <si>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</si>
  <si>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</si>
  <si>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</si>
  <si>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</si>
  <si>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</si>
  <si>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</si>
  <si>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</si>
  <si>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</si>
  <si>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</si>
  <si>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</si>
  <si>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</si>
  <si>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</si>
  <si>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</si>
  <si>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</si>
  <si>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</si>
  <si>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</si>
  <si>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</si>
  <si>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</si>
  <si>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</si>
  <si>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</si>
  <si>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</si>
  <si>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</si>
  <si>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</si>
  <si>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</si>
  <si>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</si>
  <si>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</si>
  <si>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</si>
  <si>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</si>
  <si>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</si>
  <si>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</si>
  <si>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</si>
  <si>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</si>
  <si>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</si>
  <si>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</si>
  <si>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</si>
  <si>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</si>
  <si>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</si>
  <si>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</si>
  <si>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</si>
  <si>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</si>
  <si>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</si>
  <si>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</si>
  <si>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</si>
  <si>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</si>
  <si>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</si>
  <si>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</si>
  <si>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</si>
  <si>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</si>
  <si>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</si>
  <si>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</si>
  <si>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</si>
  <si>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</si>
  <si>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</si>
  <si>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</si>
  <si>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</si>
  <si>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</si>
  <si>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</si>
  <si>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</si>
  <si>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</si>
  <si>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</si>
  <si>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</si>
  <si>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</si>
  <si>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</si>
  <si>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</si>
  <si>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</si>
  <si>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</si>
  <si>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</si>
  <si>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</si>
  <si>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</si>
  <si>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</si>
  <si>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</si>
  <si>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</si>
  <si>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</si>
  <si>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</si>
  <si>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</si>
  <si>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</si>
  <si>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</si>
  <si>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</si>
  <si>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</si>
  <si>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</si>
  <si>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</si>
  <si>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</si>
  <si>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</si>
  <si>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</si>
  <si>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</si>
  <si>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</si>
  <si>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</si>
  <si>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</si>
  <si>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</si>
  <si>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</si>
  <si>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</si>
  <si>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</si>
  <si>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</si>
  <si>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</si>
  <si>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</si>
  <si>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</si>
  <si>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</si>
  <si>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</si>
  <si>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</si>
  <si>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</si>
  <si>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</si>
  <si>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</si>
  <si>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</si>
  <si>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</si>
  <si>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</si>
  <si>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</si>
  <si>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</si>
  <si>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</si>
  <si>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</si>
  <si>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</si>
  <si>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</si>
  <si>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</si>
  <si>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</si>
  <si>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</si>
  <si>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</si>
  <si>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</si>
  <si>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</si>
  <si>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</si>
  <si>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</si>
  <si>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</si>
  <si>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</si>
  <si>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</si>
  <si>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</si>
  <si>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</si>
  <si>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</si>
  <si>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</si>
  <si>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</si>
  <si>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</si>
  <si>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</si>
  <si>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</si>
  <si>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</si>
  <si>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</si>
  <si>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</si>
  <si>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</si>
  <si>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</si>
  <si>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</si>
  <si>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</si>
  <si>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</si>
  <si>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</si>
  <si>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</si>
  <si>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</si>
  <si>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</si>
  <si>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</si>
  <si>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</si>
  <si>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</si>
  <si>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</si>
  <si>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</si>
  <si>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</si>
  <si>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</si>
  <si>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</si>
  <si>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</si>
  <si>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</si>
  <si>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</si>
  <si>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</si>
  <si>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</si>
  <si>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</si>
  <si>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</si>
  <si>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</si>
  <si>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</si>
  <si>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</si>
  <si>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</si>
  <si>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</si>
  <si>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</si>
  <si>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</si>
  <si>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</si>
  <si>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</si>
  <si>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</si>
  <si>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</si>
  <si>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</si>
  <si>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</si>
  <si>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</si>
  <si>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</si>
  <si>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</si>
  <si>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</si>
  <si>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</si>
  <si>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</si>
  <si>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</si>
  <si>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</si>
  <si>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</si>
  <si>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</si>
  <si>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</si>
  <si>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</si>
  <si>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</si>
  <si>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</si>
  <si>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</si>
  <si>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</si>
  <si>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</si>
  <si>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</si>
  <si>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</si>
  <si>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</si>
  <si>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</si>
  <si>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</si>
  <si>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</si>
  <si>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</si>
  <si>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</si>
  <si>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</si>
  <si>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</si>
  <si>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</si>
  <si>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</si>
  <si>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</si>
  <si>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</si>
  <si>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</si>
  <si>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</si>
  <si>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</si>
  <si>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NO </t>
  </si>
  <si>
    <t xml:space="preserve">CONDOMINIO MAR Y SOL 1706 </t>
  </si>
  <si>
    <t xml:space="preserve">DINORA </t>
  </si>
  <si>
    <t xml:space="preserve">ROSARITO </t>
  </si>
  <si>
    <t xml:space="preserve">MAR Y SOL </t>
  </si>
  <si>
    <t xml:space="preserve">CONDOMINIO </t>
  </si>
  <si>
    <t xml:space="preserve">RECAMARA PRINCIPAL </t>
  </si>
  <si>
    <t xml:space="preserve">SALA PUERTA LADO A </t>
  </si>
  <si>
    <t xml:space="preserve">SALA PUERTA LADO B </t>
  </si>
  <si>
    <t xml:space="preserve">RECAMARA 1 </t>
  </si>
  <si>
    <t xml:space="preserve">MOTORES DE CONEXION A LUZ </t>
  </si>
  <si>
    <t xml:space="preserve">SCREEN BASIC ALABASTER </t>
  </si>
  <si>
    <t xml:space="preserve">BO CADENZA RD WHITE </t>
  </si>
  <si>
    <t xml:space="preserve">ROSANGEL GUZMAN  </t>
  </si>
  <si>
    <t xml:space="preserve">TRANSFERENCIA ZELLE </t>
  </si>
  <si>
    <t xml:space="preserve">BS 251027-RG- REV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</si>
</sst>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4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4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4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4" fontId="15" fillId="0" borderId="1" xfId="3" applyFont="1" applyBorder="1" applyAlignment="1">
      <alignment horizontal="center" vertical="center"/>
    </xf>
    <xf numFmtId="4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44" fontId="10" fillId="2" borderId="29" xfId="0" applyNumberFormat="1" applyFont="1" applyFill="1" applyBorder="1" applyAlignment="1">
      <alignment vertical="center"/>
    </xf>
    <xf numFmtId="44" fontId="10" fillId="2" borderId="30" xfId="0" applyNumberFormat="1" applyFont="1" applyFill="1" applyBorder="1" applyAlignment="1">
      <alignment vertical="center"/>
    </xf>
    <xf numFmtId="4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44" fontId="13" fillId="5" borderId="1" xfId="0" applyNumberFormat="1" applyFont="1" applyFill="1" applyBorder="1"/>
    <xf numFmtId="44" fontId="13" fillId="6" borderId="1" xfId="0" applyNumberFormat="1" applyFont="1" applyFill="1" applyBorder="1"/>
    <xf numFmtId="44" fontId="13" fillId="10" borderId="1" xfId="0" applyNumberFormat="1" applyFont="1" applyFill="1" applyBorder="1"/>
    <xf numFmtId="4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4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4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4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4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44" fontId="13" fillId="2" borderId="42" xfId="3" applyFont="1" applyFill="1" applyBorder="1" applyAlignment="1">
      <alignment horizontal="center" vertical="center"/>
    </xf>
    <xf numFmtId="4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164" fontId="13" fillId="0" borderId="43" xfId="0" applyNumberFormat="1" applyFont="1" applyBorder="1" applyAlignment="1">
      <alignment horizontal="center" vertical="center"/>
    </xf>
    <xf numFmtId="164" fontId="13" fillId="2" borderId="43" xfId="0" applyNumberFormat="1" applyFont="1" applyFill="1" applyBorder="1" applyAlignment="1">
      <alignment horizontal="center" vertical="center"/>
    </xf>
    <xf numFmtId="164" fontId="13" fillId="2" borderId="44" xfId="0" applyNumberFormat="1" applyFont="1" applyFill="1" applyBorder="1" applyAlignment="1">
      <alignment horizontal="center" vertical="center"/>
    </xf>
    <xf numFmtId="44" fontId="13" fillId="2" borderId="17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16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164" fontId="13" fillId="2" borderId="46" xfId="0" applyNumberFormat="1" applyFont="1" applyFill="1" applyBorder="1" applyAlignment="1">
      <alignment horizontal="center" vertical="center"/>
    </xf>
    <xf numFmtId="4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4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4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44" fontId="13" fillId="2" borderId="44" xfId="3" applyFont="1" applyFill="1" applyBorder="1" applyAlignment="1">
      <alignment vertical="center"/>
    </xf>
    <xf numFmtId="44" fontId="13" fillId="2" borderId="50" xfId="3" applyFont="1" applyFill="1" applyBorder="1" applyAlignment="1">
      <alignment vertical="center"/>
    </xf>
    <xf numFmtId="44" fontId="7" fillId="2" borderId="50" xfId="3" applyFont="1" applyFill="1" applyBorder="1" applyAlignment="1">
      <alignment horizontal="center" vertical="center"/>
    </xf>
    <xf numFmtId="4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4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4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44" fontId="0" fillId="2" borderId="0" xfId="3" applyFont="1" applyFill="1" applyBorder="1" applyAlignment="1">
      <alignment horizontal="center" vertical="center"/>
    </xf>
    <xf numFmtId="44" fontId="3" fillId="2" borderId="0" xfId="3" applyFont="1" applyFill="1" applyBorder="1" applyAlignment="1">
      <alignment horizontal="center" vertical="center"/>
    </xf>
    <xf numFmtId="44" fontId="7" fillId="2" borderId="0" xfId="3" applyFont="1" applyFill="1" applyAlignment="1">
      <alignment vertical="center"/>
    </xf>
    <xf numFmtId="4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44" fontId="43" fillId="2" borderId="0" xfId="3" applyFont="1" applyFill="1" applyBorder="1" applyAlignment="1">
      <alignment horizontal="center" vertical="center"/>
    </xf>
    <xf numFmtId="44" fontId="7" fillId="2" borderId="0" xfId="3" applyFont="1" applyFill="1" applyBorder="1" applyAlignment="1">
      <alignment horizontal="center" vertical="center"/>
    </xf>
    <xf numFmtId="44" fontId="10" fillId="2" borderId="0" xfId="3" applyFont="1" applyFill="1" applyBorder="1" applyAlignment="1">
      <alignment horizontal="center" vertical="center"/>
    </xf>
    <xf numFmtId="44" fontId="6" fillId="3" borderId="1" xfId="3" applyFont="1" applyFill="1" applyBorder="1" applyAlignment="1">
      <alignment horizontal="center" vertical="center"/>
    </xf>
    <xf numFmtId="4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4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44" fontId="0" fillId="21" borderId="0" xfId="3" applyFont="1" applyFill="1" applyBorder="1" applyAlignment="1">
      <alignment horizontal="center" vertical="center"/>
    </xf>
    <xf numFmtId="4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44" fontId="48" fillId="2" borderId="0" xfId="3" applyFont="1" applyFill="1" applyBorder="1" applyAlignment="1">
      <alignment horizontal="left" vertical="center"/>
    </xf>
    <xf numFmtId="4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4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4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4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44" fontId="13" fillId="6" borderId="1" xfId="0" applyNumberFormat="1" applyFont="1" applyFill="1" applyBorder="1" applyAlignment="1">
      <alignment horizontal="center"/>
    </xf>
    <xf numFmtId="4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4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4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4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44" fontId="44" fillId="3" borderId="0" xfId="3" applyFont="1" applyFill="1"/>
    <xf numFmtId="0" fontId="53" fillId="22" borderId="0" xfId="0" applyFont="1" applyFill="1" applyAlignment="1">
      <alignment horizontal="center" vertical="center"/>
    </xf>
    <xf numFmtId="4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4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44" fontId="2" fillId="2" borderId="0" xfId="3" applyFont="1" applyFill="1" applyAlignment="1">
      <alignment horizontal="center"/>
    </xf>
    <xf numFmtId="4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4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4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/>
    <xf numFmtId="44" fontId="0" fillId="0" borderId="0" xfId="0" applyNumberFormat="1"/>
    <xf numFmtId="166" fontId="30" fillId="17" borderId="0" xfId="0" applyNumberFormat="1" applyFont="1" applyFill="1" applyAlignment="1">
      <alignment vertical="center"/>
    </xf>
    <xf numFmtId="4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4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4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44" fontId="13" fillId="2" borderId="0" xfId="3" applyFont="1" applyFill="1" applyAlignment="1">
      <alignment horizontal="center"/>
    </xf>
    <xf numFmtId="164" fontId="13" fillId="2" borderId="0" xfId="0" applyNumberFormat="1" applyFont="1" applyFill="1"/>
    <xf numFmtId="164" fontId="7" fillId="3" borderId="0" xfId="0" applyNumberFormat="1" applyFont="1" applyFill="1"/>
    <xf numFmtId="0" fontId="7" fillId="3" borderId="0" xfId="0" applyFont="1" applyFill="1" applyAlignment="1">
      <alignment horizontal="center"/>
    </xf>
    <xf numFmtId="44" fontId="44" fillId="2" borderId="0" xfId="3" applyFont="1" applyFill="1" applyAlignment="1">
      <alignment horizontal="center"/>
    </xf>
    <xf numFmtId="4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44" fontId="20" fillId="2" borderId="0" xfId="0" applyNumberFormat="1" applyFont="1" applyFill="1"/>
    <xf numFmtId="44" fontId="5" fillId="2" borderId="0" xfId="0" applyNumberFormat="1" applyFont="1" applyFill="1"/>
    <xf numFmtId="16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44" fontId="12" fillId="2" borderId="56" xfId="3" applyFont="1" applyFill="1" applyBorder="1" applyAlignment="1">
      <alignment horizontal="center" vertical="center"/>
    </xf>
    <xf numFmtId="4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44" fontId="0" fillId="10" borderId="1" xfId="0" applyNumberFormat="1" applyFill="1" applyBorder="1" applyAlignment="1">
      <alignment horizontal="center" vertical="center"/>
    </xf>
    <xf numFmtId="44" fontId="30" fillId="10" borderId="1" xfId="0" applyNumberFormat="1" applyFont="1" applyFill="1" applyBorder="1" applyAlignment="1">
      <alignment horizontal="center" vertical="center"/>
    </xf>
    <xf numFmtId="44" fontId="3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142876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142876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133351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142876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142876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opLeftCell="A16" zoomScale="85" zoomScaleNormal="85" workbookViewId="0">
      <selection activeCell="P74" sqref="P74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45954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251027-RG- REV 1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CONDOMINIO MAR Y SOL 1706 </v>
      </c>
      <c r="J7" s="365" t="str">
        <f>IF('CALCULATOR SHEET'!H8&lt;&gt;"","Calle: "&amp;'CALCULATOR SHEET'!H10&amp;", Numero: "&amp;'CALCULATOR SHEET'!H11,"")</f>
        <v>Calle: CONDOMINIO , Numero: 1706</v>
      </c>
      <c r="K7" s="365"/>
      <c r="L7" s="365"/>
      <c r="N7" s="156" t="str">
        <f>IF('CALCULATOR SHEET'!P5&lt;&gt;"",'CALCULATOR SHEET'!P5,"")</f>
        <v xml:space="preserve">TRANSFERENCIA ZELLE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MAR Y SOL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DINORA 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 xml:space="preserve">ROSANGEL GUZMAN 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 xml:space="preserve">SCREEN BASIC ALABASTER </v>
      </c>
      <c r="H14" s="170" t="str">
        <f>IF('CALCULATOR SHEET'!H13&lt;&gt;"",'CALCULATOR SHEET'!H13,"")</f>
        <v xml:space="preserve">SALA PUERTA LADO A </v>
      </c>
      <c r="I14" s="171">
        <f>IF(E14&lt;&gt;"",'CALCULATOR SHEET'!I13,"")</f>
        <v>100</v>
      </c>
      <c r="J14" s="171">
        <f>IF(I14&lt;&gt;"",'CALCULATOR SHEET'!J13,"")</f>
        <v>100.5</v>
      </c>
      <c r="K14" s="169" t="str">
        <f>IF('CALCULATOR SHEET'!K13&lt;&gt;"",IF('CALCULATOR SHEET'!$W$2=1,'CALCULATOR SHEET'!K13,VLOOKUP('CALCULATOR SHEET'!K13,GENERAL!$H$6:$I$11,2,0)),"")</f>
        <v>REMOTE CONTROL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375</v>
      </c>
      <c r="O14" s="164"/>
      <c r="P14" s="167">
        <f>IF(D14&lt;&gt;"",N14*D14,"")</f>
        <v>375</v>
      </c>
      <c r="Q14" s="194"/>
      <c r="R14" s="64" t="s">
        <v>200</v>
      </c>
      <c r="T14" s="160">
        <f>IF('CALCULATOR SHEET'!$T$58="PESOS",'CALCULATOR SHEET'!S13*'CALCULATOR SHEET'!$W$6,'CALCULATOR SHEET'!S13)</f>
        <v>375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SCREEN BASIC ALABASTER </v>
      </c>
      <c r="H15" s="175" t="str">
        <f>IF('CALCULATOR SHEET'!H14&lt;&gt;"",'CALCULATOR SHEET'!H14,"")</f>
        <v xml:space="preserve">SALA PUERTA LADO B </v>
      </c>
      <c r="I15" s="176">
        <f>IF(E15&lt;&gt;"",'CALCULATOR SHEET'!I14,"")</f>
        <v>100</v>
      </c>
      <c r="J15" s="176">
        <f>IF(I15&lt;&gt;"",'CALCULATOR SHEET'!J14,"")</f>
        <v>100.5</v>
      </c>
      <c r="K15" s="169" t="str">
        <f>IF('CALCULATOR SHEET'!K14&lt;&gt;"",IF('CALCULATOR SHEET'!$W$2=1,'CALCULATOR SHEET'!K14,VLOOKUP('CALCULATOR SHEET'!K14,GENERAL!$H$6:$I$11,2,0)),"")</f>
        <v>REMOTE CONTROL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375</v>
      </c>
      <c r="O15" s="165"/>
      <c r="P15" s="166">
        <f>IF(D15&lt;&gt;"",N15*D15,"")</f>
        <v>375</v>
      </c>
      <c r="Q15" s="195"/>
      <c r="R15" s="64" t="s">
        <v>200</v>
      </c>
      <c r="T15" s="160">
        <f>IF('CALCULATOR SHEET'!$T$58="PESOS",'CALCULATOR SHEET'!S14*'CALCULATOR SHEET'!$W$6,'CALCULATOR SHEET'!S14)</f>
        <v>375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 xml:space="preserve">SCREEN BASIC ALABASTER </v>
      </c>
      <c r="H16" s="175" t="str">
        <f>IF('CALCULATOR SHEET'!H15&lt;&gt;"",'CALCULATOR SHEET'!H15,"")</f>
        <v xml:space="preserve">RECAMARA PRINCIPAL </v>
      </c>
      <c r="I16" s="176">
        <f>IF(E16&lt;&gt;"",'CALCULATOR SHEET'!I15,"")</f>
        <v>104</v>
      </c>
      <c r="J16" s="176">
        <f>IF(I16&lt;&gt;"",'CALCULATOR SHEET'!J15,"")</f>
        <v>101</v>
      </c>
      <c r="K16" s="169" t="str">
        <f>IF('CALCULATOR SHEET'!K15&lt;&gt;"",IF('CALCULATOR SHEET'!$W$2=1,'CALCULATOR SHEET'!K15,VLOOKUP('CALCULATOR SHEET'!K15,GENERAL!$H$6:$I$11,2,0)),"")</f>
        <v>REMOTE CONTROL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391</v>
      </c>
      <c r="O16" s="165"/>
      <c r="P16" s="166">
        <f t="shared" ref="P16:P53" si="1">IF(D16&lt;&gt;"",N16*D16,"")</f>
        <v>391</v>
      </c>
      <c r="Q16" s="195"/>
      <c r="R16" s="64" t="s">
        <v>200</v>
      </c>
      <c r="T16" s="160">
        <f>IF('CALCULATOR SHEET'!$T$58="PESOS",'CALCULATOR SHEET'!S15*'CALCULATOR SHEET'!$W$6,'CALCULATOR SHEET'!S15)</f>
        <v>391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3</v>
      </c>
      <c r="G17" s="175" t="str">
        <f>IF('CALCULATOR SHEET'!G16&lt;&gt;"",'CALCULATOR SHEET'!G16,"")</f>
        <v xml:space="preserve">BO CADENZA RD WHITE </v>
      </c>
      <c r="H17" s="175" t="str">
        <f>IF('CALCULATOR SHEET'!H16&lt;&gt;"",'CALCULATOR SHEET'!H16,"")</f>
        <v xml:space="preserve">RECAMARA 1 </v>
      </c>
      <c r="I17" s="176">
        <f>IF(E17&lt;&gt;"",'CALCULATOR SHEET'!I16,"")</f>
        <v>79</v>
      </c>
      <c r="J17" s="176">
        <f>IF(I17&lt;&gt;"",'CALCULATOR SHEET'!J16,"")</f>
        <v>67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228</v>
      </c>
      <c r="O17" s="165"/>
      <c r="P17" s="166">
        <f t="shared" si="1"/>
        <v>228</v>
      </c>
      <c r="Q17" s="195"/>
      <c r="R17" s="64" t="s">
        <v>200</v>
      </c>
      <c r="T17" s="160">
        <f>IF('CALCULATOR SHEET'!$T$58="PESOS",'CALCULATOR SHEET'!S16*'CALCULATOR SHEET'!$W$6,'CALCULATOR SHEET'!S16)</f>
        <v>228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customHeight="1">
      <c r="C56" s="292" t="str">
        <f>IF('CALCULATOR SHEET'!B54&lt;&gt;"",'CALCULATOR SHEET'!B54,"")</f>
        <v/>
      </c>
      <c r="D56" s="67">
        <f>IF('CALCULATOR SHEET'!C54&lt;&gt;"",'CALCULATOR SHEET'!C54,"")</f>
        <v>3</v>
      </c>
      <c r="E56" s="291" t="str">
        <f>IF('CALCULATOR SHEET'!E54&lt;&gt;"",'CALCULATOR SHEET'!E54,"")</f>
        <v xml:space="preserve">MOTORES DE CONEXION A LUZ </v>
      </c>
      <c r="I56" s="184"/>
      <c r="J56" s="184"/>
      <c r="K56" s="67"/>
      <c r="L56" s="67"/>
      <c r="M56" s="67"/>
      <c r="N56" s="185"/>
      <c r="O56" s="185">
        <f>IF(D56&lt;&gt;"",T56,"")</f>
        <v>180</v>
      </c>
      <c r="P56" s="186">
        <f>IF(O56&lt;&gt;"",O56*D56,"")</f>
        <v>540</v>
      </c>
      <c r="Q56" s="208"/>
      <c r="R56" s="64" t="str">
        <f t="shared" si="3"/>
        <v>VERDADERO</v>
      </c>
      <c r="T56" s="160">
        <f>IF('CALCULATOR SHEET'!$T$58="PESOS",'CALCULATOR SHEET'!S54*19.5,'CALCULATOR SHEET'!S54)</f>
        <v>180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1369</v>
      </c>
      <c r="Q62" s="188"/>
      <c r="X62" s="163" t="str">
        <f>IF('CALCULATOR SHEET'!$W$2=1,GENERAL!Q35,GENERAL!S35)</f>
        <v>SUB TOTAL</v>
      </c>
      <c r="Y62" s="222">
        <f>P62</f>
        <v>1369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410.7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1498.3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>SERVICES</v>
      </c>
      <c r="P65" s="187">
        <f>IF(Y66&lt;&gt;0,Y66,"")</f>
        <v>540</v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1498.3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1498.3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540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1498.3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1498.3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ROSANGEL GUZMAN 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397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0">IF(AJ8=0,"",MATCH(CEILING(AJ8,6),$D$4:$Z$4,0))</f>
        <v>14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397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1"/>
        <v>14</v>
      </c>
      <c r="AN9" s="54">
        <f t="shared" si="2"/>
        <v>414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1"/>
        <v>9</v>
      </c>
      <c r="AN10" s="54">
        <f t="shared" si="2"/>
        <v>232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 t="shared" ref="AL7:AL70" si="0">IF(AJ7=0,"",MATCH(CEILING(AJ7,6),$D$4:$Z$4,0))</f>
        <v>14</v>
      </c>
      <c r="AM7" s="53">
        <f>IF(AK7=0,"",MATCH(CEILING(AK7,6),$C$7:$C$28,0))</f>
        <v>14</v>
      </c>
      <c r="AN7" s="54">
        <f t="shared" ref="AN7:AN70" si="1">IF(AL7="","",INDEX($D$7:$Z$28,AM7,AL7))</f>
        <v>467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100</v>
      </c>
      <c r="AK8" s="53">
        <f>'CALCULATOR SHEET'!J14</f>
        <v>100.5</v>
      </c>
      <c r="AL8" s="53">
        <f t="shared" si="0"/>
        <v>14</v>
      </c>
      <c r="AM8" s="53">
        <f t="shared" ref="AM8:AM71" si="2">IF(AK8=0,"",MATCH(CEILING(AK8,6),$C$7:$C$28,0))</f>
        <v>14</v>
      </c>
      <c r="AN8" s="54">
        <f t="shared" si="1"/>
        <v>467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2"/>
        <v>14</v>
      </c>
      <c r="AN9" s="54">
        <f t="shared" si="1"/>
        <v>489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2"/>
        <v>9</v>
      </c>
      <c r="AN10" s="54">
        <f t="shared" si="1"/>
        <v>275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479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0">IF(AJ8=0,"",MATCH(CEILING(AJ8,6),$D$4:$Z$4,0))</f>
        <v>14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479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1"/>
        <v>14</v>
      </c>
      <c r="AN9" s="54">
        <f t="shared" si="2"/>
        <v>502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1"/>
        <v>9</v>
      </c>
      <c r="AN10" s="54">
        <f t="shared" si="2"/>
        <v>283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565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0">IF(AJ8=0,"",MATCH(CEILING(AJ8,6),$D$4:$Z$4,0))</f>
        <v>14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565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1"/>
        <v>14</v>
      </c>
      <c r="AN9" s="54">
        <f t="shared" si="2"/>
        <v>592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1"/>
        <v>9</v>
      </c>
      <c r="AN10" s="54">
        <f t="shared" si="2"/>
        <v>335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641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1">IF(AJ8=0,"",MATCH(CEILING(AJ8,6),$D$4:$Z$4,0))</f>
        <v>14</v>
      </c>
      <c r="AM8" s="53">
        <f t="shared" ref="AM8:AM71" si="2">IF(AK8=0,"",MATCH(CEILING(AK8,6),$C$7:$C$28,0))</f>
        <v>14</v>
      </c>
      <c r="AN8" s="54">
        <f t="shared" ref="AN8:AN71" si="3">IF(AL8="","",INDEX($D$7:$Z$28,AM8,AL8))</f>
        <v>641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104</v>
      </c>
      <c r="AK9" s="53">
        <f>'CALCULATOR SHEET'!J15</f>
        <v>101</v>
      </c>
      <c r="AL9" s="53">
        <f>IF(AJ9=0,"",MATCH(CEILING(AJ9,6),$D$4:$Z$4,0))</f>
        <v>15</v>
      </c>
      <c r="AM9" s="53">
        <f t="shared" si="2"/>
        <v>14</v>
      </c>
      <c r="AN9" s="54">
        <f t="shared" si="3"/>
        <v>673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79</v>
      </c>
      <c r="AK10" s="53">
        <f>'CALCULATOR SHEET'!J16</f>
        <v>67</v>
      </c>
      <c r="AL10" s="53">
        <f t="shared" si="1"/>
        <v>11</v>
      </c>
      <c r="AM10" s="53">
        <f t="shared" si="2"/>
        <v>9</v>
      </c>
      <c r="AN10" s="54">
        <f t="shared" si="3"/>
        <v>382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736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17">IF(AJ8=0,"",MATCH(CEILING(AJ8,6),$D$4:$Z$4,0))</f>
        <v>14</v>
      </c>
      <c r="AM8" s="53">
        <f t="shared" ref="AM8:AM71" si="18">IF(AK8=0,"",MATCH(CEILING(AK8,6),$C$7:$C$28,0))</f>
        <v>14</v>
      </c>
      <c r="AN8" s="54">
        <f t="shared" ref="AN8:AN71" si="19">IF(AL8="","",INDEX($D$7:$Z$28,AM8,AL8))</f>
        <v>736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104</v>
      </c>
      <c r="AK9" s="53">
        <f>'CALCULATOR SHEET'!J15</f>
        <v>101</v>
      </c>
      <c r="AL9" s="53">
        <f t="shared" si="17"/>
        <v>15</v>
      </c>
      <c r="AM9" s="53">
        <f t="shared" si="18"/>
        <v>14</v>
      </c>
      <c r="AN9" s="54">
        <f t="shared" si="19"/>
        <v>775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79</v>
      </c>
      <c r="AK10" s="53">
        <f>'CALCULATOR SHEET'!J16</f>
        <v>67</v>
      </c>
      <c r="AL10" s="53">
        <f t="shared" si="17"/>
        <v>11</v>
      </c>
      <c r="AM10" s="53">
        <f t="shared" si="18"/>
        <v>9</v>
      </c>
      <c r="AN10" s="54">
        <f t="shared" si="19"/>
        <v>459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100</v>
      </c>
      <c r="Z7" s="7">
        <f>'CALCULATOR SHEET'!J13</f>
        <v>100.5</v>
      </c>
      <c r="AA7" s="7">
        <f>IF(Y7=0,"",MATCH(CEILING(Y7,6),$C$7:$R$7,0))</f>
        <v>13</v>
      </c>
      <c r="AB7" s="7">
        <f>IF(Z7=0,"",MATCH(CEILING(Z7,6),$B$10:$B$26,0))</f>
        <v>12</v>
      </c>
      <c r="AC7" s="146">
        <f>IF(AA7="","",IF(W7="GROUP 1",INDEX($C$10:$R$26,AB7,AA7),IF(W7="GROUP 2",INDEX($C$39:$R$55,AB7,AA7),IF(W7="GROUP 3",INDEX($C$64:$R$80,AB7,AA7),""))))</f>
        <v>1032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214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3</v>
      </c>
      <c r="X8" s="1">
        <f>+X7+1</f>
        <v>2</v>
      </c>
      <c r="Y8" s="7">
        <f>'CALCULATOR SHEET'!I14</f>
        <v>100</v>
      </c>
      <c r="Z8" s="7">
        <f>'CALCULATOR SHEET'!J14</f>
        <v>100.5</v>
      </c>
      <c r="AA8" s="7">
        <f t="shared" ref="AA8:AA28" si="1">IF(Y8=0,"",MATCH(CEILING(Y8,6),$C$7:$R$7,0))</f>
        <v>13</v>
      </c>
      <c r="AB8" s="7">
        <f t="shared" ref="AB8:AB28" si="2">IF(Z8=0,"",MATCH(CEILING(Z8,6),$B$10:$B$26,0))</f>
        <v>12</v>
      </c>
      <c r="AC8" s="146">
        <f t="shared" ref="AC8:AC71" si="3">IF(AA8="","",IF(W8="GROUP 1",INDEX($C$10:$R$26,AB8,AA8),IF(W8="GROUP 2",INDEX($C$39:$R$55,AB8,AA8),IF(W8="GROUP 3",INDEX($C$64:$R$80,AB8,AA8),""))))</f>
        <v>1032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214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104</v>
      </c>
      <c r="Z9" s="7">
        <f>'CALCULATOR SHEET'!J15</f>
        <v>101</v>
      </c>
      <c r="AA9" s="7">
        <f t="shared" si="1"/>
        <v>14</v>
      </c>
      <c r="AB9" s="7">
        <f t="shared" si="2"/>
        <v>12</v>
      </c>
      <c r="AC9" s="146">
        <f t="shared" si="3"/>
        <v>1057</v>
      </c>
      <c r="AD9" s="13" t="str">
        <f>IF(AND('CALCULATOR SHEET'!P15="YES",'CALCULATOR SHEET'!Q15="YES"),HLOOKUP(CEILING(Y9,6),$C$28:$Q$31,3,FALSE),"")</f>
        <v/>
      </c>
      <c r="AE9" s="13">
        <f t="shared" si="4"/>
        <v>214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3</v>
      </c>
      <c r="X10" s="1">
        <f t="shared" si="6"/>
        <v>4</v>
      </c>
      <c r="Y10" s="7">
        <f>'CALCULATOR SHEET'!I16</f>
        <v>79</v>
      </c>
      <c r="Z10" s="7">
        <f>'CALCULATOR SHEET'!J16</f>
        <v>67</v>
      </c>
      <c r="AA10" s="7">
        <f t="shared" si="1"/>
        <v>10</v>
      </c>
      <c r="AB10" s="7">
        <f t="shared" si="2"/>
        <v>7</v>
      </c>
      <c r="AC10" s="146">
        <f t="shared" si="3"/>
        <v>902</v>
      </c>
      <c r="AD10" s="13" t="str">
        <f>IF(AND('CALCULATOR SHEET'!P16="YES",'CALCULATOR SHEET'!Q16="YES"),HLOOKUP(CEILING(Y10,6),$C$28:$Q$31,3,FALSE),"")</f>
        <v/>
      </c>
      <c r="AE10" s="13">
        <f t="shared" si="4"/>
        <v>208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63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 t="str">
        <f>'CALCULATOR SHEET'!E54</f>
        <v xml:space="preserve">MOTORES DE CONEXION A LUZ 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100</v>
      </c>
      <c r="W7" s="7">
        <f>'CALCULATOR SHEET'!J13</f>
        <v>100.5</v>
      </c>
      <c r="X7" s="7">
        <f>IF(V7=0,"",MATCH(CEILING(V7,6),$C$8:$Q$8,0))</f>
        <v>14</v>
      </c>
      <c r="Y7" s="7">
        <f>IF(W7=0,"",MATCH(CEILING(W7,6),$B$10:$B$26,0))</f>
        <v>14</v>
      </c>
      <c r="Z7" s="146">
        <f>IF(X7="","",INDEX($C$12:$Q$26,Y7,X7))</f>
        <v>549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100</v>
      </c>
      <c r="W8" s="7">
        <f>'CALCULATOR SHEET'!J14</f>
        <v>100.5</v>
      </c>
      <c r="X8" s="7">
        <f t="shared" ref="X8:X73" si="0">IF(V8=0,"",MATCH(CEILING(V8,6),$C$8:$Q$8,0))</f>
        <v>14</v>
      </c>
      <c r="Y8" s="7">
        <f t="shared" ref="Y8:Y71" si="1">IF(W8=0,"",MATCH(CEILING(W8,6),$B$10:$B$26,0))</f>
        <v>14</v>
      </c>
      <c r="Z8" s="146">
        <f>IF(X8="","",INDEX($C$12:$Q$26,Y8,X8))</f>
        <v>549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104</v>
      </c>
      <c r="W9" s="7">
        <f>'CALCULATOR SHEET'!J15</f>
        <v>101</v>
      </c>
      <c r="X9" s="7">
        <f t="shared" si="0"/>
        <v>15</v>
      </c>
      <c r="Y9" s="7">
        <f t="shared" si="1"/>
        <v>14</v>
      </c>
      <c r="Z9" s="146">
        <f>IF(X9="","",INDEX($C$12:$Q$26,Y9,X9))</f>
        <v>590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79</v>
      </c>
      <c r="W12" s="7">
        <f>'CALCULATOR SHEET'!J16</f>
        <v>67</v>
      </c>
      <c r="X12" s="7">
        <f t="shared" si="0"/>
        <v>11</v>
      </c>
      <c r="Y12" s="7">
        <f t="shared" si="1"/>
        <v>9</v>
      </c>
      <c r="Z12" s="146">
        <f t="shared" ref="Z12:Z43" si="3">IF(X12="","",INDEX($C$12:$Q$26,Y12,X12))</f>
        <v>390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 t="str">
        <f>IF(Y7="","",INDEX($C$10:$Q$26,Z7,Y7))</f>
        <v>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 t="str">
        <f t="shared" ref="AA8:AA71" si="3">IF(Y8="","",INDEX($C$10:$Q$26,Z8,Y8))</f>
        <v>N/A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213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413</v>
      </c>
    </row>
    <row r="8" spans="2:27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413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313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abSelected="1" zoomScale="85" zoomScaleNormal="85" workbookViewId="0">
      <selection activeCell="T5" sqref="T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462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476</v>
      </c>
      <c r="Q5" s="285"/>
      <c r="R5" s="19"/>
      <c r="S5" s="19" t="s">
        <v>42</v>
      </c>
      <c r="T5" s="49" t="s">
        <v>477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465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463</v>
      </c>
      <c r="E9" s="39"/>
      <c r="F9" s="1"/>
      <c r="G9" s="38" t="s">
        <v>443</v>
      </c>
      <c r="H9" s="343" t="s">
        <v>466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45954</v>
      </c>
      <c r="Z9" s="38" t="s">
        <v>304</v>
      </c>
      <c r="AA9" s="34">
        <f>SUMIF(C13:C52,"&gt;0")</f>
        <v>4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464</v>
      </c>
      <c r="E10" s="149"/>
      <c r="F10" s="1"/>
      <c r="G10" s="341" t="s">
        <v>444</v>
      </c>
      <c r="H10" s="343" t="s">
        <v>467</v>
      </c>
      <c r="I10" s="1"/>
      <c r="J10" s="3" t="s">
        <v>449</v>
      </c>
      <c r="K10" s="344"/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1706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473</v>
      </c>
      <c r="H13" s="68" t="s">
        <v>469</v>
      </c>
      <c r="I13" s="81">
        <v>100</v>
      </c>
      <c r="J13" s="81">
        <v>100.5</v>
      </c>
      <c r="K13" s="254" t="s">
        <v>274</v>
      </c>
      <c r="L13" s="70"/>
      <c r="M13" s="284" t="s">
        <v>130</v>
      </c>
      <c r="N13" s="254" t="s">
        <v>213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375</v>
      </c>
      <c r="T13" s="316">
        <f t="shared" ref="T13:T52" si="0">IF(S13="","",S13*C13)</f>
        <v>375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375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375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473</v>
      </c>
      <c r="H14" s="68" t="s">
        <v>470</v>
      </c>
      <c r="I14" s="81">
        <v>100</v>
      </c>
      <c r="J14" s="81">
        <v>100.5</v>
      </c>
      <c r="K14" s="254" t="s">
        <v>274</v>
      </c>
      <c r="L14" s="70"/>
      <c r="M14" s="284" t="s">
        <v>130</v>
      </c>
      <c r="N14" s="254" t="s">
        <v>213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375</v>
      </c>
      <c r="T14" s="316">
        <f t="shared" si="0"/>
        <v>375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375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375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/>
      <c r="G15" s="68" t="s">
        <v>473</v>
      </c>
      <c r="H15" s="68" t="s">
        <v>468</v>
      </c>
      <c r="I15" s="81">
        <v>104</v>
      </c>
      <c r="J15" s="81">
        <v>101</v>
      </c>
      <c r="K15" s="254" t="s">
        <v>274</v>
      </c>
      <c r="L15" s="70"/>
      <c r="M15" s="284" t="s">
        <v>129</v>
      </c>
      <c r="N15" s="254" t="s">
        <v>213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391</v>
      </c>
      <c r="T15" s="316">
        <f t="shared" si="0"/>
        <v>391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391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391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21</v>
      </c>
      <c r="F16" s="69"/>
      <c r="G16" s="68" t="s">
        <v>474</v>
      </c>
      <c r="H16" s="68" t="s">
        <v>471</v>
      </c>
      <c r="I16" s="81">
        <v>79</v>
      </c>
      <c r="J16" s="81">
        <v>67</v>
      </c>
      <c r="K16" s="254" t="s">
        <v>96</v>
      </c>
      <c r="L16" s="70"/>
      <c r="M16" s="284" t="s">
        <v>130</v>
      </c>
      <c r="N16" s="254" t="s">
        <v>213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228</v>
      </c>
      <c r="T16" s="316">
        <f t="shared" si="0"/>
        <v>228</v>
      </c>
      <c r="U16" s="179" t="str">
        <f t="shared" si="2"/>
        <v/>
      </c>
      <c r="V16" s="120"/>
      <c r="W16" s="124">
        <f t="shared" si="8"/>
        <v>228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219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9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9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>
        <v>3</v>
      </c>
      <c r="D54" s="199"/>
      <c r="E54" s="206" t="s">
        <v>472</v>
      </c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>
        <v>180</v>
      </c>
      <c r="T54" s="114">
        <f>IF(S54="","",S54*C54)</f>
        <v>540</v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1369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410.7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540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1498.3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1498.3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475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100</v>
      </c>
      <c r="Y7" s="7">
        <f>'CALCULATOR SHEET'!J13</f>
        <v>100.5</v>
      </c>
      <c r="Z7" s="7">
        <f>IF(X7=0,"",MATCH(CEILING(X7,6),$C$7:$R$7,0))</f>
        <v>14</v>
      </c>
      <c r="AA7" s="7">
        <f>IF(Y7=0,"",MATCH(CEILING(Y7,6),$B$10:$B$26,0))</f>
        <v>14</v>
      </c>
      <c r="AB7" s="146">
        <f>IF(Z7="","",INDEX($C$10:$R$26,AA7,Z7))</f>
        <v>471</v>
      </c>
    </row>
    <row r="8" spans="2:28" ht="15.75">
      <c r="U8" s="385"/>
      <c r="V8" s="147"/>
      <c r="W8" s="1">
        <f>+W7+1</f>
        <v>2</v>
      </c>
      <c r="X8" s="7">
        <f>'CALCULATOR SHEET'!I14</f>
        <v>100</v>
      </c>
      <c r="Y8" s="7">
        <f>'CALCULATOR SHEET'!J14</f>
        <v>100.5</v>
      </c>
      <c r="Z8" s="7">
        <f t="shared" ref="Z8:Z71" si="0">IF(X8=0,"",MATCH(CEILING(X8,6),$C$7:$R$7,0))</f>
        <v>14</v>
      </c>
      <c r="AA8" s="7">
        <f t="shared" ref="AA8:AA71" si="1">IF(Y8=0,"",MATCH(CEILING(Y8,6),$B$10:$B$26,0))</f>
        <v>14</v>
      </c>
      <c r="AB8" s="146">
        <f t="shared" ref="AB8:AB71" si="2">IF(Z8="","",INDEX($C$10:$R$26,AA8,Z8))</f>
        <v>471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104</v>
      </c>
      <c r="Y9" s="7">
        <f>'CALCULATOR SHEET'!J15</f>
        <v>101</v>
      </c>
      <c r="Z9" s="7">
        <f t="shared" si="0"/>
        <v>15</v>
      </c>
      <c r="AA9" s="7">
        <f t="shared" si="1"/>
        <v>14</v>
      </c>
      <c r="AB9" s="146" t="str">
        <f t="shared" si="2"/>
        <v>N/A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79</v>
      </c>
      <c r="Y10" s="7">
        <f>'CALCULATOR SHEET'!J16</f>
        <v>67</v>
      </c>
      <c r="Z10" s="7">
        <f t="shared" si="0"/>
        <v>11</v>
      </c>
      <c r="AA10" s="7">
        <f t="shared" si="1"/>
        <v>9</v>
      </c>
      <c r="AB10" s="146">
        <f t="shared" si="2"/>
        <v>355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546</v>
      </c>
    </row>
    <row r="8" spans="2:27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546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409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529</v>
      </c>
    </row>
    <row r="8" spans="2:27" ht="15" customHeight="1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529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>
        <f t="shared" si="3"/>
        <v>537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395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709</v>
      </c>
    </row>
    <row r="8" spans="2:27" ht="15" customHeight="1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709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525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748</v>
      </c>
    </row>
    <row r="8" spans="2:27" ht="15" customHeight="1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748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552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100</v>
      </c>
      <c r="X7" s="7">
        <f>'CALCULATOR SHEET'!J13</f>
        <v>100.5</v>
      </c>
      <c r="Y7" s="7">
        <f>IF(W7=0,"",MATCH(CEILING(W7,6),$C$7:$Q$7,0))</f>
        <v>14</v>
      </c>
      <c r="Z7" s="7">
        <f>IF(X7=0,"",MATCH(CEILING(X7,6),$B$10:$B$26,0))</f>
        <v>14</v>
      </c>
      <c r="AA7" s="146">
        <f>IF(Y7="","",INDEX($C$10:$Q$26,Z7,Y7))</f>
        <v>741</v>
      </c>
    </row>
    <row r="8" spans="2:27" ht="15" customHeight="1">
      <c r="T8" s="385"/>
      <c r="V8" s="1">
        <f>+V7+1</f>
        <v>2</v>
      </c>
      <c r="W8" s="7">
        <f>'CALCULATOR SHEET'!I14</f>
        <v>100</v>
      </c>
      <c r="X8" s="7">
        <f>'CALCULATOR SHEET'!J14</f>
        <v>100.5</v>
      </c>
      <c r="Y8" s="7">
        <f t="shared" ref="Y8:Y71" si="1">IF(W8=0,"",MATCH(CEILING(W8,6),$C$7:$Q$7,0))</f>
        <v>14</v>
      </c>
      <c r="Z8" s="7">
        <f t="shared" ref="Z8:Z71" si="2">IF(X8=0,"",MATCH(CEILING(X8,6),$B$10:$B$26,0))</f>
        <v>14</v>
      </c>
      <c r="AA8" s="146">
        <f t="shared" ref="AA8:AA71" si="3">IF(Y8="","",INDEX($C$10:$Q$26,Z8,Y8))</f>
        <v>741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104</v>
      </c>
      <c r="X9" s="7">
        <f>'CALCULATOR SHEET'!J15</f>
        <v>101</v>
      </c>
      <c r="Y9" s="7">
        <f t="shared" si="1"/>
        <v>15</v>
      </c>
      <c r="Z9" s="7">
        <f t="shared" si="2"/>
        <v>14</v>
      </c>
      <c r="AA9" s="146" t="str">
        <f t="shared" si="3"/>
        <v>N/A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79</v>
      </c>
      <c r="X10" s="7">
        <f>'CALCULATOR SHEET'!J16</f>
        <v>67</v>
      </c>
      <c r="Y10" s="7">
        <f t="shared" si="1"/>
        <v>11</v>
      </c>
      <c r="Z10" s="7">
        <f t="shared" si="2"/>
        <v>9</v>
      </c>
      <c r="AA10" s="146">
        <f t="shared" si="3"/>
        <v>545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100</v>
      </c>
      <c r="Y5" s="7">
        <f>'PM-ORDER'!P5</f>
        <v>100.5</v>
      </c>
      <c r="Z5" s="7">
        <f>IF(X5&lt;&gt;"",MATCH(CEILING(X5,6),$C$4:$S$4,0),"")</f>
        <v>14</v>
      </c>
      <c r="AA5" s="7">
        <f>IF(X5&lt;&gt;"",MATCH(CEILING(Y5,6),$B$7:$B$26,0),"")</f>
        <v>14</v>
      </c>
      <c r="AB5" s="7"/>
      <c r="AC5" s="7" t="str">
        <f>IF('PM-ORDER'!G5="ROLLER",INDEX($C$7:$S$26,AA5,Z5),"")</f>
        <v>RL-MAN-BSGD</v>
      </c>
      <c r="AF5" s="7" t="str">
        <f>IF('PM-ORDER'!G5="ZEBRA",INDEX($C$35:$S$54,AA5,Z5),"")</f>
        <v/>
      </c>
      <c r="AG5" s="1" t="str">
        <f>CONCATENATE(AC5,AF5)</f>
        <v>RL-MAN-BSGD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100</v>
      </c>
      <c r="Y6" s="7">
        <f>'PM-ORDER'!P6</f>
        <v>100.5</v>
      </c>
      <c r="Z6" s="7">
        <f t="shared" ref="Z6:Z44" si="0">IF(X6&lt;&gt;"",MATCH(CEILING(X6,6),$C$4:$S$4,0),"")</f>
        <v>14</v>
      </c>
      <c r="AA6" s="7">
        <f t="shared" ref="AA6:AA44" si="1">IF(X6&lt;&gt;"",MATCH(CEILING(Y6,6),$B$7:$B$26,0),"")</f>
        <v>14</v>
      </c>
      <c r="AC6" s="7" t="str">
        <f>IF('PM-ORDER'!G6="ROLLER",INDEX($C$7:$S$26,AA6,Z6),"")</f>
        <v>RL-MAN-BSGD</v>
      </c>
      <c r="AF6" s="7" t="str">
        <f>IF('PM-ORDER'!G6="ZEBRA",INDEX($C$35:$S$54,AA6,Z6),"")</f>
        <v/>
      </c>
      <c r="AG6" s="1" t="str">
        <f t="shared" ref="AG6:AG44" si="2">CONCATENATE(AC6,AF6)</f>
        <v>RL-MAN-BSGD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104</v>
      </c>
      <c r="Y7" s="7">
        <f>'PM-ORDER'!P7</f>
        <v>101</v>
      </c>
      <c r="Z7" s="7">
        <f t="shared" si="0"/>
        <v>15</v>
      </c>
      <c r="AA7" s="7">
        <f t="shared" si="1"/>
        <v>14</v>
      </c>
      <c r="AC7" s="7" t="str">
        <f>IF('PM-ORDER'!G7="ROLLER",INDEX($C$7:$S$26,AA7,Z7),"")</f>
        <v>RL-MAN-BSGD</v>
      </c>
      <c r="AF7" s="7" t="str">
        <f>IF('PM-ORDER'!G7="ZEBRA",INDEX($C$35:$S$54,AA7,Z7),"")</f>
        <v/>
      </c>
      <c r="AG7" s="1" t="str">
        <f t="shared" si="2"/>
        <v>RL-MAN-BSGD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79</v>
      </c>
      <c r="Y8" s="7">
        <f>'PM-ORDER'!P8</f>
        <v>67</v>
      </c>
      <c r="Z8" s="7">
        <f t="shared" si="0"/>
        <v>11</v>
      </c>
      <c r="AA8" s="7">
        <f t="shared" si="1"/>
        <v>9</v>
      </c>
      <c r="AC8" s="7" t="str">
        <f>IF('PM-ORDER'!G8="ROLLER",INDEX($C$7:$S$26,AA8,Z8),"")</f>
        <v>RL-MAN-BSMD</v>
      </c>
      <c r="AF8" s="7" t="str">
        <f>IF('PM-ORDER'!G8="ZEBRA",INDEX($C$35:$S$54,AA8,Z8),"")</f>
        <v/>
      </c>
      <c r="AG8" s="1" t="str">
        <f t="shared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45957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251027-RG- REV 1 </v>
      </c>
      <c r="D5" s="229">
        <f>IF('CALCULATOR SHEET'!D13&lt;&gt;"",'CALCULATOR SHEET'!$T$9,"")</f>
        <v>45954</v>
      </c>
      <c r="E5" s="230" t="str">
        <f>IF(D5&lt;&gt;"","BAJA SHADES","")</f>
        <v>BAJA SHADES</v>
      </c>
      <c r="F5" s="231" t="str">
        <f>IF(C5&lt;&gt;"",'CALCULATOR SHEET'!$D$9,"")</f>
        <v xml:space="preserve">CONDOMINIO MAR Y SOL 1706 </v>
      </c>
      <c r="G5" s="231" t="str">
        <f>IF('CALCULATOR SHEET'!D13&lt;&gt;"",'CALCULATOR SHEET'!D13,"")</f>
        <v>ROLLER</v>
      </c>
      <c r="H5" s="231" t="str">
        <f>IF(Q5="CCL",BOMS!AG5,"")</f>
        <v/>
      </c>
      <c r="I5" s="230">
        <v>1</v>
      </c>
      <c r="J5" s="231" t="str">
        <f>IF(C5&lt;&gt;"",'CALCULATOR SHEET'!K13,"")</f>
        <v>REMOTE CONTROL</v>
      </c>
      <c r="K5" s="231" t="str">
        <f>IF(J5=GENERAL!$H$6,GENERAL!$H$6,IF(J5=GENERAL!$H$7,GENERAL!$H$7,IF('PM-ORDER'!J5=GENERAL!$H$8,GENERAL!$H$8,"")))</f>
        <v/>
      </c>
      <c r="L5" s="231" t="str">
        <f>IF(C5&lt;&gt;"",'CALCULATOR SHEET'!G13,"")</f>
        <v xml:space="preserve">SCREEN BASIC ALABASTER </v>
      </c>
      <c r="M5" s="231" t="str">
        <f>IF(C5&lt;&gt;"",'CALCULATOR SHEET'!O13,"")</f>
        <v>STANDARD ROLL</v>
      </c>
      <c r="N5" s="231" t="str">
        <f>IF(C5&lt;&gt;"",'CALCULATOR SHEET'!H13,"")</f>
        <v xml:space="preserve">SALA PUERTA LADO A </v>
      </c>
      <c r="O5" s="233">
        <f>IF(D5&lt;&gt;"",'CALCULATOR SHEET'!I13,"")</f>
        <v>100</v>
      </c>
      <c r="P5" s="233">
        <f>IF(E5&lt;&gt;"",'CALCULATOR SHEET'!J13,"")</f>
        <v>100.5</v>
      </c>
      <c r="Q5" s="230" t="str">
        <f>IF('CALCULATOR SHEET'!K13=GENERAL!$H$9,GENERAL!$H$9,IF(OR('CALCULATOR SHEET'!K13=GENERAL!$H$6,'CALCULATOR SHEET'!K13=GENERAL!$H$7,'CALCULATOR SHEET'!K13=GENERAL!$H$8),"CCL",""))</f>
        <v>REMOTE CONTROL</v>
      </c>
      <c r="R5" s="230" t="str">
        <f>IF(C5&lt;&gt;"",'CALCULATOR SHEET'!M13,"")</f>
        <v>R</v>
      </c>
      <c r="S5" s="230" t="str">
        <f>IF(D5&lt;&gt;"",'CALCULATOR SHEET'!N13,"")</f>
        <v>OUTSIDE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MAR Y SOL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251027-RG- REV 1 </v>
      </c>
      <c r="D6" s="229">
        <f>IF('CALCULATOR SHEET'!D14&lt;&gt;"",'CALCULATOR SHEET'!$T$9,"")</f>
        <v>45954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CONDOMINIO MAR Y SOL 1706 </v>
      </c>
      <c r="G6" s="231" t="str">
        <f>IF('CALCULATOR SHEET'!D14&lt;&gt;"",'CALCULATOR SHEET'!D14,"")</f>
        <v>ROLLER</v>
      </c>
      <c r="H6" s="231" t="str">
        <f>IF(Q6="CCL",BOMS!AG6,"")</f>
        <v/>
      </c>
      <c r="I6" s="230">
        <v>1</v>
      </c>
      <c r="J6" s="231" t="str">
        <f>IF(C6&lt;&gt;"",'CALCULATOR SHEET'!K14,"")</f>
        <v>REMOTE CONTROL</v>
      </c>
      <c r="K6" s="231" t="str">
        <f>IF(J6=GENERAL!$H$6,GENERAL!$H$6,IF(J6=GENERAL!$H$7,GENERAL!$H$7,IF('PM-ORDER'!J6=GENERAL!$H$8,GENERAL!$H$8,"")))</f>
        <v/>
      </c>
      <c r="L6" s="231" t="str">
        <f>IF(C6&lt;&gt;"",'CALCULATOR SHEET'!G14,"")</f>
        <v xml:space="preserve">SCREEN BASIC ALABASTER </v>
      </c>
      <c r="M6" s="231" t="str">
        <f>IF(C6&lt;&gt;"",'CALCULATOR SHEET'!O14,"")</f>
        <v>STANDARD ROLL</v>
      </c>
      <c r="N6" s="231" t="str">
        <f>IF(C6&lt;&gt;"",'CALCULATOR SHEET'!H14,"")</f>
        <v xml:space="preserve">SALA PUERTA LADO B </v>
      </c>
      <c r="O6" s="233">
        <f>IF(D6&lt;&gt;"",'CALCULATOR SHEET'!I14,"")</f>
        <v>100</v>
      </c>
      <c r="P6" s="233">
        <f>IF(E6&lt;&gt;"",'CALCULATOR SHEET'!J14,"")</f>
        <v>100.5</v>
      </c>
      <c r="Q6" s="230" t="str">
        <f>IF('CALCULATOR SHEET'!K14=GENERAL!$H$9,GENERAL!$H$9,IF(OR('CALCULATOR SHEET'!K14=GENERAL!$H$6,'CALCULATOR SHEET'!K14=GENERAL!$H$7,'CALCULATOR SHEET'!K14=GENERAL!$H$8),"CCL",""))</f>
        <v>REMOTE CONTROL</v>
      </c>
      <c r="R6" s="230" t="str">
        <f>IF(C6&lt;&gt;"",'CALCULATOR SHEET'!M14,"")</f>
        <v>R</v>
      </c>
      <c r="S6" s="230" t="str">
        <f>IF(D6&lt;&gt;"",'CALCULATOR SHEET'!N14,"")</f>
        <v>OUTSIDE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MAR Y SOL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251027-RG- REV 1 </v>
      </c>
      <c r="D7" s="229">
        <f>IF('CALCULATOR SHEET'!D15&lt;&gt;"",'CALCULATOR SHEET'!$T$9,"")</f>
        <v>45954</v>
      </c>
      <c r="E7" s="230" t="str">
        <f t="shared" si="0"/>
        <v>BAJA SHADES</v>
      </c>
      <c r="F7" s="231" t="str">
        <f>IF(C7&lt;&gt;"",'CALCULATOR SHEET'!$D$9,"")</f>
        <v xml:space="preserve">CONDOMINIO MAR Y SOL 1706 </v>
      </c>
      <c r="G7" s="231" t="str">
        <f>IF('CALCULATOR SHEET'!D15&lt;&gt;"",'CALCULATOR SHEET'!D15,"")</f>
        <v>ROLLER</v>
      </c>
      <c r="H7" s="231" t="str">
        <f>IF(Q7="CCL",BOMS!AG7,"")</f>
        <v/>
      </c>
      <c r="I7" s="230">
        <v>1</v>
      </c>
      <c r="J7" s="231" t="str">
        <f>IF(C7&lt;&gt;"",'CALCULATOR SHEET'!K15,"")</f>
        <v>REMOTE CONTROL</v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 xml:space="preserve">SCREEN BASIC ALABASTER </v>
      </c>
      <c r="M7" s="231" t="str">
        <f>IF(C7&lt;&gt;"",'CALCULATOR SHEET'!O15,"")</f>
        <v>STANDARD ROLL</v>
      </c>
      <c r="N7" s="231" t="str">
        <f>IF(C7&lt;&gt;"",'CALCULATOR SHEET'!H15,"")</f>
        <v xml:space="preserve">RECAMARA PRINCIPAL </v>
      </c>
      <c r="O7" s="233">
        <f>IF(D7&lt;&gt;"",'CALCULATOR SHEET'!I15,"")</f>
        <v>104</v>
      </c>
      <c r="P7" s="233">
        <f>IF(E7&lt;&gt;"",'CALCULATOR SHEET'!J15,"")</f>
        <v>101</v>
      </c>
      <c r="Q7" s="230" t="str">
        <f>IF('CALCULATOR SHEET'!K15=GENERAL!$H$9,GENERAL!$H$9,IF(OR('CALCULATOR SHEET'!K15=GENERAL!$H$6,'CALCULATOR SHEET'!K15=GENERAL!$H$7,'CALCULATOR SHEET'!K15=GENERAL!$H$8),"CCL",""))</f>
        <v>REMOTE CONTROL</v>
      </c>
      <c r="R7" s="230" t="str">
        <f>IF(C7&lt;&gt;"",'CALCULATOR SHEET'!M15,"")</f>
        <v>L</v>
      </c>
      <c r="S7" s="230" t="str">
        <f>IF(D7&lt;&gt;"",'CALCULATOR SHEET'!N15,"")</f>
        <v>OUTSIDE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MAR Y SOL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 xml:space="preserve">BS 251027-RG- REV 1 </v>
      </c>
      <c r="D8" s="229">
        <f>IF('CALCULATOR SHEET'!D16&lt;&gt;"",'CALCULATOR SHEET'!$T$9,"")</f>
        <v>45954</v>
      </c>
      <c r="E8" s="230" t="str">
        <f t="shared" si="0"/>
        <v>BAJA SHADES</v>
      </c>
      <c r="F8" s="231" t="str">
        <f>IF(C8&lt;&gt;"",'CALCULATOR SHEET'!$D$9,"")</f>
        <v xml:space="preserve">CONDOMINIO MAR Y SOL 1706 </v>
      </c>
      <c r="G8" s="231" t="str">
        <f>IF('CALCULATOR SHEET'!D16&lt;&gt;"",'CALCULATOR SHEET'!D16,"")</f>
        <v>ROLLER</v>
      </c>
      <c r="H8" s="231" t="str">
        <f>IF(Q8="CCL",BOMS!AG8,"")</f>
        <v>RL-MAN-BSMD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 xml:space="preserve">BO CADENZA RD WHITE </v>
      </c>
      <c r="M8" s="231" t="str">
        <f>IF(C8&lt;&gt;"",'CALCULATOR SHEET'!O16,"")</f>
        <v>STANDARD ROLL</v>
      </c>
      <c r="N8" s="231" t="str">
        <f>IF(C8&lt;&gt;"",'CALCULATOR SHEET'!H16,"")</f>
        <v xml:space="preserve">RECAMARA 1 </v>
      </c>
      <c r="O8" s="233">
        <f>IF(D8&lt;&gt;"",'CALCULATOR SHEET'!I16,"")</f>
        <v>79</v>
      </c>
      <c r="P8" s="233">
        <f>IF(E8&lt;&gt;"",'CALCULATOR SHEET'!J16,"")</f>
        <v>67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>IF(D8&lt;&gt;"",'CALCULATOR SHEET'!N16,"")</f>
        <v>OUTSIDE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 xml:space="preserve">MAR Y SOL 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100</v>
      </c>
      <c r="AK7" s="36">
        <f>'CALCULATOR SHEET'!J13</f>
        <v>100.5</v>
      </c>
      <c r="AL7" s="36">
        <f>IF(AJ7=0,"",MATCH(CEILING(AJ7,6),$D$4:$Z$4,0))</f>
        <v>14</v>
      </c>
      <c r="AM7" s="36">
        <f>IF(AK7=0,"",MATCH(CEILING(AK7,6),$C$7:$C$28,0))</f>
        <v>14</v>
      </c>
      <c r="AN7" s="57">
        <f>IF(AL7="","",INDEX($D$7:$Z$28,AM7,AL7))</f>
        <v>308</v>
      </c>
      <c r="AO7" s="58"/>
      <c r="AP7" s="57">
        <f>IF(AJ7&gt;0,HLOOKUP(CEILING(AJ7,6),$D$30:$Z$31,2,0),"")</f>
        <v>89</v>
      </c>
      <c r="AQ7" s="57">
        <f>IF(AJ7&gt;0,HLOOKUP(CEILING(AJ7,6),$D$33:$Z$34,2,0),"")</f>
        <v>115</v>
      </c>
      <c r="AR7" s="59">
        <f>IF(AJ7&gt;0,HLOOKUP(CEILING(AJ7,6),$D$36:$Z$37,2,0))</f>
        <v>62</v>
      </c>
      <c r="AS7" s="57">
        <f>IF(AL7="","",INDEX($AX$6:$BT$27,AM7,AL7))</f>
        <v>550</v>
      </c>
      <c r="AT7" s="37">
        <f>IF(AK7&gt;0,VLOOKUP(CEILING(AK7,6),$AA$7:$AB$28,2,0),"")</f>
        <v>85</v>
      </c>
      <c r="AU7" s="109">
        <f>IF(AK7&gt;0,VLOOKUP(CEILING(AK7,6),$AA$7:$AC$28,3,0),"")</f>
        <v>12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100</v>
      </c>
      <c r="AK8" s="36">
        <f>'CALCULATOR SHEET'!J14</f>
        <v>100.5</v>
      </c>
      <c r="AL8" s="36">
        <f t="shared" ref="AL8:AL71" si="0">IF(AJ8=0,"",MATCH(CEILING(AJ8,6),$D$4:$Z$4,0))</f>
        <v>14</v>
      </c>
      <c r="AM8" s="36">
        <f t="shared" ref="AM8:AM71" si="1">IF(AK8=0,"",MATCH(CEILING(AK8,6),$C$7:$C$28,0))</f>
        <v>14</v>
      </c>
      <c r="AN8" s="57">
        <f t="shared" ref="AN8:AN71" si="2">IF(AL8="","",INDEX($D$7:$Z$28,AM8,AL8))</f>
        <v>308</v>
      </c>
      <c r="AO8" s="58"/>
      <c r="AP8" s="57">
        <f t="shared" ref="AP8:AP71" si="3">IF(AJ8&gt;0,HLOOKUP(CEILING(AJ8,6),$D$30:$Z$31,2,0),"")</f>
        <v>89</v>
      </c>
      <c r="AQ8" s="57">
        <f t="shared" ref="AQ8:AQ71" si="4">IF(AJ8&gt;0,HLOOKUP(CEILING(AJ8,6),$D$33:$Z$34,2,0),"")</f>
        <v>115</v>
      </c>
      <c r="AR8" s="59">
        <f t="shared" ref="AR8:AR71" si="5">IF(AJ8&gt;0,HLOOKUP(CEILING(AJ8,6),$D$36:$Z$37,2,0))</f>
        <v>62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85</v>
      </c>
      <c r="AU8" s="109">
        <f t="shared" ref="AU8:AU71" si="8">IF(AK8&gt;0,VLOOKUP(CEILING(AK8,6),$AA$7:$AC$28,3,0),"")</f>
        <v>12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104</v>
      </c>
      <c r="AK9" s="36">
        <f>'CALCULATOR SHEET'!J15</f>
        <v>101</v>
      </c>
      <c r="AL9" s="36">
        <f t="shared" si="0"/>
        <v>15</v>
      </c>
      <c r="AM9" s="36">
        <f t="shared" si="1"/>
        <v>14</v>
      </c>
      <c r="AN9" s="57">
        <f t="shared" si="2"/>
        <v>321</v>
      </c>
      <c r="AO9" s="58"/>
      <c r="AP9" s="57">
        <f t="shared" si="3"/>
        <v>92</v>
      </c>
      <c r="AQ9" s="57">
        <f t="shared" si="4"/>
        <v>121</v>
      </c>
      <c r="AR9" s="59">
        <f t="shared" si="5"/>
        <v>66</v>
      </c>
      <c r="AS9" s="57">
        <f t="shared" si="6"/>
        <v>550</v>
      </c>
      <c r="AT9" s="37">
        <f t="shared" si="7"/>
        <v>85</v>
      </c>
      <c r="AU9" s="109">
        <f t="shared" si="8"/>
        <v>12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79</v>
      </c>
      <c r="AK10" s="36">
        <f>'CALCULATOR SHEET'!J16</f>
        <v>67</v>
      </c>
      <c r="AL10" s="36">
        <f t="shared" si="0"/>
        <v>11</v>
      </c>
      <c r="AM10" s="36">
        <f t="shared" si="1"/>
        <v>9</v>
      </c>
      <c r="AN10" s="57">
        <f t="shared" si="2"/>
        <v>178</v>
      </c>
      <c r="AO10" s="58"/>
      <c r="AP10" s="57">
        <f t="shared" si="3"/>
        <v>80</v>
      </c>
      <c r="AQ10" s="57">
        <f t="shared" si="4"/>
        <v>96</v>
      </c>
      <c r="AR10" s="59">
        <f t="shared" si="5"/>
        <v>51</v>
      </c>
      <c r="AS10" s="57">
        <f t="shared" si="6"/>
        <v>471</v>
      </c>
      <c r="AT10" s="37">
        <f t="shared" si="7"/>
        <v>60</v>
      </c>
      <c r="AU10" s="109">
        <f t="shared" si="8"/>
        <v>9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>IF(AJ7=0,"",MATCH(CEILING(AJ7,6),$D$4:$Z$4,0))</f>
        <v>14</v>
      </c>
      <c r="AM7" s="53">
        <f>IF(AK7=0,"",MATCH(CEILING(AK7,6),$C$7:$C$28,0))</f>
        <v>14</v>
      </c>
      <c r="AN7" s="54">
        <f>IF(AL7="","",INDEX($D$7:$Z$28,AM7,AL7))</f>
        <v>329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100</v>
      </c>
      <c r="AK8" s="53">
        <f>'CALCULATOR SHEET'!J14</f>
        <v>100.5</v>
      </c>
      <c r="AL8" s="53">
        <f t="shared" ref="AL8:AL71" si="0">IF(AJ8=0,"",MATCH(CEILING(AJ8,6),$D$4:$Z$4,0))</f>
        <v>14</v>
      </c>
      <c r="AM8" s="53">
        <f t="shared" ref="AM8:AM71" si="1">IF(AK8=0,"",MATCH(CEILING(AK8,6),$C$7:$C$28,0))</f>
        <v>14</v>
      </c>
      <c r="AN8" s="54">
        <f t="shared" ref="AN8:AN71" si="2">IF(AL8="","",INDEX($D$7:$Z$28,AM8,AL8))</f>
        <v>329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1"/>
        <v>14</v>
      </c>
      <c r="AN9" s="54">
        <f t="shared" si="2"/>
        <v>343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1"/>
        <v>9</v>
      </c>
      <c r="AN10" s="54">
        <f t="shared" si="2"/>
        <v>191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100</v>
      </c>
      <c r="AK7" s="53">
        <f>'CALCULATOR SHEET'!J13</f>
        <v>100.5</v>
      </c>
      <c r="AL7" s="53">
        <f t="shared" ref="AL7:AL70" si="0">IF(AJ7=0,"",MATCH(CEILING(AJ7,6),$D$4:$Z$4,0))</f>
        <v>14</v>
      </c>
      <c r="AM7" s="53">
        <f>IF(AK7=0,"",MATCH(CEILING(AK7,6),$C$7:$C$28,0))</f>
        <v>14</v>
      </c>
      <c r="AN7" s="54">
        <f t="shared" ref="AN7:AN70" si="1">IF(AL7="","",INDEX($D$7:$Z$28,AM7,AL7))</f>
        <v>375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100</v>
      </c>
      <c r="AK8" s="53">
        <f>'CALCULATOR SHEET'!J14</f>
        <v>100.5</v>
      </c>
      <c r="AL8" s="53">
        <f t="shared" si="0"/>
        <v>14</v>
      </c>
      <c r="AM8" s="53">
        <f t="shared" ref="AM8:AM71" si="2">IF(AK8=0,"",MATCH(CEILING(AK8,6),$C$7:$C$28,0))</f>
        <v>14</v>
      </c>
      <c r="AN8" s="54">
        <f t="shared" si="1"/>
        <v>375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104</v>
      </c>
      <c r="AK9" s="53">
        <f>'CALCULATOR SHEET'!J15</f>
        <v>101</v>
      </c>
      <c r="AL9" s="53">
        <f t="shared" si="0"/>
        <v>15</v>
      </c>
      <c r="AM9" s="53">
        <f t="shared" si="2"/>
        <v>14</v>
      </c>
      <c r="AN9" s="54">
        <f t="shared" si="1"/>
        <v>391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79</v>
      </c>
      <c r="AK10" s="53">
        <f>'CALCULATOR SHEET'!J16</f>
        <v>67</v>
      </c>
      <c r="AL10" s="53">
        <f t="shared" si="0"/>
        <v>11</v>
      </c>
      <c r="AM10" s="53">
        <f t="shared" si="2"/>
        <v>9</v>
      </c>
      <c r="AN10" s="54">
        <f t="shared" si="1"/>
        <v>219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Usuario</cp:lastModifiedBy>
  <cp:lastPrinted>2025-07-16T23:47:30Z</cp:lastPrinted>
  <dcterms:created xsi:type="dcterms:W3CDTF">2016-09-27T19:33:28Z</dcterms:created>
  <dcterms:modified xsi:type="dcterms:W3CDTF">2025-10-27T19:25:24Z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