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marcela gamez manuel cendon\"/>
    </mc:Choice>
  </mc:AlternateContent>
  <xr:revisionPtr revIDLastSave="0" documentId="13_ncr:1_{C9E3F685-8D57-45BA-8A1A-0B1CE6A42341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3" i="59" l="1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P19" i="38" s="1"/>
  <c r="AA13" i="55"/>
  <c r="AA12" i="57"/>
  <c r="AP18" i="38" s="1"/>
  <c r="AA12" i="56"/>
  <c r="AA12" i="55"/>
  <c r="AA11" i="55"/>
  <c r="AA11" i="57"/>
  <c r="AP17" i="38" s="1"/>
  <c r="AA11" i="56"/>
  <c r="AA10" i="57"/>
  <c r="AP16" i="38" s="1"/>
  <c r="AA10" i="55"/>
  <c r="AA10" i="56"/>
  <c r="AA9" i="55"/>
  <c r="AA9" i="57"/>
  <c r="AP15" i="38" s="1"/>
  <c r="AA9" i="56"/>
  <c r="AA8" i="57"/>
  <c r="AP14" i="38" s="1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<sst xmlns="http://schemas.openxmlformats.org/spreadsheetml/2006/main" count="3359" uniqueCount="481">
  <si>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</si>
  <si>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</si>
  <si>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</si>
  <si>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</si>
  <si>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</si>
  <si>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</si>
  <si>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</si>
  <si>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</si>
  <si>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</si>
  <si>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</si>
  <si>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</si>
  <si>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</si>
  <si>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</si>
  <si>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</si>
  <si>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</si>
  <si>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</si>
  <si>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</si>
  <si>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</si>
  <si>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</si>
  <si>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</si>
  <si>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</si>
  <si>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</si>
  <si>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</si>
  <si>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</si>
  <si>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</si>
  <si>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</si>
  <si>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</si>
  <si>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</si>
  <si>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</si>
  <si>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</si>
  <si>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</si>
  <si>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</si>
  <si>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</si>
  <si>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</si>
  <si>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</si>
  <si>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</si>
  <si>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</si>
  <si>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</si>
  <si>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</si>
  <si>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</si>
  <si>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</si>
  <si>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</si>
  <si>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</si>
  <si>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</si>
  <si>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</si>
  <si>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</si>
  <si>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</si>
  <si>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</si>
  <si>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</si>
  <si>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</si>
  <si>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</si>
  <si>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</si>
  <si>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</si>
  <si>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</si>
  <si>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</si>
  <si>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</si>
  <si>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</si>
  <si>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</si>
  <si>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</si>
  <si>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</si>
  <si>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</si>
  <si>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</si>
  <si>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</si>
  <si>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</si>
  <si>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</si>
  <si>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</si>
  <si>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</si>
  <si>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</si>
  <si>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</si>
  <si>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</si>
  <si>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</si>
  <si>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</si>
  <si>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</si>
  <si>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</si>
  <si>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</si>
  <si>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</si>
  <si>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</si>
  <si>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</si>
  <si>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</si>
  <si>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</si>
  <si>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</si>
  <si>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</si>
  <si>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</si>
  <si>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</si>
  <si>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</si>
  <si>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</si>
  <si>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</si>
  <si>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</si>
  <si>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</si>
  <si>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</si>
  <si>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</si>
  <si>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</si>
  <si>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</si>
  <si>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</si>
  <si>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</si>
  <si>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</si>
  <si>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</si>
  <si>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</si>
  <si>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</si>
  <si>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</si>
  <si>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</si>
  <si>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</si>
  <si>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</si>
  <si>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</si>
  <si>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</si>
  <si>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</si>
  <si>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</si>
  <si>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</si>
  <si>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</si>
  <si>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</si>
  <si>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</si>
  <si>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</si>
  <si>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</si>
  <si>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</si>
  <si>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</si>
  <si>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</si>
  <si>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</si>
  <si>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</si>
  <si>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</si>
  <si>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</si>
  <si>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</si>
  <si>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</si>
  <si>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</si>
  <si>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</si>
  <si>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</si>
  <si>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</si>
  <si>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</si>
  <si>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</si>
  <si>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</si>
  <si>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</si>
  <si>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</si>
  <si>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</si>
  <si>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</si>
  <si>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</si>
  <si>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</si>
  <si>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</si>
  <si>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</si>
  <si>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</si>
  <si>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</si>
  <si>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</si>
  <si>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</si>
  <si>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</si>
  <si>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</si>
  <si>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</si>
  <si>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</si>
  <si>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</si>
  <si>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</si>
  <si>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</si>
  <si>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</si>
  <si>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</si>
  <si>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</si>
  <si>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</si>
  <si>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</si>
  <si>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</si>
  <si>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</si>
  <si>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</si>
  <si>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</si>
  <si>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</si>
  <si>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</si>
  <si>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</si>
  <si>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</si>
  <si>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</si>
  <si>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</si>
  <si>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</si>
  <si>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</si>
  <si>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</si>
  <si>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</si>
  <si>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</si>
  <si>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</si>
  <si>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</si>
  <si>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</si>
  <si>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</si>
  <si>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</si>
  <si>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</si>
  <si>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</si>
  <si>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</si>
  <si>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</si>
  <si>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</si>
  <si>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</si>
  <si>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</si>
  <si>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</si>
  <si>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</si>
  <si>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</si>
  <si>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</si>
  <si>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</si>
  <si>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</si>
  <si>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</si>
  <si>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</si>
  <si>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</si>
  <si>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</si>
  <si>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</si>
  <si>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</si>
  <si>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</si>
  <si>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</si>
  <si>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</si>
  <si>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</si>
  <si>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</si>
  <si>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</si>
  <si>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</si>
  <si>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</si>
  <si>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</si>
  <si>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</si>
  <si>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</si>
  <si>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</si>
  <si>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</si>
  <si>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</si>
  <si>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</si>
  <si>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</si>
  <si>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</si>
  <si>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</si>
  <si>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</si>
  <si>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</si>
  <si>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</si>
  <si>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</si>
  <si>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</si>
  <si>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</si>
  <si>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</si>
  <si>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</si>
  <si>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</si>
  <si>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</si>
  <si>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</si>
  <si>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</si>
  <si>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</si>
  <si>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</si>
  <si>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</si>
  <si>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</si>
  <si>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</si>
  <si>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</si>
  <si>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</si>
  <si>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</si>
  <si>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</si>
  <si>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</si>
  <si>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</si>
  <si>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</si>
  <si>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</si>
  <si>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</si>
  <si>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</si>
  <si>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</si>
  <si>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</si>
  <si>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</si>
  <si>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</si>
  <si>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</si>
  <si>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</si>
  <si>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</si>
  <si>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</si>
  <si>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</si>
  <si>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</si>
  <si>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</si>
  <si>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</si>
  <si>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</si>
  <si>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</si>
  <si>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</si>
  <si>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</si>
  <si>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</si>
  <si>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</si>
  <si>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</si>
  <si>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</si>
  <si>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</si>
  <si>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</si>
  <si>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</si>
  <si>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</si>
  <si>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</si>
  <si>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</si>
  <si>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</si>
  <si>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</si>
  <si>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</si>
  <si>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</si>
  <si>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</si>
  <si>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</si>
  <si>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</si>
  <si>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</si>
  <si>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</si>
  <si>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</si>
  <si>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</si>
  <si>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</si>
  <si>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</si>
  <si>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</si>
  <si>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</si>
  <si>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</si>
  <si>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</si>
  <si>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</si>
  <si>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</si>
  <si>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</si>
  <si>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</si>
  <si>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</si>
  <si>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</si>
  <si>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</si>
  <si>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</si>
  <si>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</si>
  <si>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</si>
  <si>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</si>
  <si>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</si>
  <si>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</si>
  <si>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</si>
  <si>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</si>
  <si>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</si>
  <si>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</si>
  <si>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</si>
  <si>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</si>
  <si>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</si>
  <si>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</si>
  <si>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</si>
  <si>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</si>
  <si>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</si>
  <si>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</si>
  <si>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</si>
  <si>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</si>
  <si>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</si>
  <si>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</si>
  <si>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</si>
  <si>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</si>
  <si>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</si>
  <si>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</si>
  <si>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</si>
  <si>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</si>
  <si>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</si>
  <si>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</si>
  <si>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</si>
  <si>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</si>
  <si>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</si>
  <si>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</si>
  <si>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</si>
  <si>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</si>
  <si>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</si>
  <si>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</si>
  <si>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</si>
  <si>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</si>
  <si>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</si>
  <si>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</si>
  <si>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</si>
  <si>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</si>
  <si>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</si>
  <si>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</si>
  <si>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</si>
  <si>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</si>
  <si>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</si>
  <si>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</si>
  <si>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</si>
  <si>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</si>
  <si>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</si>
  <si>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</si>
  <si>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</si>
  <si>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</si>
  <si>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</si>
  <si>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</si>
  <si>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</si>
  <si>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</si>
  <si>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</si>
  <si>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</si>
  <si>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</si>
  <si>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</si>
  <si>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</si>
  <si>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</si>
  <si>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</si>
  <si>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</si>
  <si>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</si>
  <si>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</si>
  <si>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</si>
  <si>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</si>
  <si>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</si>
  <si>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</si>
  <si>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</si>
  <si>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</si>
  <si>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</si>
  <si>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</si>
  <si>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</si>
  <si>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</si>
  <si>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</si>
  <si>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</si>
  <si>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</si>
  <si>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</si>
  <si>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</si>
  <si>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</si>
  <si>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</si>
  <si>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</si>
  <si>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</si>
  <si>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</si>
  <si>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</si>
  <si>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</si>
  <si>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</si>
  <si>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</si>
  <si>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</si>
  <si>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</si>
  <si>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</si>
  <si>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</si>
  <si>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</si>
  <si>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</si>
  <si>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</si>
  <si>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</si>
  <si>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</si>
  <si>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</si>
  <si>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</si>
  <si>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</si>
  <si>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</si>
  <si>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</si>
  <si>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</si>
  <si>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</si>
  <si>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</si>
  <si>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</si>
  <si>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</si>
  <si>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</si>
  <si>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</si>
  <si>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</si>
  <si>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</si>
  <si>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</si>
  <si>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</si>
  <si>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</si>
  <si>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</si>
  <si>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</si>
  <si>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</si>
  <si>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</si>
  <si>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</si>
  <si>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</si>
  <si>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</si>
  <si>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</si>
  <si>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</si>
  <si>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</si>
  <si>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</si>
  <si>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</si>
  <si>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</si>
  <si>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</si>
  <si>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</si>
  <si>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</si>
  <si>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</si>
  <si>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</si>
  <si>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</si>
  <si>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</si>
  <si>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</si>
  <si>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</si>
  <si>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</si>
  <si>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</si>
  <si>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</si>
  <si>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</si>
  <si>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</si>
  <si>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</si>
  <si>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</si>
  <si>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</si>
  <si>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</si>
  <si>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</si>
  <si>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</si>
  <si>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</si>
  <si>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</si>
  <si>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</si>
  <si>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</si>
  <si>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</si>
  <si>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</si>
  <si>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</si>
  <si>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</si>
  <si>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</si>
  <si>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</si>
  <si>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</si>
  <si>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</si>
  <si>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</si>
  <si>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</si>
  <si>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</si>
  <si>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</si>
  <si>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</si>
  <si>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</si>
  <si>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</si>
  <si>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</si>
  <si>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</si>
  <si>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</si>
  <si>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</si>
  <si>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</si>
  <si>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</si>
  <si>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LINO DIMOUT IVORY </t>
  </si>
  <si>
    <t xml:space="preserve">SALA PUERTA LADO A </t>
  </si>
  <si>
    <t xml:space="preserve">SALA PUERTA LADO B </t>
  </si>
  <si>
    <t xml:space="preserve">RECAMARA 1 </t>
  </si>
  <si>
    <t xml:space="preserve">RECAMARA 2 </t>
  </si>
  <si>
    <t xml:space="preserve">RECAMARA 3 </t>
  </si>
  <si>
    <t xml:space="preserve">PAASILLO </t>
  </si>
  <si>
    <t xml:space="preserve">COCINA </t>
  </si>
  <si>
    <t xml:space="preserve">CONDOMINIO MANUEL CENDON </t>
  </si>
  <si>
    <t xml:space="preserve">MARCELA GAMEZ </t>
  </si>
  <si>
    <t>TIJUANA A</t>
  </si>
  <si>
    <t>KIO ALTALIA 3</t>
  </si>
  <si>
    <t>160 2</t>
  </si>
  <si>
    <t>664-227-0203</t>
  </si>
  <si>
    <t>664-339-1684</t>
  </si>
  <si>
    <t>BS 250902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</si>
</sst>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45902</v>
      </c>
      <c r="J5" s="288"/>
      <c r="K5" s="288"/>
      <c r="L5" s="288"/>
      <c r="M5" s="289" t="str">
        <f>IF('CALCULATOR SHEET'!W2=1,"DOCUMENT #","DOCUMENTO #")</f>
        <v>DOCUMENT #</v>
      </c>
      <c r="N5" s="365" t="str">
        <f>IF('CALCULATOR SHEET'!T5&lt;&gt;"",'CALCULATOR SHEET'!T5,"")</f>
        <v>BS 250902 A</v>
      </c>
      <c r="O5" s="365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CONDOMINIO MANUEL CENDON </v>
      </c>
      <c r="J7" s="366" t="str">
        <f>IF('CALCULATOR SHEET'!H8&lt;&gt;"","Calle: "&amp;'CALCULATOR SHEET'!H10&amp;", Numero: "&amp;'CALCULATOR SHEET'!H11,"")</f>
        <v>Calle: , Numero: 160 2</v>
      </c>
      <c r="K7" s="366"/>
      <c r="L7" s="366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6" t="str">
        <f>IF('CALCULATOR SHEET'!H9&lt;&gt;"","Frac: "&amp;'CALCULATOR SHEET'!H9&amp;" - "&amp;'CALCULATOR SHEET'!H8,"")</f>
        <v>Frac: KIO ALTALIA 3 - TIJUANA A</v>
      </c>
      <c r="K8" s="366"/>
      <c r="L8" s="366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MARCELA GAMEZ </v>
      </c>
      <c r="J10" s="366" t="str">
        <f>IF('CALCULATOR SHEET'!K11&lt;&gt;"",'CALCULATOR SHEET'!$K$11&amp;" Cell: "&amp;'CALCULATOR SHEET'!K10,"")</f>
        <v>664-339-1684 Cell: 664-227-0203</v>
      </c>
      <c r="K10" s="366"/>
      <c r="L10" s="366"/>
      <c r="N10" s="366" t="str">
        <f>IF('CALCULATOR SHEET'!S70&lt;&gt;"",'CALCULATOR SHEET'!S70,"")</f>
        <v xml:space="preserve">RICARDO GARCIA </v>
      </c>
      <c r="O10" s="366"/>
      <c r="P10" s="366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 xml:space="preserve">LINO DIMOUT IVORY </v>
      </c>
      <c r="H14" s="170" t="str">
        <f>IF('CALCULATOR SHEET'!H13&lt;&gt;"",'CALCULATOR SHEET'!H13,"")</f>
        <v xml:space="preserve">SALA PUERTA LADO A </v>
      </c>
      <c r="I14" s="171">
        <f>IF(E14&lt;&gt;"",'CALCULATOR SHEET'!I13,"")</f>
        <v>74.5</v>
      </c>
      <c r="J14" s="171">
        <f>IF(I14&lt;&gt;"",'CALCULATOR SHEET'!J13,"")</f>
        <v>95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639</v>
      </c>
      <c r="O14" s="164"/>
      <c r="P14" s="167">
        <f>IF(D14&lt;&gt;"",N14*D14,"")</f>
        <v>639</v>
      </c>
      <c r="Q14" s="194"/>
      <c r="R14" s="64" t="s">
        <v>200</v>
      </c>
      <c r="T14" s="160">
        <f>IF('CALCULATOR SHEET'!$T$58="PESOS",'CALCULATOR SHEET'!S13*'CALCULATOR SHEET'!$W$6,'CALCULATOR SHEET'!S13)</f>
        <v>639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ZEBRA</v>
      </c>
      <c r="F15" s="175" t="str">
        <f>IF('CALCULATOR SHEET'!E14&lt;&gt;"",'CALCULATOR SHEET'!E14,"")</f>
        <v>GROUP 6</v>
      </c>
      <c r="G15" s="175" t="str">
        <f>IF('CALCULATOR SHEET'!G14&lt;&gt;"",'CALCULATOR SHEET'!G14,"")</f>
        <v xml:space="preserve">LINO DIMOUT IVORY </v>
      </c>
      <c r="H15" s="175" t="str">
        <f>IF('CALCULATOR SHEET'!H14&lt;&gt;"",'CALCULATOR SHEET'!H14,"")</f>
        <v xml:space="preserve">SALA PUERTA LADO B </v>
      </c>
      <c r="I15" s="176">
        <f>IF(E15&lt;&gt;"",'CALCULATOR SHEET'!I14,"")</f>
        <v>71</v>
      </c>
      <c r="J15" s="176">
        <f>IF(I15&lt;&gt;"",'CALCULATOR SHEET'!J14,"")</f>
        <v>95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630</v>
      </c>
      <c r="O15" s="165"/>
      <c r="P15" s="166">
        <f>IF(D15&lt;&gt;"",N15*D15,"")</f>
        <v>630</v>
      </c>
      <c r="Q15" s="195"/>
      <c r="R15" s="64" t="s">
        <v>200</v>
      </c>
      <c r="T15" s="160">
        <f>IF('CALCULATOR SHEET'!$T$58="PESOS",'CALCULATOR SHEET'!S14*'CALCULATOR SHEET'!$W$6,'CALCULATOR SHEET'!S14)</f>
        <v>630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ZEBRA</v>
      </c>
      <c r="F16" s="175" t="str">
        <f>IF('CALCULATOR SHEET'!E15&lt;&gt;"",'CALCULATOR SHEET'!E15,"")</f>
        <v>GROUP 6</v>
      </c>
      <c r="G16" s="175" t="str">
        <f>IF('CALCULATOR SHEET'!G15&lt;&gt;"",'CALCULATOR SHEET'!G15,"")</f>
        <v xml:space="preserve">LINO DIMOUT IVORY </v>
      </c>
      <c r="H16" s="175" t="str">
        <f>IF('CALCULATOR SHEET'!H15&lt;&gt;"",'CALCULATOR SHEET'!H15,"")</f>
        <v xml:space="preserve">RECAMARA 1 </v>
      </c>
      <c r="I16" s="176">
        <f>IF(E16&lt;&gt;"",'CALCULATOR SHEET'!I15,"")</f>
        <v>62.5</v>
      </c>
      <c r="J16" s="176">
        <f>IF(I16&lt;&gt;"",'CALCULATOR SHEET'!J15,"")</f>
        <v>93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622</v>
      </c>
      <c r="O16" s="165"/>
      <c r="P16" s="166">
        <f t="shared" ref="P16:P53" si="1">IF(D16&lt;&gt;"",N16*D16,"")</f>
        <v>622</v>
      </c>
      <c r="Q16" s="195"/>
      <c r="R16" s="64" t="s">
        <v>200</v>
      </c>
      <c r="T16" s="160">
        <f>IF('CALCULATOR SHEET'!$T$58="PESOS",'CALCULATOR SHEET'!S15*'CALCULATOR SHEET'!$W$6,'CALCULATOR SHEET'!S15)</f>
        <v>622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ZEBRA</v>
      </c>
      <c r="F17" s="175" t="str">
        <f>IF('CALCULATOR SHEET'!E16&lt;&gt;"",'CALCULATOR SHEET'!E16,"")</f>
        <v>GROUP 6</v>
      </c>
      <c r="G17" s="175" t="str">
        <f>IF('CALCULATOR SHEET'!G16&lt;&gt;"",'CALCULATOR SHEET'!G16,"")</f>
        <v xml:space="preserve">LINO DIMOUT IVORY </v>
      </c>
      <c r="H17" s="175" t="str">
        <f>IF('CALCULATOR SHEET'!H16&lt;&gt;"",'CALCULATOR SHEET'!H16,"")</f>
        <v xml:space="preserve">RECAMARA 2 </v>
      </c>
      <c r="I17" s="176">
        <f>IF(E17&lt;&gt;"",'CALCULATOR SHEET'!I16,"")</f>
        <v>49.5</v>
      </c>
      <c r="J17" s="176">
        <f>IF(I17&lt;&gt;"",'CALCULATOR SHEET'!J16,"")</f>
        <v>93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374</v>
      </c>
      <c r="O17" s="165"/>
      <c r="P17" s="166">
        <f t="shared" si="1"/>
        <v>374</v>
      </c>
      <c r="Q17" s="195"/>
      <c r="R17" s="64" t="s">
        <v>200</v>
      </c>
      <c r="T17" s="160">
        <f>IF('CALCULATOR SHEET'!$T$58="PESOS",'CALCULATOR SHEET'!S16*'CALCULATOR SHEET'!$W$6,'CALCULATOR SHEET'!S16)</f>
        <v>374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ZEBRA</v>
      </c>
      <c r="F18" s="175" t="str">
        <f>IF('CALCULATOR SHEET'!E17&lt;&gt;"",'CALCULATOR SHEET'!E17,"")</f>
        <v>GROUP 6</v>
      </c>
      <c r="G18" s="175" t="str">
        <f>IF('CALCULATOR SHEET'!G17&lt;&gt;"",'CALCULATOR SHEET'!G17,"")</f>
        <v xml:space="preserve">LINO DIMOUT IVORY </v>
      </c>
      <c r="H18" s="175" t="str">
        <f>IF('CALCULATOR SHEET'!H17&lt;&gt;"",'CALCULATOR SHEET'!H17,"")</f>
        <v xml:space="preserve">RECAMARA 3 </v>
      </c>
      <c r="I18" s="176">
        <f>IF(E18&lt;&gt;"",'CALCULATOR SHEET'!I17,"")</f>
        <v>85</v>
      </c>
      <c r="J18" s="176">
        <f>IF(I18&lt;&gt;"",'CALCULATOR SHEET'!J17,"")</f>
        <v>93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654</v>
      </c>
      <c r="O18" s="165"/>
      <c r="P18" s="166">
        <f t="shared" si="1"/>
        <v>654</v>
      </c>
      <c r="Q18" s="195"/>
      <c r="R18" s="64" t="s">
        <v>200</v>
      </c>
      <c r="T18" s="160">
        <f>IF('CALCULATOR SHEET'!$T$58="PESOS",'CALCULATOR SHEET'!S17*'CALCULATOR SHEET'!$W$6,'CALCULATOR SHEET'!S17)</f>
        <v>654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ZEBRA</v>
      </c>
      <c r="F19" s="175" t="str">
        <f>IF('CALCULATOR SHEET'!E18&lt;&gt;"",'CALCULATOR SHEET'!E18,"")</f>
        <v>GROUP 6</v>
      </c>
      <c r="G19" s="175" t="str">
        <f>IF('CALCULATOR SHEET'!G18&lt;&gt;"",'CALCULATOR SHEET'!G18,"")</f>
        <v xml:space="preserve">LINO DIMOUT IVORY </v>
      </c>
      <c r="H19" s="175" t="str">
        <f>IF('CALCULATOR SHEET'!H18&lt;&gt;"",'CALCULATOR SHEET'!H18,"")</f>
        <v xml:space="preserve">PAASILLO </v>
      </c>
      <c r="I19" s="176">
        <f>IF(E19&lt;&gt;"",'CALCULATOR SHEET'!I18,"")</f>
        <v>33.5</v>
      </c>
      <c r="J19" s="176">
        <f>IF(I19&lt;&gt;"",'CALCULATOR SHEET'!J18,"")</f>
        <v>29.5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L</v>
      </c>
      <c r="M19" s="174" t="str">
        <f>IF(E19&lt;&gt;"",IF(OR('CALCULATOR SHEET'!P18&lt;&gt;"NO",'CALCULATOR SHEET'!Q18&lt;&gt;"NO"),"YES",""),"")</f>
        <v/>
      </c>
      <c r="N19" s="177">
        <f t="shared" si="0"/>
        <v>156</v>
      </c>
      <c r="O19" s="165"/>
      <c r="P19" s="166">
        <f t="shared" si="1"/>
        <v>156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156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ZEBRA</v>
      </c>
      <c r="F20" s="175" t="str">
        <f>IF('CALCULATOR SHEET'!E19&lt;&gt;"",'CALCULATOR SHEET'!E19,"")</f>
        <v>GROUP 6</v>
      </c>
      <c r="G20" s="175" t="str">
        <f>IF('CALCULATOR SHEET'!G19&lt;&gt;"",'CALCULATOR SHEET'!G19,"")</f>
        <v xml:space="preserve">LINO DIMOUT IVORY </v>
      </c>
      <c r="H20" s="175" t="str">
        <f>IF('CALCULATOR SHEET'!H19&lt;&gt;"",'CALCULATOR SHEET'!H19,"")</f>
        <v xml:space="preserve">COCINA </v>
      </c>
      <c r="I20" s="176">
        <f>IF(E20&lt;&gt;"",'CALCULATOR SHEET'!I19,"")</f>
        <v>36</v>
      </c>
      <c r="J20" s="176">
        <f>IF(I20&lt;&gt;"",'CALCULATOR SHEET'!J19,"")</f>
        <v>41.5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172</v>
      </c>
      <c r="O20" s="165"/>
      <c r="P20" s="166">
        <f t="shared" si="1"/>
        <v>172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172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3247</v>
      </c>
      <c r="Q62" s="188"/>
      <c r="X62" s="163" t="str">
        <f>IF('CALCULATOR SHEET'!$W$2=1,GENERAL!Q35,GENERAL!S35)</f>
        <v>SUB TOTAL</v>
      </c>
      <c r="Y62" s="222">
        <f>P62</f>
        <v>3247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0.35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0.35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1136.4499999999998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2110.5500000000002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2110.5500000000002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2110.5500000000002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2110.5500000000002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2110.5500000000002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74.5</v>
      </c>
      <c r="AK7" s="53">
        <f>'CALCULATOR SHEET'!J13</f>
        <v>95</v>
      </c>
      <c r="AL7" s="53">
        <f>IF(AJ7=0,"",MATCH(CEILING(AJ7,6),$D$4:$Z$4,0))</f>
        <v>10</v>
      </c>
      <c r="AM7" s="53">
        <f>IF(AK7=0,"",MATCH(CEILING(AK7,6),$C$7:$C$28,0))</f>
        <v>13</v>
      </c>
      <c r="AN7" s="54">
        <f>IF(AL7="","",INDEX($D$7:$Z$28,AM7,AL7))</f>
        <v>258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71</v>
      </c>
      <c r="AK8" s="53">
        <f>'CALCULATOR SHEET'!J14</f>
        <v>95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242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62.5</v>
      </c>
      <c r="AK9" s="53">
        <f>'CALCULATOR SHEET'!J15</f>
        <v>93</v>
      </c>
      <c r="AL9" s="53">
        <f t="shared" si="0"/>
        <v>8</v>
      </c>
      <c r="AM9" s="53">
        <f t="shared" si="1"/>
        <v>13</v>
      </c>
      <c r="AN9" s="54">
        <f t="shared" si="2"/>
        <v>227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49.5</v>
      </c>
      <c r="AK10" s="53">
        <f>'CALCULATOR SHEET'!J16</f>
        <v>93</v>
      </c>
      <c r="AL10" s="53">
        <f t="shared" si="0"/>
        <v>6</v>
      </c>
      <c r="AM10" s="53">
        <f t="shared" si="1"/>
        <v>13</v>
      </c>
      <c r="AN10" s="54">
        <f t="shared" si="2"/>
        <v>197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85</v>
      </c>
      <c r="AK11" s="53">
        <f>'CALCULATOR SHEET'!J17</f>
        <v>93</v>
      </c>
      <c r="AL11" s="53">
        <f t="shared" si="0"/>
        <v>12</v>
      </c>
      <c r="AM11" s="53">
        <f t="shared" si="1"/>
        <v>13</v>
      </c>
      <c r="AN11" s="54">
        <f t="shared" si="2"/>
        <v>288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33.5</v>
      </c>
      <c r="AK12" s="53">
        <f>'CALCULATOR SHEET'!J18</f>
        <v>29.5</v>
      </c>
      <c r="AL12" s="53">
        <f t="shared" si="0"/>
        <v>3</v>
      </c>
      <c r="AM12" s="53">
        <f t="shared" si="1"/>
        <v>2</v>
      </c>
      <c r="AN12" s="54">
        <f t="shared" si="2"/>
        <v>86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36</v>
      </c>
      <c r="AK13" s="53">
        <f>'CALCULATOR SHEET'!J19</f>
        <v>41.5</v>
      </c>
      <c r="AL13" s="53">
        <f t="shared" si="0"/>
        <v>3</v>
      </c>
      <c r="AM13" s="53">
        <f t="shared" si="1"/>
        <v>4</v>
      </c>
      <c r="AN13" s="54">
        <f t="shared" si="2"/>
        <v>96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74.5</v>
      </c>
      <c r="AK7" s="53">
        <f>'CALCULATOR SHEET'!J13</f>
        <v>95</v>
      </c>
      <c r="AL7" s="53">
        <f t="shared" ref="AL7:AL70" si="0">IF(AJ7=0,"",MATCH(CEILING(AJ7,6),$D$4:$Z$4,0))</f>
        <v>10</v>
      </c>
      <c r="AM7" s="53">
        <f>IF(AK7=0,"",MATCH(CEILING(AK7,6),$C$7:$C$28,0))</f>
        <v>13</v>
      </c>
      <c r="AN7" s="54">
        <f t="shared" ref="AN7:AN70" si="1">IF(AL7="","",INDEX($D$7:$Z$28,AM7,AL7))</f>
        <v>309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71</v>
      </c>
      <c r="AK8" s="53">
        <f>'CALCULATOR SHEET'!J14</f>
        <v>95</v>
      </c>
      <c r="AL8" s="53">
        <f t="shared" si="0"/>
        <v>9</v>
      </c>
      <c r="AM8" s="53">
        <f t="shared" ref="AM8:AM71" si="2">IF(AK8=0,"",MATCH(CEILING(AK8,6),$C$7:$C$28,0))</f>
        <v>13</v>
      </c>
      <c r="AN8" s="54">
        <f t="shared" si="1"/>
        <v>290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62.5</v>
      </c>
      <c r="AK9" s="53">
        <f>'CALCULATOR SHEET'!J15</f>
        <v>93</v>
      </c>
      <c r="AL9" s="53">
        <f t="shared" si="0"/>
        <v>8</v>
      </c>
      <c r="AM9" s="53">
        <f t="shared" si="2"/>
        <v>13</v>
      </c>
      <c r="AN9" s="54">
        <f t="shared" si="1"/>
        <v>271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49.5</v>
      </c>
      <c r="AK10" s="53">
        <f>'CALCULATOR SHEET'!J16</f>
        <v>93</v>
      </c>
      <c r="AL10" s="53">
        <f t="shared" si="0"/>
        <v>6</v>
      </c>
      <c r="AM10" s="53">
        <f t="shared" si="2"/>
        <v>13</v>
      </c>
      <c r="AN10" s="54">
        <f t="shared" si="1"/>
        <v>232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85</v>
      </c>
      <c r="AK11" s="53">
        <f>'CALCULATOR SHEET'!J17</f>
        <v>93</v>
      </c>
      <c r="AL11" s="53">
        <f t="shared" si="0"/>
        <v>12</v>
      </c>
      <c r="AM11" s="53">
        <f t="shared" si="2"/>
        <v>13</v>
      </c>
      <c r="AN11" s="54">
        <f t="shared" si="1"/>
        <v>347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33.5</v>
      </c>
      <c r="AK12" s="53">
        <f>'CALCULATOR SHEET'!J18</f>
        <v>29.5</v>
      </c>
      <c r="AL12" s="53">
        <f t="shared" si="0"/>
        <v>3</v>
      </c>
      <c r="AM12" s="53">
        <f t="shared" si="2"/>
        <v>2</v>
      </c>
      <c r="AN12" s="54">
        <f t="shared" si="1"/>
        <v>96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36</v>
      </c>
      <c r="AK13" s="53">
        <f>'CALCULATOR SHEET'!J19</f>
        <v>41.5</v>
      </c>
      <c r="AL13" s="53">
        <f t="shared" si="0"/>
        <v>3</v>
      </c>
      <c r="AM13" s="53">
        <f t="shared" si="2"/>
        <v>4</v>
      </c>
      <c r="AN13" s="54">
        <f t="shared" si="1"/>
        <v>108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74.5</v>
      </c>
      <c r="AK7" s="53">
        <f>'CALCULATOR SHEET'!J13</f>
        <v>95</v>
      </c>
      <c r="AL7" s="53">
        <f>IF(AJ7=0,"",MATCH(CEILING(AJ7,6),$D$4:$Z$4,0))</f>
        <v>10</v>
      </c>
      <c r="AM7" s="53">
        <f>IF(AK7=0,"",MATCH(CEILING(AK7,6),$C$7:$C$28,0))</f>
        <v>13</v>
      </c>
      <c r="AN7" s="54">
        <f>IF(AL7="","",INDEX($D$7:$Z$28,AM7,AL7))</f>
        <v>318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71</v>
      </c>
      <c r="AK8" s="53">
        <f>'CALCULATOR SHEET'!J14</f>
        <v>95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298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62.5</v>
      </c>
      <c r="AK9" s="53">
        <f>'CALCULATOR SHEET'!J15</f>
        <v>93</v>
      </c>
      <c r="AL9" s="53">
        <f t="shared" si="0"/>
        <v>8</v>
      </c>
      <c r="AM9" s="53">
        <f t="shared" si="1"/>
        <v>13</v>
      </c>
      <c r="AN9" s="54">
        <f t="shared" si="2"/>
        <v>278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49.5</v>
      </c>
      <c r="AK10" s="53">
        <f>'CALCULATOR SHEET'!J16</f>
        <v>93</v>
      </c>
      <c r="AL10" s="53">
        <f t="shared" si="0"/>
        <v>6</v>
      </c>
      <c r="AM10" s="53">
        <f t="shared" si="1"/>
        <v>13</v>
      </c>
      <c r="AN10" s="54">
        <f t="shared" si="2"/>
        <v>238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85</v>
      </c>
      <c r="AK11" s="53">
        <f>'CALCULATOR SHEET'!J17</f>
        <v>93</v>
      </c>
      <c r="AL11" s="53">
        <f t="shared" si="0"/>
        <v>12</v>
      </c>
      <c r="AM11" s="53">
        <f t="shared" si="1"/>
        <v>13</v>
      </c>
      <c r="AN11" s="54">
        <f t="shared" si="2"/>
        <v>358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33.5</v>
      </c>
      <c r="AK12" s="53">
        <f>'CALCULATOR SHEET'!J18</f>
        <v>29.5</v>
      </c>
      <c r="AL12" s="53">
        <f t="shared" si="0"/>
        <v>3</v>
      </c>
      <c r="AM12" s="53">
        <f t="shared" si="1"/>
        <v>2</v>
      </c>
      <c r="AN12" s="54">
        <f t="shared" si="2"/>
        <v>98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36</v>
      </c>
      <c r="AK13" s="53">
        <f>'CALCULATOR SHEET'!J19</f>
        <v>41.5</v>
      </c>
      <c r="AL13" s="53">
        <f t="shared" si="0"/>
        <v>3</v>
      </c>
      <c r="AM13" s="53">
        <f t="shared" si="1"/>
        <v>4</v>
      </c>
      <c r="AN13" s="54">
        <f t="shared" si="2"/>
        <v>110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74.5</v>
      </c>
      <c r="AK7" s="53">
        <f>'CALCULATOR SHEET'!J13</f>
        <v>95</v>
      </c>
      <c r="AL7" s="53">
        <f>IF(AJ7=0,"",MATCH(CEILING(AJ7,6),$D$4:$Z$4,0))</f>
        <v>10</v>
      </c>
      <c r="AM7" s="53">
        <f>IF(AK7=0,"",MATCH(CEILING(AK7,6),$C$7:$C$28,0))</f>
        <v>13</v>
      </c>
      <c r="AN7" s="54">
        <f>IF(AL7="","",INDEX($D$7:$Z$28,AM7,AL7))</f>
        <v>380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71</v>
      </c>
      <c r="AK8" s="53">
        <f>'CALCULATOR SHEET'!J14</f>
        <v>95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355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62.5</v>
      </c>
      <c r="AK9" s="53">
        <f>'CALCULATOR SHEET'!J15</f>
        <v>93</v>
      </c>
      <c r="AL9" s="53">
        <f t="shared" si="0"/>
        <v>8</v>
      </c>
      <c r="AM9" s="53">
        <f t="shared" si="1"/>
        <v>13</v>
      </c>
      <c r="AN9" s="54">
        <f t="shared" si="2"/>
        <v>330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49.5</v>
      </c>
      <c r="AK10" s="53">
        <f>'CALCULATOR SHEET'!J16</f>
        <v>93</v>
      </c>
      <c r="AL10" s="53">
        <f t="shared" si="0"/>
        <v>6</v>
      </c>
      <c r="AM10" s="53">
        <f t="shared" si="1"/>
        <v>13</v>
      </c>
      <c r="AN10" s="54">
        <f t="shared" si="2"/>
        <v>281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85</v>
      </c>
      <c r="AK11" s="53">
        <f>'CALCULATOR SHEET'!J17</f>
        <v>93</v>
      </c>
      <c r="AL11" s="53">
        <f t="shared" si="0"/>
        <v>12</v>
      </c>
      <c r="AM11" s="53">
        <f t="shared" si="1"/>
        <v>13</v>
      </c>
      <c r="AN11" s="54">
        <f t="shared" si="2"/>
        <v>429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33.5</v>
      </c>
      <c r="AK12" s="53">
        <f>'CALCULATOR SHEET'!J18</f>
        <v>29.5</v>
      </c>
      <c r="AL12" s="53">
        <f t="shared" si="0"/>
        <v>3</v>
      </c>
      <c r="AM12" s="53">
        <f t="shared" si="1"/>
        <v>2</v>
      </c>
      <c r="AN12" s="54">
        <f t="shared" si="2"/>
        <v>109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36</v>
      </c>
      <c r="AK13" s="53">
        <f>'CALCULATOR SHEET'!J19</f>
        <v>41.5</v>
      </c>
      <c r="AL13" s="53">
        <f t="shared" si="0"/>
        <v>3</v>
      </c>
      <c r="AM13" s="53">
        <f t="shared" si="1"/>
        <v>4</v>
      </c>
      <c r="AN13" s="54">
        <f t="shared" si="2"/>
        <v>125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74.5</v>
      </c>
      <c r="AK7" s="53">
        <f>'CALCULATOR SHEET'!J13</f>
        <v>95</v>
      </c>
      <c r="AL7" s="53">
        <f>IF(AJ7=0,"",MATCH(CEILING(AJ7,6),$D$4:$Z$4,0))</f>
        <v>10</v>
      </c>
      <c r="AM7" s="53">
        <f>IF(AK7=0,"",MATCH(CEILING(AK7,6),$C$7:$C$28,0))</f>
        <v>13</v>
      </c>
      <c r="AN7" s="54">
        <f>IF(AL7="","",INDEX($D$7:$Z$28,AM7,AL7))</f>
        <v>435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71</v>
      </c>
      <c r="AK8" s="53">
        <f>'CALCULATOR SHEET'!J14</f>
        <v>95</v>
      </c>
      <c r="AL8" s="53">
        <f t="shared" ref="AL8:AL71" si="1">IF(AJ8=0,"",MATCH(CEILING(AJ8,6),$D$4:$Z$4,0))</f>
        <v>9</v>
      </c>
      <c r="AM8" s="53">
        <f t="shared" ref="AM8:AM71" si="2">IF(AK8=0,"",MATCH(CEILING(AK8,6),$C$7:$C$28,0))</f>
        <v>13</v>
      </c>
      <c r="AN8" s="54">
        <f t="shared" ref="AN8:AN71" si="3">IF(AL8="","",INDEX($D$7:$Z$28,AM8,AL8))</f>
        <v>406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62.5</v>
      </c>
      <c r="AK9" s="53">
        <f>'CALCULATOR SHEET'!J15</f>
        <v>93</v>
      </c>
      <c r="AL9" s="53">
        <f>IF(AJ9=0,"",MATCH(CEILING(AJ9,6),$D$4:$Z$4,0))</f>
        <v>8</v>
      </c>
      <c r="AM9" s="53">
        <f t="shared" si="2"/>
        <v>13</v>
      </c>
      <c r="AN9" s="54">
        <f t="shared" si="3"/>
        <v>378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49.5</v>
      </c>
      <c r="AK10" s="53">
        <f>'CALCULATOR SHEET'!J16</f>
        <v>93</v>
      </c>
      <c r="AL10" s="53">
        <f t="shared" si="1"/>
        <v>6</v>
      </c>
      <c r="AM10" s="53">
        <f t="shared" si="2"/>
        <v>13</v>
      </c>
      <c r="AN10" s="54">
        <f t="shared" si="3"/>
        <v>320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85</v>
      </c>
      <c r="AK11" s="53">
        <f>'CALCULATOR SHEET'!J17</f>
        <v>93</v>
      </c>
      <c r="AL11" s="53">
        <f t="shared" si="1"/>
        <v>12</v>
      </c>
      <c r="AM11" s="53">
        <f t="shared" si="2"/>
        <v>13</v>
      </c>
      <c r="AN11" s="54">
        <f t="shared" si="3"/>
        <v>493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33.5</v>
      </c>
      <c r="AK12" s="53">
        <f>'CALCULATOR SHEET'!J18</f>
        <v>29.5</v>
      </c>
      <c r="AL12" s="53">
        <f t="shared" si="1"/>
        <v>3</v>
      </c>
      <c r="AM12" s="53">
        <f t="shared" si="2"/>
        <v>2</v>
      </c>
      <c r="AN12" s="54">
        <f t="shared" si="3"/>
        <v>120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36</v>
      </c>
      <c r="AK13" s="53">
        <f>'CALCULATOR SHEET'!J19</f>
        <v>41.5</v>
      </c>
      <c r="AL13" s="53">
        <f t="shared" si="1"/>
        <v>3</v>
      </c>
      <c r="AM13" s="53">
        <f t="shared" si="2"/>
        <v>4</v>
      </c>
      <c r="AN13" s="54">
        <f t="shared" si="3"/>
        <v>138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298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74.5</v>
      </c>
      <c r="AK7" s="53">
        <f>'CALCULATOR SHEET'!J13</f>
        <v>95</v>
      </c>
      <c r="AL7" s="53">
        <f>IF(AJ7=0,"",MATCH(CEILING(AJ7,6),$D$4:$Z$4,0))</f>
        <v>10</v>
      </c>
      <c r="AM7" s="53">
        <f>IF(AK7=0,"",MATCH(CEILING(AK7,6),$C$7:$C$28,0))</f>
        <v>13</v>
      </c>
      <c r="AN7" s="54">
        <f>IF(AL7="","",INDEX($D$7:$Z$28,AM7,AL7))</f>
        <v>556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71</v>
      </c>
      <c r="AK8" s="53">
        <f>'CALCULATOR SHEET'!J14</f>
        <v>95</v>
      </c>
      <c r="AL8" s="53">
        <f t="shared" ref="AL8:AL71" si="17">IF(AJ8=0,"",MATCH(CEILING(AJ8,6),$D$4:$Z$4,0))</f>
        <v>9</v>
      </c>
      <c r="AM8" s="53">
        <f t="shared" ref="AM8:AM71" si="18">IF(AK8=0,"",MATCH(CEILING(AK8,6),$C$7:$C$28,0))</f>
        <v>13</v>
      </c>
      <c r="AN8" s="54">
        <f t="shared" ref="AN8:AN71" si="19">IF(AL8="","",INDEX($D$7:$Z$28,AM8,AL8))</f>
        <v>517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62.5</v>
      </c>
      <c r="AK9" s="53">
        <f>'CALCULATOR SHEET'!J15</f>
        <v>93</v>
      </c>
      <c r="AL9" s="53">
        <f t="shared" si="17"/>
        <v>8</v>
      </c>
      <c r="AM9" s="53">
        <f t="shared" si="18"/>
        <v>13</v>
      </c>
      <c r="AN9" s="54">
        <f t="shared" si="19"/>
        <v>480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49.5</v>
      </c>
      <c r="AK10" s="53">
        <f>'CALCULATOR SHEET'!J16</f>
        <v>93</v>
      </c>
      <c r="AL10" s="53">
        <f t="shared" si="17"/>
        <v>6</v>
      </c>
      <c r="AM10" s="53">
        <f t="shared" si="18"/>
        <v>13</v>
      </c>
      <c r="AN10" s="54">
        <f t="shared" si="19"/>
        <v>408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85</v>
      </c>
      <c r="AK11" s="53">
        <f>'CALCULATOR SHEET'!J17</f>
        <v>93</v>
      </c>
      <c r="AL11" s="53">
        <f t="shared" si="17"/>
        <v>12</v>
      </c>
      <c r="AM11" s="53">
        <f t="shared" si="18"/>
        <v>13</v>
      </c>
      <c r="AN11" s="54">
        <f t="shared" si="19"/>
        <v>629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33.5</v>
      </c>
      <c r="AK12" s="53">
        <f>'CALCULATOR SHEET'!J18</f>
        <v>29.5</v>
      </c>
      <c r="AL12" s="53">
        <f t="shared" si="17"/>
        <v>3</v>
      </c>
      <c r="AM12" s="53">
        <f t="shared" si="18"/>
        <v>2</v>
      </c>
      <c r="AN12" s="54">
        <f t="shared" si="19"/>
        <v>145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36</v>
      </c>
      <c r="AK13" s="53">
        <f>'CALCULATOR SHEET'!J19</f>
        <v>41.5</v>
      </c>
      <c r="AL13" s="53">
        <f t="shared" si="17"/>
        <v>3</v>
      </c>
      <c r="AM13" s="53">
        <f t="shared" si="18"/>
        <v>4</v>
      </c>
      <c r="AN13" s="54">
        <f t="shared" si="19"/>
        <v>169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74.5</v>
      </c>
      <c r="Z7" s="7">
        <f>'CALCULATOR SHEET'!J13</f>
        <v>95</v>
      </c>
      <c r="AA7" s="7">
        <f>IF(Y7=0,"",MATCH(CEILING(Y7,6),$C$7:$R$7,0))</f>
        <v>9</v>
      </c>
      <c r="AB7" s="7">
        <f>IF(Z7=0,"",MATCH(CEILING(Z7,6),$B$10:$B$26,0))</f>
        <v>11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213</v>
      </c>
      <c r="AF7" s="13">
        <f>IF(Y7&gt;0,HLOOKUP(AA7,$C$29:$R$30,2,FALSE),"")</f>
        <v>0</v>
      </c>
    </row>
    <row r="8" spans="2:32" ht="15.75">
      <c r="U8" s="386"/>
      <c r="V8" s="147"/>
      <c r="W8" s="147" t="str">
        <f>'CALCULATOR SHEET'!E14</f>
        <v>GROUP 6</v>
      </c>
      <c r="X8" s="1">
        <f>+X7+1</f>
        <v>2</v>
      </c>
      <c r="Y8" s="7">
        <f>'CALCULATOR SHEET'!I14</f>
        <v>71</v>
      </c>
      <c r="Z8" s="7">
        <f>'CALCULATOR SHEET'!J14</f>
        <v>95</v>
      </c>
      <c r="AA8" s="7">
        <f t="shared" ref="AA8:AA28" si="1">IF(Y8=0,"",MATCH(CEILING(Y8,6),$C$7:$R$7,0))</f>
        <v>8</v>
      </c>
      <c r="AB8" s="7">
        <f t="shared" ref="AB8:AB28" si="2">IF(Z8=0,"",MATCH(CEILING(Z8,6),$B$10:$B$26,0))</f>
        <v>11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213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62.5</v>
      </c>
      <c r="Z9" s="7">
        <f>'CALCULATOR SHEET'!J15</f>
        <v>93</v>
      </c>
      <c r="AA9" s="7">
        <f t="shared" si="1"/>
        <v>7</v>
      </c>
      <c r="AB9" s="7">
        <f t="shared" si="2"/>
        <v>11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213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6</v>
      </c>
      <c r="X10" s="1">
        <f t="shared" si="6"/>
        <v>4</v>
      </c>
      <c r="Y10" s="7">
        <f>'CALCULATOR SHEET'!I16</f>
        <v>49.5</v>
      </c>
      <c r="Z10" s="7">
        <f>'CALCULATOR SHEET'!J16</f>
        <v>93</v>
      </c>
      <c r="AA10" s="7">
        <f t="shared" si="1"/>
        <v>5</v>
      </c>
      <c r="AB10" s="7">
        <f t="shared" si="2"/>
        <v>11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213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6</v>
      </c>
      <c r="X11" s="1">
        <f t="shared" si="6"/>
        <v>5</v>
      </c>
      <c r="Y11" s="7">
        <f>'CALCULATOR SHEET'!I17</f>
        <v>85</v>
      </c>
      <c r="Z11" s="7">
        <f>'CALCULATOR SHEET'!J17</f>
        <v>93</v>
      </c>
      <c r="AA11" s="7">
        <f t="shared" si="1"/>
        <v>11</v>
      </c>
      <c r="AB11" s="7">
        <f t="shared" si="2"/>
        <v>11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213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6</v>
      </c>
      <c r="X12" s="1">
        <f t="shared" si="6"/>
        <v>6</v>
      </c>
      <c r="Y12" s="7">
        <f>'CALCULATOR SHEET'!I18</f>
        <v>33.5</v>
      </c>
      <c r="Z12" s="7">
        <f>'CALCULATOR SHEET'!J18</f>
        <v>29.5</v>
      </c>
      <c r="AA12" s="7">
        <f t="shared" si="1"/>
        <v>2</v>
      </c>
      <c r="AB12" s="7" t="e">
        <f t="shared" si="2"/>
        <v>#N/A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e">
        <f t="shared" si="4"/>
        <v>#N/A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6</v>
      </c>
      <c r="X13" s="1">
        <f t="shared" si="6"/>
        <v>7</v>
      </c>
      <c r="Y13" s="7">
        <f>'CALCULATOR SHEET'!I19</f>
        <v>36</v>
      </c>
      <c r="Z13" s="7">
        <f>'CALCULATOR SHEET'!J19</f>
        <v>41.5</v>
      </c>
      <c r="AA13" s="7">
        <f t="shared" si="1"/>
        <v>2</v>
      </c>
      <c r="AB13" s="7">
        <f t="shared" si="2"/>
        <v>2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201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74.5</v>
      </c>
      <c r="W7" s="7">
        <f>'CALCULATOR SHEET'!J13</f>
        <v>95</v>
      </c>
      <c r="X7" s="7">
        <f>IF(V7=0,"",MATCH(CEILING(V7,6),$C$8:$Q$8,0))</f>
        <v>10</v>
      </c>
      <c r="Y7" s="7">
        <f>IF(W7=0,"",MATCH(CEILING(W7,6),$B$10:$B$26,0))</f>
        <v>13</v>
      </c>
      <c r="Z7" s="146">
        <f>IF(X7="","",INDEX($C$12:$Q$26,Y7,X7))</f>
        <v>422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71</v>
      </c>
      <c r="W8" s="7">
        <f>'CALCULATOR SHEET'!J14</f>
        <v>95</v>
      </c>
      <c r="X8" s="7">
        <f t="shared" ref="X8:X73" si="0">IF(V8=0,"",MATCH(CEILING(V8,6),$C$8:$Q$8,0))</f>
        <v>9</v>
      </c>
      <c r="Y8" s="7">
        <f t="shared" ref="Y8:Y71" si="1">IF(W8=0,"",MATCH(CEILING(W8,6),$B$10:$B$26,0))</f>
        <v>13</v>
      </c>
      <c r="Z8" s="146">
        <f>IF(X8="","",INDEX($C$12:$Q$26,Y8,X8))</f>
        <v>382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62.5</v>
      </c>
      <c r="W9" s="7">
        <f>'CALCULATOR SHEET'!J15</f>
        <v>93</v>
      </c>
      <c r="X9" s="7">
        <f t="shared" si="0"/>
        <v>8</v>
      </c>
      <c r="Y9" s="7">
        <f t="shared" si="1"/>
        <v>13</v>
      </c>
      <c r="Z9" s="146">
        <f>IF(X9="","",INDEX($C$12:$Q$26,Y9,X9))</f>
        <v>359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49.5</v>
      </c>
      <c r="W12" s="7">
        <f>'CALCULATOR SHEET'!J16</f>
        <v>93</v>
      </c>
      <c r="X12" s="7">
        <f t="shared" si="0"/>
        <v>6</v>
      </c>
      <c r="Y12" s="7">
        <f t="shared" si="1"/>
        <v>13</v>
      </c>
      <c r="Z12" s="146">
        <f t="shared" ref="Z12:Z43" si="3">IF(X12="","",INDEX($C$12:$Q$26,Y12,X12))</f>
        <v>293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85</v>
      </c>
      <c r="W13" s="7">
        <f>'CALCULATOR SHEET'!J17</f>
        <v>93</v>
      </c>
      <c r="X13" s="7">
        <f t="shared" si="0"/>
        <v>12</v>
      </c>
      <c r="Y13" s="7">
        <f t="shared" si="1"/>
        <v>13</v>
      </c>
      <c r="Z13" s="146">
        <f t="shared" si="3"/>
        <v>484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33.5</v>
      </c>
      <c r="W14" s="7">
        <f>'CALCULATOR SHEET'!J18</f>
        <v>29.5</v>
      </c>
      <c r="X14" s="7">
        <f t="shared" si="0"/>
        <v>3</v>
      </c>
      <c r="Y14" s="7">
        <f t="shared" si="1"/>
        <v>2</v>
      </c>
      <c r="Z14" s="146">
        <f t="shared" si="3"/>
        <v>146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36</v>
      </c>
      <c r="W15" s="7">
        <f>'CALCULATOR SHEET'!J19</f>
        <v>41.5</v>
      </c>
      <c r="X15" s="7">
        <f t="shared" si="0"/>
        <v>3</v>
      </c>
      <c r="Y15" s="7">
        <f t="shared" si="1"/>
        <v>4</v>
      </c>
      <c r="Z15" s="146">
        <f t="shared" si="3"/>
        <v>157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436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225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217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211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154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239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91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94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350</v>
      </c>
    </row>
    <row r="8" spans="2:27">
      <c r="T8" s="386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342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335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223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366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115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120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M62" sqref="M62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8"/>
      <c r="Q3" s="368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1" t="s">
        <v>309</v>
      </c>
      <c r="AA4" s="370">
        <f>FLOOR(SUMIF(C8:C47,"&gt;0")/2,1)</f>
        <v>3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480</v>
      </c>
      <c r="W5" s="34" t="s">
        <v>134</v>
      </c>
      <c r="Z5" s="371"/>
      <c r="AA5" s="370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473</v>
      </c>
      <c r="E9" s="39"/>
      <c r="F9" s="1"/>
      <c r="G9" s="38" t="s">
        <v>443</v>
      </c>
      <c r="H9" s="343" t="s">
        <v>476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45902</v>
      </c>
      <c r="Z9" s="38" t="s">
        <v>304</v>
      </c>
      <c r="AA9" s="34">
        <f>SUMIF(C13:C52,"&gt;0")</f>
        <v>7</v>
      </c>
      <c r="AD9" s="367" t="s">
        <v>91</v>
      </c>
      <c r="AE9" s="367"/>
      <c r="AF9" s="367"/>
      <c r="AG9" s="367"/>
      <c r="AH9" s="367"/>
      <c r="AI9" s="367"/>
      <c r="AJ9" s="367"/>
      <c r="AK9" s="269"/>
      <c r="AL9" s="367" t="s">
        <v>92</v>
      </c>
      <c r="AM9" s="367"/>
      <c r="AN9" s="367"/>
      <c r="AO9" s="269"/>
      <c r="AP9" s="367" t="s">
        <v>93</v>
      </c>
      <c r="AQ9" s="367"/>
      <c r="AR9" s="367"/>
      <c r="AS9" s="269"/>
      <c r="AT9" s="367" t="s">
        <v>217</v>
      </c>
      <c r="AU9" s="367"/>
      <c r="AV9" s="14"/>
      <c r="AW9" s="14"/>
    </row>
    <row r="10" spans="1:73" ht="15.75">
      <c r="B10" s="43"/>
      <c r="C10" s="24" t="s">
        <v>39</v>
      </c>
      <c r="D10" s="191" t="s">
        <v>474</v>
      </c>
      <c r="E10" s="149"/>
      <c r="F10" s="1"/>
      <c r="G10" s="341" t="s">
        <v>444</v>
      </c>
      <c r="H10" s="343"/>
      <c r="I10" s="1"/>
      <c r="J10" s="3" t="s">
        <v>449</v>
      </c>
      <c r="K10" s="364" t="s">
        <v>478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477</v>
      </c>
      <c r="I11" s="46"/>
      <c r="J11" s="38" t="s">
        <v>448</v>
      </c>
      <c r="K11" s="301" t="s">
        <v>479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24</v>
      </c>
      <c r="F13" s="69"/>
      <c r="G13" s="68" t="s">
        <v>465</v>
      </c>
      <c r="H13" s="68" t="s">
        <v>466</v>
      </c>
      <c r="I13" s="81">
        <v>74.5</v>
      </c>
      <c r="J13" s="81">
        <v>95</v>
      </c>
      <c r="K13" s="254" t="s">
        <v>96</v>
      </c>
      <c r="L13" s="70"/>
      <c r="M13" s="284" t="s">
        <v>129</v>
      </c>
      <c r="N13" s="254" t="s">
        <v>213</v>
      </c>
      <c r="O13" s="254" t="s">
        <v>319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639</v>
      </c>
      <c r="T13" s="316">
        <f t="shared" ref="T13:T52" si="0">IF(S13="","",S13*C13)</f>
        <v>639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639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ZEBRA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629</v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90</v>
      </c>
      <c r="E14" s="69" t="s">
        <v>24</v>
      </c>
      <c r="F14" s="69"/>
      <c r="G14" s="68" t="s">
        <v>465</v>
      </c>
      <c r="H14" s="68" t="s">
        <v>467</v>
      </c>
      <c r="I14" s="81">
        <v>71</v>
      </c>
      <c r="J14" s="81">
        <v>95</v>
      </c>
      <c r="K14" s="254" t="s">
        <v>96</v>
      </c>
      <c r="L14" s="70"/>
      <c r="M14" s="284" t="s">
        <v>130</v>
      </c>
      <c r="N14" s="254" t="s">
        <v>213</v>
      </c>
      <c r="O14" s="254" t="s">
        <v>319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630</v>
      </c>
      <c r="T14" s="316">
        <f t="shared" si="0"/>
        <v>630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630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ZEBRA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10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>620</v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10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90</v>
      </c>
      <c r="E15" s="69" t="s">
        <v>24</v>
      </c>
      <c r="F15" s="69"/>
      <c r="G15" s="68" t="s">
        <v>465</v>
      </c>
      <c r="H15" s="68" t="s">
        <v>468</v>
      </c>
      <c r="I15" s="81">
        <v>62.5</v>
      </c>
      <c r="J15" s="81">
        <v>93</v>
      </c>
      <c r="K15" s="254" t="s">
        <v>96</v>
      </c>
      <c r="L15" s="70"/>
      <c r="M15" s="284" t="s">
        <v>129</v>
      </c>
      <c r="N15" s="254" t="s">
        <v>213</v>
      </c>
      <c r="O15" s="254" t="s">
        <v>319</v>
      </c>
      <c r="P15" s="70" t="s">
        <v>45</v>
      </c>
      <c r="Q15" s="70" t="s">
        <v>45</v>
      </c>
      <c r="R15" s="70" t="s">
        <v>45</v>
      </c>
      <c r="S15" s="71">
        <f t="shared" si="1"/>
        <v>622</v>
      </c>
      <c r="T15" s="316">
        <f t="shared" si="0"/>
        <v>622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622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ZEBRA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10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>612</v>
      </c>
      <c r="AQ15" s="120" t="str">
        <f>IF(OR(L15="",L15="NO"),"",IF(AB15="ZEBRA",VLOOKUP(L15,GENERAL!$E$6:$F$12,2,FALSE),""))</f>
        <v/>
      </c>
      <c r="AR15" s="120">
        <f t="shared" si="6"/>
        <v>10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90</v>
      </c>
      <c r="E16" s="69" t="s">
        <v>24</v>
      </c>
      <c r="F16" s="69"/>
      <c r="G16" s="68" t="s">
        <v>465</v>
      </c>
      <c r="H16" s="68" t="s">
        <v>469</v>
      </c>
      <c r="I16" s="81">
        <v>49.5</v>
      </c>
      <c r="J16" s="81">
        <v>93</v>
      </c>
      <c r="K16" s="254" t="s">
        <v>96</v>
      </c>
      <c r="L16" s="70"/>
      <c r="M16" s="284" t="s">
        <v>130</v>
      </c>
      <c r="N16" s="254" t="s">
        <v>213</v>
      </c>
      <c r="O16" s="254" t="s">
        <v>319</v>
      </c>
      <c r="P16" s="70" t="s">
        <v>45</v>
      </c>
      <c r="Q16" s="70" t="s">
        <v>45</v>
      </c>
      <c r="R16" s="70" t="s">
        <v>45</v>
      </c>
      <c r="S16" s="71">
        <f t="shared" si="1"/>
        <v>374</v>
      </c>
      <c r="T16" s="316">
        <f t="shared" si="0"/>
        <v>374</v>
      </c>
      <c r="U16" s="179" t="str">
        <f t="shared" si="2"/>
        <v/>
      </c>
      <c r="V16" s="120"/>
      <c r="W16" s="124">
        <f t="shared" si="8"/>
        <v>374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ZEBRA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10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>364</v>
      </c>
      <c r="AQ16" s="120" t="str">
        <f>IF(OR(L16="",L16="NO"),"",IF(AB16="ZEBRA",VLOOKUP(L16,GENERAL!$E$6:$F$12,2,FALSE),""))</f>
        <v/>
      </c>
      <c r="AR16" s="120">
        <f t="shared" si="6"/>
        <v>10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90</v>
      </c>
      <c r="E17" s="69" t="s">
        <v>24</v>
      </c>
      <c r="F17" s="69"/>
      <c r="G17" s="68" t="s">
        <v>465</v>
      </c>
      <c r="H17" s="68" t="s">
        <v>470</v>
      </c>
      <c r="I17" s="81">
        <v>85</v>
      </c>
      <c r="J17" s="81">
        <v>93</v>
      </c>
      <c r="K17" s="254" t="s">
        <v>96</v>
      </c>
      <c r="L17" s="70"/>
      <c r="M17" s="284" t="s">
        <v>130</v>
      </c>
      <c r="N17" s="254" t="s">
        <v>213</v>
      </c>
      <c r="O17" s="254" t="s">
        <v>319</v>
      </c>
      <c r="P17" s="70" t="s">
        <v>45</v>
      </c>
      <c r="Q17" s="70" t="s">
        <v>45</v>
      </c>
      <c r="R17" s="70" t="s">
        <v>45</v>
      </c>
      <c r="S17" s="71">
        <f t="shared" si="1"/>
        <v>654</v>
      </c>
      <c r="T17" s="316">
        <f t="shared" si="0"/>
        <v>654</v>
      </c>
      <c r="U17" s="179" t="str">
        <f t="shared" si="2"/>
        <v/>
      </c>
      <c r="V17" s="120"/>
      <c r="W17" s="124">
        <f t="shared" si="8"/>
        <v>654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ZEBRA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10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>644</v>
      </c>
      <c r="AQ17" s="120" t="str">
        <f>IF(OR(L17="",L17="NO"),"",IF(AB17="ZEBRA",VLOOKUP(L17,GENERAL!$E$6:$F$12,2,FALSE),""))</f>
        <v/>
      </c>
      <c r="AR17" s="120">
        <f t="shared" si="6"/>
        <v>10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90</v>
      </c>
      <c r="E18" s="69" t="s">
        <v>24</v>
      </c>
      <c r="F18" s="69"/>
      <c r="G18" s="68" t="s">
        <v>465</v>
      </c>
      <c r="H18" s="68" t="s">
        <v>471</v>
      </c>
      <c r="I18" s="81">
        <v>33.5</v>
      </c>
      <c r="J18" s="81">
        <v>29.5</v>
      </c>
      <c r="K18" s="254" t="s">
        <v>96</v>
      </c>
      <c r="L18" s="70"/>
      <c r="M18" s="284" t="s">
        <v>129</v>
      </c>
      <c r="N18" s="254" t="s">
        <v>213</v>
      </c>
      <c r="O18" s="254" t="s">
        <v>319</v>
      </c>
      <c r="P18" s="70" t="s">
        <v>45</v>
      </c>
      <c r="Q18" s="70" t="s">
        <v>45</v>
      </c>
      <c r="R18" s="70" t="s">
        <v>45</v>
      </c>
      <c r="S18" s="71">
        <f t="shared" si="1"/>
        <v>156</v>
      </c>
      <c r="T18" s="316">
        <f t="shared" si="0"/>
        <v>156</v>
      </c>
      <c r="U18" s="179" t="str">
        <f t="shared" si="2"/>
        <v/>
      </c>
      <c r="V18" s="120"/>
      <c r="W18" s="124">
        <f t="shared" si="8"/>
        <v>156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ZEBRA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6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>150</v>
      </c>
      <c r="AQ18" s="120" t="str">
        <f>IF(OR(L18="",L18="NO"),"",IF(AB18="ZEBRA",VLOOKUP(L18,GENERAL!$E$6:$F$12,2,FALSE),""))</f>
        <v/>
      </c>
      <c r="AR18" s="120">
        <f t="shared" si="6"/>
        <v>6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90</v>
      </c>
      <c r="E19" s="69" t="s">
        <v>24</v>
      </c>
      <c r="F19" s="69"/>
      <c r="G19" s="68" t="s">
        <v>465</v>
      </c>
      <c r="H19" s="68" t="s">
        <v>472</v>
      </c>
      <c r="I19" s="81">
        <v>36</v>
      </c>
      <c r="J19" s="81">
        <v>41.5</v>
      </c>
      <c r="K19" s="254" t="s">
        <v>96</v>
      </c>
      <c r="L19" s="70"/>
      <c r="M19" s="284" t="s">
        <v>129</v>
      </c>
      <c r="N19" s="254" t="s">
        <v>213</v>
      </c>
      <c r="O19" s="254" t="s">
        <v>319</v>
      </c>
      <c r="P19" s="70" t="s">
        <v>45</v>
      </c>
      <c r="Q19" s="70" t="s">
        <v>45</v>
      </c>
      <c r="R19" s="70" t="s">
        <v>45</v>
      </c>
      <c r="S19" s="71">
        <f t="shared" si="1"/>
        <v>172</v>
      </c>
      <c r="T19" s="316">
        <f t="shared" si="0"/>
        <v>172</v>
      </c>
      <c r="U19" s="179" t="str">
        <f t="shared" si="2"/>
        <v/>
      </c>
      <c r="V19" s="120"/>
      <c r="W19" s="124">
        <f t="shared" si="8"/>
        <v>172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ZEBRA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7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>165</v>
      </c>
      <c r="AQ19" s="120" t="str">
        <f>IF(OR(L19="",L19="NO"),"",IF(AB19="ZEBRA",VLOOKUP(L19,GENERAL!$E$6:$F$12,2,FALSE),""))</f>
        <v/>
      </c>
      <c r="AR19" s="120">
        <f t="shared" si="6"/>
        <v>7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3247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0.35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1136.4499999999998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2110.5500000000002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2110.5500000000002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437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74.5</v>
      </c>
      <c r="Y7" s="7">
        <f>'CALCULATOR SHEET'!J13</f>
        <v>95</v>
      </c>
      <c r="Z7" s="7">
        <f>IF(X7=0,"",MATCH(CEILING(X7,6),$C$7:$R$7,0))</f>
        <v>10</v>
      </c>
      <c r="AA7" s="7">
        <f>IF(Y7=0,"",MATCH(CEILING(Y7,6),$B$10:$B$26,0))</f>
        <v>13</v>
      </c>
      <c r="AB7" s="146">
        <f>IF(Z7="","",INDEX($C$10:$R$26,AA7,Z7))</f>
        <v>405</v>
      </c>
    </row>
    <row r="8" spans="2:28" ht="15.75">
      <c r="U8" s="386"/>
      <c r="V8" s="147"/>
      <c r="W8" s="1">
        <f>+W7+1</f>
        <v>2</v>
      </c>
      <c r="X8" s="7">
        <f>'CALCULATOR SHEET'!I14</f>
        <v>71</v>
      </c>
      <c r="Y8" s="7">
        <f>'CALCULATOR SHEET'!J14</f>
        <v>95</v>
      </c>
      <c r="Z8" s="7">
        <f t="shared" ref="Z8:Z71" si="0">IF(X8=0,"",MATCH(CEILING(X8,6),$C$7:$R$7,0))</f>
        <v>9</v>
      </c>
      <c r="AA8" s="7">
        <f t="shared" ref="AA8:AA71" si="1">IF(Y8=0,"",MATCH(CEILING(Y8,6),$B$10:$B$26,0))</f>
        <v>13</v>
      </c>
      <c r="AB8" s="146">
        <f t="shared" ref="AB8:AB71" si="2">IF(Z8="","",INDEX($C$10:$R$26,AA8,Z8))</f>
        <v>397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62.5</v>
      </c>
      <c r="Y9" s="7">
        <f>'CALCULATOR SHEET'!J15</f>
        <v>93</v>
      </c>
      <c r="Z9" s="7">
        <f t="shared" si="0"/>
        <v>8</v>
      </c>
      <c r="AA9" s="7">
        <f t="shared" si="1"/>
        <v>13</v>
      </c>
      <c r="AB9" s="146">
        <f t="shared" si="2"/>
        <v>389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49.5</v>
      </c>
      <c r="Y10" s="7">
        <f>'CALCULATOR SHEET'!J16</f>
        <v>93</v>
      </c>
      <c r="Z10" s="7">
        <f t="shared" si="0"/>
        <v>6</v>
      </c>
      <c r="AA10" s="7">
        <f t="shared" si="1"/>
        <v>13</v>
      </c>
      <c r="AB10" s="146">
        <f t="shared" si="2"/>
        <v>251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85</v>
      </c>
      <c r="Y11" s="7">
        <f>'CALCULATOR SHEET'!J17</f>
        <v>93</v>
      </c>
      <c r="Z11" s="7">
        <f t="shared" si="0"/>
        <v>12</v>
      </c>
      <c r="AA11" s="7">
        <f t="shared" si="1"/>
        <v>13</v>
      </c>
      <c r="AB11" s="146">
        <f t="shared" si="2"/>
        <v>422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33.5</v>
      </c>
      <c r="Y12" s="7">
        <f>'CALCULATOR SHEET'!J18</f>
        <v>29.5</v>
      </c>
      <c r="Z12" s="7">
        <f t="shared" si="0"/>
        <v>3</v>
      </c>
      <c r="AA12" s="7">
        <f t="shared" si="1"/>
        <v>2</v>
      </c>
      <c r="AB12" s="146">
        <f t="shared" si="2"/>
        <v>122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36</v>
      </c>
      <c r="Y13" s="7">
        <f>'CALCULATOR SHEET'!J19</f>
        <v>41.5</v>
      </c>
      <c r="Z13" s="7">
        <f t="shared" si="0"/>
        <v>3</v>
      </c>
      <c r="AA13" s="7">
        <f t="shared" si="1"/>
        <v>4</v>
      </c>
      <c r="AB13" s="146">
        <f t="shared" si="2"/>
        <v>130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476</v>
      </c>
    </row>
    <row r="8" spans="2:27">
      <c r="T8" s="386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468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459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286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492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131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140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385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462</v>
      </c>
    </row>
    <row r="8" spans="2:27" ht="15" customHeight="1">
      <c r="T8" s="386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454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446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277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477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125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135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629</v>
      </c>
    </row>
    <row r="8" spans="2:27" ht="15" customHeight="1">
      <c r="T8" s="386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620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612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364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644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150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165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665</v>
      </c>
    </row>
    <row r="8" spans="2:27" ht="15" customHeight="1">
      <c r="T8" s="386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657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649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383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680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155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171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7" t="s">
        <v>295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74.5</v>
      </c>
      <c r="X7" s="7">
        <f>'CALCULATOR SHEET'!J13</f>
        <v>95</v>
      </c>
      <c r="Y7" s="7">
        <f>IF(W7=0,"",MATCH(CEILING(W7,6),$C$7:$Q$7,0))</f>
        <v>10</v>
      </c>
      <c r="Z7" s="7">
        <f>IF(X7=0,"",MATCH(CEILING(X7,6),$B$10:$B$26,0))</f>
        <v>13</v>
      </c>
      <c r="AA7" s="146">
        <f>IF(Y7="","",INDEX($C$10:$Q$26,Z7,Y7))</f>
        <v>664</v>
      </c>
    </row>
    <row r="8" spans="2:27" ht="15" customHeight="1">
      <c r="T8" s="386"/>
      <c r="V8" s="1">
        <f>+V7+1</f>
        <v>2</v>
      </c>
      <c r="W8" s="7">
        <f>'CALCULATOR SHEET'!I14</f>
        <v>71</v>
      </c>
      <c r="X8" s="7">
        <f>'CALCULATOR SHEET'!J14</f>
        <v>95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13</v>
      </c>
      <c r="AA8" s="146">
        <f t="shared" ref="AA8:AA71" si="3">IF(Y8="","",INDEX($C$10:$Q$26,Z8,Y8))</f>
        <v>657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62.5</v>
      </c>
      <c r="X9" s="7">
        <f>'CALCULATOR SHEET'!J15</f>
        <v>93</v>
      </c>
      <c r="Y9" s="7">
        <f t="shared" si="1"/>
        <v>8</v>
      </c>
      <c r="Z9" s="7">
        <f t="shared" si="2"/>
        <v>13</v>
      </c>
      <c r="AA9" s="146">
        <f t="shared" si="3"/>
        <v>650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49.5</v>
      </c>
      <c r="X10" s="7">
        <f>'CALCULATOR SHEET'!J16</f>
        <v>93</v>
      </c>
      <c r="Y10" s="7">
        <f t="shared" si="1"/>
        <v>6</v>
      </c>
      <c r="Z10" s="7">
        <f t="shared" si="2"/>
        <v>13</v>
      </c>
      <c r="AA10" s="146">
        <f t="shared" si="3"/>
        <v>375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85</v>
      </c>
      <c r="X11" s="7">
        <f>'CALCULATOR SHEET'!J17</f>
        <v>93</v>
      </c>
      <c r="Y11" s="7">
        <f t="shared" si="1"/>
        <v>12</v>
      </c>
      <c r="Z11" s="7">
        <f t="shared" si="2"/>
        <v>13</v>
      </c>
      <c r="AA11" s="146">
        <f t="shared" si="3"/>
        <v>678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33.5</v>
      </c>
      <c r="X12" s="7">
        <f>'CALCULATOR SHEET'!J18</f>
        <v>29.5</v>
      </c>
      <c r="Y12" s="7">
        <f t="shared" si="1"/>
        <v>3</v>
      </c>
      <c r="Z12" s="7">
        <f t="shared" si="2"/>
        <v>2</v>
      </c>
      <c r="AA12" s="146">
        <f t="shared" si="3"/>
        <v>144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36</v>
      </c>
      <c r="X13" s="7">
        <f>'CALCULATOR SHEET'!J19</f>
        <v>41.5</v>
      </c>
      <c r="Y13" s="7">
        <f t="shared" si="1"/>
        <v>3</v>
      </c>
      <c r="Z13" s="7">
        <f t="shared" si="2"/>
        <v>4</v>
      </c>
      <c r="AA13" s="146">
        <f t="shared" si="3"/>
        <v>161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74.5</v>
      </c>
      <c r="Y5" s="7">
        <f>'PM-ORDER'!P5</f>
        <v>95</v>
      </c>
      <c r="Z5" s="7">
        <f>IF(X5&lt;&gt;"",MATCH(CEILING(X5,6),$C$4:$S$4,0),"")</f>
        <v>10</v>
      </c>
      <c r="AA5" s="7">
        <f>IF(X5&lt;&gt;"",MATCH(CEILING(Y5,6),$B$7:$B$26,0),"")</f>
        <v>13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71</v>
      </c>
      <c r="Y6" s="7">
        <f>'PM-ORDER'!P6</f>
        <v>95</v>
      </c>
      <c r="Z6" s="7">
        <f t="shared" ref="Z6:Z44" si="0">IF(X6&lt;&gt;"",MATCH(CEILING(X6,6),$C$4:$S$4,0),"")</f>
        <v>9</v>
      </c>
      <c r="AA6" s="7">
        <f t="shared" ref="AA6:AA44" si="1">IF(X6&lt;&gt;"",MATCH(CEILING(Y6,6),$B$7:$B$26,0),"")</f>
        <v>13</v>
      </c>
      <c r="AC6" s="7" t="str">
        <f>IF('PM-ORDER'!G6="ROLLER",INDEX($C$7:$S$26,AA6,Z6),"")</f>
        <v/>
      </c>
      <c r="AF6" s="7" t="str">
        <f>IF('PM-ORDER'!G6="ZEBRA",INDEX($C$35:$S$54,AA6,Z6),"")</f>
        <v>ZEBRA-ROLLER</v>
      </c>
      <c r="AG6" s="1" t="str">
        <f t="shared" ref="AG6:AG44" si="2">CONCATENATE(AC6,AF6)</f>
        <v>ZEBRA-ROLLER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62.5</v>
      </c>
      <c r="Y7" s="7">
        <f>'PM-ORDER'!P7</f>
        <v>93</v>
      </c>
      <c r="Z7" s="7">
        <f t="shared" si="0"/>
        <v>8</v>
      </c>
      <c r="AA7" s="7">
        <f t="shared" si="1"/>
        <v>13</v>
      </c>
      <c r="AC7" s="7" t="str">
        <f>IF('PM-ORDER'!G7="ROLLER",INDEX($C$7:$S$26,AA7,Z7),"")</f>
        <v/>
      </c>
      <c r="AF7" s="7" t="str">
        <f>IF('PM-ORDER'!G7="ZEBRA",INDEX($C$35:$S$54,AA7,Z7),"")</f>
        <v>ZEBRA-ROLLER</v>
      </c>
      <c r="AG7" s="1" t="str">
        <f t="shared" si="2"/>
        <v>ZEBRA-ROLLER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49.5</v>
      </c>
      <c r="Y8" s="7">
        <f>'PM-ORDER'!P8</f>
        <v>93</v>
      </c>
      <c r="Z8" s="7">
        <f t="shared" si="0"/>
        <v>6</v>
      </c>
      <c r="AA8" s="7">
        <f t="shared" si="1"/>
        <v>13</v>
      </c>
      <c r="AC8" s="7" t="str">
        <f>IF('PM-ORDER'!G8="ROLLER",INDEX($C$7:$S$26,AA8,Z8),"")</f>
        <v/>
      </c>
      <c r="AF8" s="7" t="str">
        <f>IF('PM-ORDER'!G8="ZEBRA",INDEX($C$35:$S$54,AA8,Z8),"")</f>
        <v>ZEBRA-ROLLER</v>
      </c>
      <c r="AG8" s="1" t="str">
        <f t="shared" si="2"/>
        <v>ZEBRA-ROLLER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85</v>
      </c>
      <c r="Y9" s="7">
        <f>'PM-ORDER'!P9</f>
        <v>93</v>
      </c>
      <c r="Z9" s="7">
        <f t="shared" si="0"/>
        <v>12</v>
      </c>
      <c r="AA9" s="7">
        <f t="shared" si="1"/>
        <v>13</v>
      </c>
      <c r="AC9" s="7" t="str">
        <f>IF('PM-ORDER'!G9="ROLLER",INDEX($C$7:$S$26,AA9,Z9),"")</f>
        <v/>
      </c>
      <c r="AF9" s="7" t="str">
        <f>IF('PM-ORDER'!G9="ZEBRA",INDEX($C$35:$S$54,AA9,Z9),"")</f>
        <v>ZEBRA-ROLLER</v>
      </c>
      <c r="AG9" s="1" t="str">
        <f t="shared" si="2"/>
        <v>ZEBRA-ROLLER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33.5</v>
      </c>
      <c r="Y10" s="7">
        <f>'PM-ORDER'!P10</f>
        <v>29.5</v>
      </c>
      <c r="Z10" s="7">
        <f t="shared" si="0"/>
        <v>3</v>
      </c>
      <c r="AA10" s="7">
        <f t="shared" si="1"/>
        <v>2</v>
      </c>
      <c r="AC10" s="7" t="str">
        <f>IF('PM-ORDER'!G10="ROLLER",INDEX($C$7:$S$26,AA10,Z10),"")</f>
        <v/>
      </c>
      <c r="AF10" s="7" t="str">
        <f>IF('PM-ORDER'!G10="ZEBRA",INDEX($C$35:$S$54,AA10,Z10),"")</f>
        <v>ZEBRA-ROLLER</v>
      </c>
      <c r="AG10" s="1" t="str">
        <f t="shared" si="2"/>
        <v>ZEBRA-ROLLER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36</v>
      </c>
      <c r="Y11" s="7">
        <f>'PM-ORDER'!P11</f>
        <v>41.5</v>
      </c>
      <c r="Z11" s="7">
        <f t="shared" si="0"/>
        <v>3</v>
      </c>
      <c r="AA11" s="7">
        <f t="shared" si="1"/>
        <v>4</v>
      </c>
      <c r="AC11" s="7" t="str">
        <f>IF('PM-ORDER'!G11="ROLLER",INDEX($C$7:$S$26,AA11,Z11),"")</f>
        <v/>
      </c>
      <c r="AF11" s="7" t="str">
        <f>IF('PM-ORDER'!G11="ZEBRA",INDEX($C$35:$S$54,AA11,Z11),"")</f>
        <v>ZEBRA-ROLLER</v>
      </c>
      <c r="AG11" s="1" t="str">
        <f t="shared" si="2"/>
        <v>ZEBRA-ROLLER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440</v>
      </c>
      <c r="K82" s="372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214</v>
      </c>
      <c r="V1" s="373"/>
      <c r="AG1" s="375" t="s">
        <v>218</v>
      </c>
      <c r="AH1" s="376"/>
      <c r="AI1" s="376"/>
      <c r="AJ1" s="376"/>
      <c r="AK1" s="376"/>
      <c r="AL1" s="376"/>
      <c r="AM1" s="376"/>
      <c r="AN1" s="376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45902</v>
      </c>
      <c r="H2" s="223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4"/>
    </row>
    <row r="3" spans="2:41" ht="15" customHeight="1">
      <c r="C3" s="223" t="s">
        <v>160</v>
      </c>
      <c r="G3" s="226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250902 A</v>
      </c>
      <c r="D5" s="229">
        <f>IF('CALCULATOR SHEET'!D13&lt;&gt;"",'CALCULATOR SHEET'!$T$9,"")</f>
        <v>45902</v>
      </c>
      <c r="E5" s="230" t="str">
        <f>IF(D5&lt;&gt;"","BAJA SHADES","")</f>
        <v>BAJA SHADES</v>
      </c>
      <c r="F5" s="231" t="str">
        <f>IF(C5&lt;&gt;"",'CALCULATOR SHEET'!$D$9,"")</f>
        <v xml:space="preserve">CONDOMINIO MANUEL CENDON 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 xml:space="preserve">LINO DIMOUT IVORY </v>
      </c>
      <c r="M5" s="231" t="str">
        <f>IF(C5&lt;&gt;"",'CALCULATOR SHEET'!O13,"")</f>
        <v>PERFIL BLANCO</v>
      </c>
      <c r="N5" s="231" t="str">
        <f>IF(C5&lt;&gt;"",'CALCULATOR SHEET'!H13,"")</f>
        <v xml:space="preserve">SALA PUERTA LADO A </v>
      </c>
      <c r="O5" s="233">
        <f>IF(D5&lt;&gt;"",'CALCULATOR SHEET'!I13,"")</f>
        <v>74.5</v>
      </c>
      <c r="P5" s="233">
        <f>IF(E5&lt;&gt;"",'CALCULATOR SHEET'!J13,"")</f>
        <v>95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KIO ALTALIA 3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250902 A</v>
      </c>
      <c r="D6" s="229">
        <f>IF('CALCULATOR SHEET'!D14&lt;&gt;"",'CALCULATOR SHEET'!$T$9,"")</f>
        <v>45902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CONDOMINIO MANUEL CENDON </v>
      </c>
      <c r="G6" s="231" t="str">
        <f>IF('CALCULATOR SHEET'!D14&lt;&gt;"",'CALCULATOR SHEET'!D14,"")</f>
        <v>ZEBRA</v>
      </c>
      <c r="H6" s="231" t="str">
        <f>IF(Q6="CCL",BOMS!AG6,"")</f>
        <v>ZEBRA-ROLLER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 xml:space="preserve">LINO DIMOUT IVORY </v>
      </c>
      <c r="M6" s="231" t="str">
        <f>IF(C6&lt;&gt;"",'CALCULATOR SHEET'!O14,"")</f>
        <v>PERFIL BLANCO</v>
      </c>
      <c r="N6" s="231" t="str">
        <f>IF(C6&lt;&gt;"",'CALCULATOR SHEET'!H14,"")</f>
        <v xml:space="preserve">SALA PUERTA LADO B </v>
      </c>
      <c r="O6" s="233">
        <f>IF(D6&lt;&gt;"",'CALCULATOR SHEET'!I14,"")</f>
        <v>71</v>
      </c>
      <c r="P6" s="233">
        <f>IF(E6&lt;&gt;"",'CALCULATOR SHEET'!J14,"")</f>
        <v>95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KIO ALTALIA 3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250902 A</v>
      </c>
      <c r="D7" s="229">
        <f>IF('CALCULATOR SHEET'!D15&lt;&gt;"",'CALCULATOR SHEET'!$T$9,"")</f>
        <v>45902</v>
      </c>
      <c r="E7" s="230" t="str">
        <f t="shared" si="0"/>
        <v>BAJA SHADES</v>
      </c>
      <c r="F7" s="231" t="str">
        <f>IF(C7&lt;&gt;"",'CALCULATOR SHEET'!$D$9,"")</f>
        <v xml:space="preserve">CONDOMINIO MANUEL CENDON </v>
      </c>
      <c r="G7" s="231" t="str">
        <f>IF('CALCULATOR SHEET'!D15&lt;&gt;"",'CALCULATOR SHEET'!D15,"")</f>
        <v>ZEBRA</v>
      </c>
      <c r="H7" s="231" t="str">
        <f>IF(Q7="CCL",BOMS!AG7,"")</f>
        <v>ZEBRA-ROLLER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 xml:space="preserve">LINO DIMOUT IVORY </v>
      </c>
      <c r="M7" s="231" t="str">
        <f>IF(C7&lt;&gt;"",'CALCULATOR SHEET'!O15,"")</f>
        <v>PERFIL BLANCO</v>
      </c>
      <c r="N7" s="231" t="str">
        <f>IF(C7&lt;&gt;"",'CALCULATOR SHEET'!H15,"")</f>
        <v xml:space="preserve">RECAMARA 1 </v>
      </c>
      <c r="O7" s="233">
        <f>IF(D7&lt;&gt;"",'CALCULATOR SHEET'!I15,"")</f>
        <v>62.5</v>
      </c>
      <c r="P7" s="233">
        <f>IF(E7&lt;&gt;"",'CALCULATOR SHEET'!J15,"")</f>
        <v>93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KIO ALTALIA 3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250902 A</v>
      </c>
      <c r="D8" s="229">
        <f>IF('CALCULATOR SHEET'!D16&lt;&gt;"",'CALCULATOR SHEET'!$T$9,"")</f>
        <v>45902</v>
      </c>
      <c r="E8" s="230" t="str">
        <f t="shared" si="0"/>
        <v>BAJA SHADES</v>
      </c>
      <c r="F8" s="231" t="str">
        <f>IF(C8&lt;&gt;"",'CALCULATOR SHEET'!$D$9,"")</f>
        <v xml:space="preserve">CONDOMINIO MANUEL CENDON </v>
      </c>
      <c r="G8" s="231" t="str">
        <f>IF('CALCULATOR SHEET'!D16&lt;&gt;"",'CALCULATOR SHEET'!D16,"")</f>
        <v>ZEBRA</v>
      </c>
      <c r="H8" s="231" t="str">
        <f>IF(Q8="CCL",BOMS!AG8,"")</f>
        <v>ZEBRA-ROLLER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 xml:space="preserve">LINO DIMOUT IVORY </v>
      </c>
      <c r="M8" s="231" t="str">
        <f>IF(C8&lt;&gt;"",'CALCULATOR SHEET'!O16,"")</f>
        <v>PERFIL BLANCO</v>
      </c>
      <c r="N8" s="231" t="str">
        <f>IF(C8&lt;&gt;"",'CALCULATOR SHEET'!H16,"")</f>
        <v xml:space="preserve">RECAMARA 2 </v>
      </c>
      <c r="O8" s="233">
        <f>IF(D8&lt;&gt;"",'CALCULATOR SHEET'!I16,"")</f>
        <v>49.5</v>
      </c>
      <c r="P8" s="233">
        <f>IF(E8&lt;&gt;"",'CALCULATOR SHEET'!J16,"")</f>
        <v>93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KIO ALTALIA 3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250902 A</v>
      </c>
      <c r="D9" s="229">
        <f>IF('CALCULATOR SHEET'!D17&lt;&gt;"",'CALCULATOR SHEET'!$T$9,"")</f>
        <v>45902</v>
      </c>
      <c r="E9" s="230" t="str">
        <f t="shared" si="0"/>
        <v>BAJA SHADES</v>
      </c>
      <c r="F9" s="231" t="str">
        <f>IF(C9&lt;&gt;"",'CALCULATOR SHEET'!$D$9,"")</f>
        <v xml:space="preserve">CONDOMINIO MANUEL CENDON </v>
      </c>
      <c r="G9" s="231" t="str">
        <f>IF('CALCULATOR SHEET'!D17&lt;&gt;"",'CALCULATOR SHEET'!D17,"")</f>
        <v>ZEBRA</v>
      </c>
      <c r="H9" s="231" t="str">
        <f>IF(Q9="CCL",BOMS!AG9,"")</f>
        <v>ZEBRA-ROLLER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 xml:space="preserve">LINO DIMOUT IVORY </v>
      </c>
      <c r="M9" s="231" t="str">
        <f>IF(C9&lt;&gt;"",'CALCULATOR SHEET'!O17,"")</f>
        <v>PERFIL BLANCO</v>
      </c>
      <c r="N9" s="231" t="str">
        <f>IF(C9&lt;&gt;"",'CALCULATOR SHEET'!H17,"")</f>
        <v xml:space="preserve">RECAMARA 3 </v>
      </c>
      <c r="O9" s="233">
        <f>IF(D9&lt;&gt;"",'CALCULATOR SHEET'!I17,"")</f>
        <v>85</v>
      </c>
      <c r="P9" s="233">
        <f>IF(E9&lt;&gt;"",'CALCULATOR SHEET'!J17,"")</f>
        <v>93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>IF(D9&lt;&gt;"",'CALCULATOR SHEET'!N17,"")</f>
        <v>OUTSIDE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KIO ALTALIA 3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BS 250902 A</v>
      </c>
      <c r="D10" s="229">
        <f>IF('CALCULATOR SHEET'!D18&lt;&gt;"",'CALCULATOR SHEET'!$T$9,"")</f>
        <v>45902</v>
      </c>
      <c r="E10" s="230" t="str">
        <f t="shared" si="0"/>
        <v>BAJA SHADES</v>
      </c>
      <c r="F10" s="231" t="str">
        <f>IF(C10&lt;&gt;"",'CALCULATOR SHEET'!$D$9,"")</f>
        <v xml:space="preserve">CONDOMINIO MANUEL CENDON </v>
      </c>
      <c r="G10" s="231" t="str">
        <f>IF('CALCULATOR SHEET'!D18&lt;&gt;"",'CALCULATOR SHEET'!D18,"")</f>
        <v>ZEBRA</v>
      </c>
      <c r="H10" s="231" t="str">
        <f>IF(Q10="CCL",BOMS!AG10,"")</f>
        <v>ZEBRA-ROLLER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 xml:space="preserve">LINO DIMOUT IVORY </v>
      </c>
      <c r="M10" s="231" t="str">
        <f>IF(C10&lt;&gt;"",'CALCULATOR SHEET'!O18,"")</f>
        <v>PERFIL BLANCO</v>
      </c>
      <c r="N10" s="231" t="str">
        <f>IF(C10&lt;&gt;"",'CALCULATOR SHEET'!H18,"")</f>
        <v xml:space="preserve">PAASILLO </v>
      </c>
      <c r="O10" s="233">
        <f>IF(D10&lt;&gt;"",'CALCULATOR SHEET'!I18,"")</f>
        <v>33.5</v>
      </c>
      <c r="P10" s="233">
        <f>IF(E10&lt;&gt;"",'CALCULATOR SHEET'!J18,"")</f>
        <v>29.5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L</v>
      </c>
      <c r="S10" s="230" t="str">
        <f>IF(D10&lt;&gt;"",'CALCULATOR SHEET'!N18,"")</f>
        <v>OUTSIDE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>KIO ALTALIA 3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BS 250902 A</v>
      </c>
      <c r="D11" s="229">
        <f>IF('CALCULATOR SHEET'!D19&lt;&gt;"",'CALCULATOR SHEET'!$T$9,"")</f>
        <v>45902</v>
      </c>
      <c r="E11" s="230" t="str">
        <f t="shared" si="0"/>
        <v>BAJA SHADES</v>
      </c>
      <c r="F11" s="231" t="str">
        <f>IF(C11&lt;&gt;"",'CALCULATOR SHEET'!$D$9,"")</f>
        <v xml:space="preserve">CONDOMINIO MANUEL CENDON </v>
      </c>
      <c r="G11" s="231" t="str">
        <f>IF('CALCULATOR SHEET'!D19&lt;&gt;"",'CALCULATOR SHEET'!D19,"")</f>
        <v>ZEBRA</v>
      </c>
      <c r="H11" s="231" t="str">
        <f>IF(Q11="CCL",BOMS!AG11,"")</f>
        <v>ZEBRA-ROLLER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 xml:space="preserve">LINO DIMOUT IVORY </v>
      </c>
      <c r="M11" s="231" t="str">
        <f>IF(C11&lt;&gt;"",'CALCULATOR SHEET'!O19,"")</f>
        <v>PERFIL BLANCO</v>
      </c>
      <c r="N11" s="231" t="str">
        <f>IF(C11&lt;&gt;"",'CALCULATOR SHEET'!H19,"")</f>
        <v xml:space="preserve">COCINA </v>
      </c>
      <c r="O11" s="233">
        <f>IF(D11&lt;&gt;"",'CALCULATOR SHEET'!I19,"")</f>
        <v>36</v>
      </c>
      <c r="P11" s="233">
        <f>IF(E11&lt;&gt;"",'CALCULATOR SHEET'!J19,"")</f>
        <v>41.5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L</v>
      </c>
      <c r="S11" s="230" t="str">
        <f>IF(D11&lt;&gt;"",'CALCULATOR SHEET'!N19,"")</f>
        <v>OUTSIDE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>KIO ALTALIA 3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74.5</v>
      </c>
      <c r="AK7" s="36">
        <f>'CALCULATOR SHEET'!J13</f>
        <v>95</v>
      </c>
      <c r="AL7" s="36">
        <f>IF(AJ7=0,"",MATCH(CEILING(AJ7,6),$D$4:$Z$4,0))</f>
        <v>10</v>
      </c>
      <c r="AM7" s="36">
        <f>IF(AK7=0,"",MATCH(CEILING(AK7,6),$C$7:$C$28,0))</f>
        <v>13</v>
      </c>
      <c r="AN7" s="57">
        <f>IF(AL7="","",INDEX($D$7:$Z$28,AM7,AL7))</f>
        <v>194</v>
      </c>
      <c r="AO7" s="58"/>
      <c r="AP7" s="57">
        <f>IF(AJ7&gt;0,HLOOKUP(CEILING(AJ7,6),$D$30:$Z$31,2,0),"")</f>
        <v>77</v>
      </c>
      <c r="AQ7" s="57">
        <f>IF(AJ7&gt;0,HLOOKUP(CEILING(AJ7,6),$D$33:$Z$34,2,0),"")</f>
        <v>90</v>
      </c>
      <c r="AR7" s="59">
        <f>IF(AJ7&gt;0,HLOOKUP(CEILING(AJ7,6),$D$36:$Z$37,2,0))</f>
        <v>48</v>
      </c>
      <c r="AS7" s="57">
        <f>IF(AL7="","",INDEX($AX$6:$BT$27,AM7,AL7))</f>
        <v>550</v>
      </c>
      <c r="AT7" s="37">
        <f>IF(AK7&gt;0,VLOOKUP(CEILING(AK7,6),$AA$7:$AB$28,2,0),"")</f>
        <v>80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71</v>
      </c>
      <c r="AK8" s="36">
        <f>'CALCULATOR SHEET'!J14</f>
        <v>95</v>
      </c>
      <c r="AL8" s="36">
        <f t="shared" ref="AL8:AL71" si="0">IF(AJ8=0,"",MATCH(CEILING(AJ8,6),$D$4:$Z$4,0))</f>
        <v>9</v>
      </c>
      <c r="AM8" s="36">
        <f t="shared" ref="AM8:AM71" si="1">IF(AK8=0,"",MATCH(CEILING(AK8,6),$C$7:$C$28,0))</f>
        <v>13</v>
      </c>
      <c r="AN8" s="57">
        <f t="shared" ref="AN8:AN71" si="2">IF(AL8="","",INDEX($D$7:$Z$28,AM8,AL8))</f>
        <v>183</v>
      </c>
      <c r="AO8" s="58"/>
      <c r="AP8" s="57">
        <f t="shared" ref="AP8:AP71" si="3">IF(AJ8&gt;0,HLOOKUP(CEILING(AJ8,6),$D$30:$Z$31,2,0),"")</f>
        <v>74</v>
      </c>
      <c r="AQ8" s="57">
        <f t="shared" ref="AQ8:AQ71" si="4">IF(AJ8&gt;0,HLOOKUP(CEILING(AJ8,6),$D$33:$Z$34,2,0),"")</f>
        <v>81</v>
      </c>
      <c r="AR8" s="59">
        <f t="shared" ref="AR8:AR71" si="5">IF(AJ8&gt;0,HLOOKUP(CEILING(AJ8,6),$D$36:$Z$37,2,0))</f>
        <v>44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80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62.5</v>
      </c>
      <c r="AK9" s="36">
        <f>'CALCULATOR SHEET'!J15</f>
        <v>93</v>
      </c>
      <c r="AL9" s="36">
        <f t="shared" si="0"/>
        <v>8</v>
      </c>
      <c r="AM9" s="36">
        <f t="shared" si="1"/>
        <v>13</v>
      </c>
      <c r="AN9" s="57">
        <f t="shared" si="2"/>
        <v>173</v>
      </c>
      <c r="AO9" s="58"/>
      <c r="AP9" s="57">
        <f t="shared" si="3"/>
        <v>71</v>
      </c>
      <c r="AQ9" s="57">
        <f t="shared" si="4"/>
        <v>76</v>
      </c>
      <c r="AR9" s="59">
        <f t="shared" si="5"/>
        <v>41</v>
      </c>
      <c r="AS9" s="57">
        <f t="shared" si="6"/>
        <v>550</v>
      </c>
      <c r="AT9" s="37">
        <f t="shared" si="7"/>
        <v>80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49.5</v>
      </c>
      <c r="AK10" s="36">
        <f>'CALCULATOR SHEET'!J16</f>
        <v>93</v>
      </c>
      <c r="AL10" s="36">
        <f t="shared" si="0"/>
        <v>6</v>
      </c>
      <c r="AM10" s="36">
        <f t="shared" si="1"/>
        <v>13</v>
      </c>
      <c r="AN10" s="57">
        <f t="shared" si="2"/>
        <v>152</v>
      </c>
      <c r="AO10" s="58"/>
      <c r="AP10" s="57">
        <f t="shared" si="3"/>
        <v>65</v>
      </c>
      <c r="AQ10" s="57">
        <f t="shared" si="4"/>
        <v>65</v>
      </c>
      <c r="AR10" s="59">
        <f t="shared" si="5"/>
        <v>33</v>
      </c>
      <c r="AS10" s="57">
        <f t="shared" si="6"/>
        <v>550</v>
      </c>
      <c r="AT10" s="37">
        <f t="shared" si="7"/>
        <v>80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85</v>
      </c>
      <c r="AK11" s="36">
        <f>'CALCULATOR SHEET'!J17</f>
        <v>93</v>
      </c>
      <c r="AL11" s="36">
        <f t="shared" si="0"/>
        <v>12</v>
      </c>
      <c r="AM11" s="36">
        <f t="shared" si="1"/>
        <v>13</v>
      </c>
      <c r="AN11" s="57">
        <f t="shared" si="2"/>
        <v>214</v>
      </c>
      <c r="AO11" s="58"/>
      <c r="AP11" s="57">
        <f t="shared" si="3"/>
        <v>83</v>
      </c>
      <c r="AQ11" s="57">
        <f t="shared" si="4"/>
        <v>101</v>
      </c>
      <c r="AR11" s="59">
        <f t="shared" si="5"/>
        <v>55</v>
      </c>
      <c r="AS11" s="57">
        <f t="shared" si="6"/>
        <v>550</v>
      </c>
      <c r="AT11" s="37">
        <f t="shared" si="7"/>
        <v>80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33.5</v>
      </c>
      <c r="AK12" s="36">
        <f>'CALCULATOR SHEET'!J18</f>
        <v>29.5</v>
      </c>
      <c r="AL12" s="36">
        <f t="shared" si="0"/>
        <v>3</v>
      </c>
      <c r="AM12" s="36">
        <f t="shared" si="1"/>
        <v>2</v>
      </c>
      <c r="AN12" s="57">
        <f t="shared" si="2"/>
        <v>74</v>
      </c>
      <c r="AO12" s="58"/>
      <c r="AP12" s="57">
        <f t="shared" si="3"/>
        <v>57</v>
      </c>
      <c r="AQ12" s="57">
        <f t="shared" si="4"/>
        <v>45</v>
      </c>
      <c r="AR12" s="59">
        <f t="shared" si="5"/>
        <v>22</v>
      </c>
      <c r="AS12" s="57">
        <f t="shared" si="6"/>
        <v>471</v>
      </c>
      <c r="AT12" s="37">
        <f t="shared" si="7"/>
        <v>25</v>
      </c>
      <c r="AU12" s="109">
        <f t="shared" si="8"/>
        <v>6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36</v>
      </c>
      <c r="AK13" s="36">
        <f>'CALCULATOR SHEET'!J19</f>
        <v>41.5</v>
      </c>
      <c r="AL13" s="36">
        <f t="shared" si="0"/>
        <v>3</v>
      </c>
      <c r="AM13" s="36">
        <f t="shared" si="1"/>
        <v>4</v>
      </c>
      <c r="AN13" s="57">
        <f t="shared" si="2"/>
        <v>81</v>
      </c>
      <c r="AO13" s="58"/>
      <c r="AP13" s="57">
        <f t="shared" si="3"/>
        <v>57</v>
      </c>
      <c r="AQ13" s="57">
        <f t="shared" si="4"/>
        <v>45</v>
      </c>
      <c r="AR13" s="59">
        <f t="shared" si="5"/>
        <v>22</v>
      </c>
      <c r="AS13" s="57">
        <f t="shared" si="6"/>
        <v>471</v>
      </c>
      <c r="AT13" s="37">
        <f t="shared" si="7"/>
        <v>35</v>
      </c>
      <c r="AU13" s="109">
        <f t="shared" si="8"/>
        <v>7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74.5</v>
      </c>
      <c r="AK7" s="53">
        <f>'CALCULATOR SHEET'!J13</f>
        <v>95</v>
      </c>
      <c r="AL7" s="53">
        <f>IF(AJ7=0,"",MATCH(CEILING(AJ7,6),$D$4:$Z$4,0))</f>
        <v>10</v>
      </c>
      <c r="AM7" s="53">
        <f>IF(AK7=0,"",MATCH(CEILING(AK7,6),$C$7:$C$28,0))</f>
        <v>13</v>
      </c>
      <c r="AN7" s="54">
        <f>IF(AL7="","",INDEX($D$7:$Z$28,AM7,AL7))</f>
        <v>209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71</v>
      </c>
      <c r="AK8" s="53">
        <f>'CALCULATOR SHEET'!J14</f>
        <v>95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13</v>
      </c>
      <c r="AN8" s="54">
        <f t="shared" ref="AN8:AN71" si="2">IF(AL8="","",INDEX($D$7:$Z$28,AM8,AL8))</f>
        <v>197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62.5</v>
      </c>
      <c r="AK9" s="53">
        <f>'CALCULATOR SHEET'!J15</f>
        <v>93</v>
      </c>
      <c r="AL9" s="53">
        <f t="shared" si="0"/>
        <v>8</v>
      </c>
      <c r="AM9" s="53">
        <f t="shared" si="1"/>
        <v>13</v>
      </c>
      <c r="AN9" s="54">
        <f t="shared" si="2"/>
        <v>186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49.5</v>
      </c>
      <c r="AK10" s="53">
        <f>'CALCULATOR SHEET'!J16</f>
        <v>93</v>
      </c>
      <c r="AL10" s="53">
        <f t="shared" si="0"/>
        <v>6</v>
      </c>
      <c r="AM10" s="53">
        <f t="shared" si="1"/>
        <v>13</v>
      </c>
      <c r="AN10" s="54">
        <f t="shared" si="2"/>
        <v>163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85</v>
      </c>
      <c r="AK11" s="53">
        <f>'CALCULATOR SHEET'!J17</f>
        <v>93</v>
      </c>
      <c r="AL11" s="53">
        <f t="shared" si="0"/>
        <v>12</v>
      </c>
      <c r="AM11" s="53">
        <f t="shared" si="1"/>
        <v>13</v>
      </c>
      <c r="AN11" s="54">
        <f t="shared" si="2"/>
        <v>232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33.5</v>
      </c>
      <c r="AK12" s="53">
        <f>'CALCULATOR SHEET'!J18</f>
        <v>29.5</v>
      </c>
      <c r="AL12" s="53">
        <f t="shared" si="0"/>
        <v>3</v>
      </c>
      <c r="AM12" s="53">
        <f t="shared" si="1"/>
        <v>2</v>
      </c>
      <c r="AN12" s="54">
        <f t="shared" si="2"/>
        <v>77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36</v>
      </c>
      <c r="AK13" s="53">
        <f>'CALCULATOR SHEET'!J19</f>
        <v>41.5</v>
      </c>
      <c r="AL13" s="53">
        <f t="shared" si="0"/>
        <v>3</v>
      </c>
      <c r="AM13" s="53">
        <f t="shared" si="1"/>
        <v>4</v>
      </c>
      <c r="AN13" s="54">
        <f t="shared" si="2"/>
        <v>84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74.5</v>
      </c>
      <c r="AK7" s="53">
        <f>'CALCULATOR SHEET'!J13</f>
        <v>95</v>
      </c>
      <c r="AL7" s="53">
        <f t="shared" ref="AL7:AL70" si="0">IF(AJ7=0,"",MATCH(CEILING(AJ7,6),$D$4:$Z$4,0))</f>
        <v>10</v>
      </c>
      <c r="AM7" s="53">
        <f>IF(AK7=0,"",MATCH(CEILING(AK7,6),$C$7:$C$28,0))</f>
        <v>13</v>
      </c>
      <c r="AN7" s="54">
        <f t="shared" ref="AN7:AN70" si="1">IF(AL7="","",INDEX($D$7:$Z$28,AM7,AL7))</f>
        <v>242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71</v>
      </c>
      <c r="AK8" s="53">
        <f>'CALCULATOR SHEET'!J14</f>
        <v>95</v>
      </c>
      <c r="AL8" s="53">
        <f t="shared" si="0"/>
        <v>9</v>
      </c>
      <c r="AM8" s="53">
        <f t="shared" ref="AM8:AM71" si="2">IF(AK8=0,"",MATCH(CEILING(AK8,6),$C$7:$C$28,0))</f>
        <v>13</v>
      </c>
      <c r="AN8" s="54">
        <f t="shared" si="1"/>
        <v>228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62.5</v>
      </c>
      <c r="AK9" s="53">
        <f>'CALCULATOR SHEET'!J15</f>
        <v>93</v>
      </c>
      <c r="AL9" s="53">
        <f t="shared" si="0"/>
        <v>8</v>
      </c>
      <c r="AM9" s="53">
        <f t="shared" si="2"/>
        <v>13</v>
      </c>
      <c r="AN9" s="54">
        <f t="shared" si="1"/>
        <v>214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49.5</v>
      </c>
      <c r="AK10" s="53">
        <f>'CALCULATOR SHEET'!J16</f>
        <v>93</v>
      </c>
      <c r="AL10" s="53">
        <f t="shared" si="0"/>
        <v>6</v>
      </c>
      <c r="AM10" s="53">
        <f t="shared" si="2"/>
        <v>13</v>
      </c>
      <c r="AN10" s="54">
        <f t="shared" si="1"/>
        <v>186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85</v>
      </c>
      <c r="AK11" s="53">
        <f>'CALCULATOR SHEET'!J17</f>
        <v>93</v>
      </c>
      <c r="AL11" s="53">
        <f t="shared" si="0"/>
        <v>12</v>
      </c>
      <c r="AM11" s="53">
        <f t="shared" si="2"/>
        <v>13</v>
      </c>
      <c r="AN11" s="54">
        <f t="shared" si="1"/>
        <v>270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33.5</v>
      </c>
      <c r="AK12" s="53">
        <f>'CALCULATOR SHEET'!J18</f>
        <v>29.5</v>
      </c>
      <c r="AL12" s="53">
        <f t="shared" si="0"/>
        <v>3</v>
      </c>
      <c r="AM12" s="53">
        <f t="shared" si="2"/>
        <v>2</v>
      </c>
      <c r="AN12" s="54">
        <f t="shared" si="1"/>
        <v>83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36</v>
      </c>
      <c r="AK13" s="53">
        <f>'CALCULATOR SHEET'!J19</f>
        <v>41.5</v>
      </c>
      <c r="AL13" s="53">
        <f t="shared" si="0"/>
        <v>3</v>
      </c>
      <c r="AM13" s="53">
        <f t="shared" si="2"/>
        <v>4</v>
      </c>
      <c r="AN13" s="54">
        <f t="shared" si="1"/>
        <v>92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2025-09-02T21:52:57Z</cp:lastPrinted>
  <dcterms:created xsi:type="dcterms:W3CDTF">2016-09-27T19:33:28Z</dcterms:created>
  <dcterms:modified xsi:type="dcterms:W3CDTF">2025-09-02T22:25:11Z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