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NANCY NEHLSEN\"/>
    </mc:Choice>
  </mc:AlternateContent>
  <xr:revisionPtr revIDLastSave="0" documentId="13_ncr:1_{C470A686-4F76-4789-9558-4423C6981C86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38" l="1"/>
  <c r="S14" i="38"/>
  <c r="S15" i="38"/>
  <c r="S16" i="38"/>
  <c r="S17" i="38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T18" i="59"/>
  <c r="X17" i="59"/>
  <c r="Z17" i="59" s="1"/>
  <c r="W17" i="59"/>
  <c r="Y17" i="59" s="1"/>
  <c r="T17" i="59"/>
  <c r="X16" i="59"/>
  <c r="Z16" i="59" s="1"/>
  <c r="W16" i="59"/>
  <c r="Y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8" i="59" l="1"/>
  <c r="AA17" i="59"/>
  <c r="AA16" i="59"/>
  <c r="AA15" i="59"/>
  <c r="AA14" i="59"/>
  <c r="AA13" i="59"/>
  <c r="AA12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18" i="57" l="1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19" i="52" l="1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19" i="51" l="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20" i="35" l="1"/>
  <c r="Z22" i="41"/>
  <c r="AA20" i="43"/>
  <c r="AN19" i="32"/>
  <c r="AN31" i="37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D25" i="38" s="1"/>
  <c r="U25" i="38" s="1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AD24" i="38" s="1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D23" i="38" s="1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AB17" i="44"/>
  <c r="AN16" i="33"/>
  <c r="AN16" i="35"/>
  <c r="AD22" i="38" s="1"/>
  <c r="AN16" i="34"/>
  <c r="AA16" i="43"/>
  <c r="AA15" i="42"/>
  <c r="AN15" i="35"/>
  <c r="AD21" i="38" s="1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D20" i="38" s="1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U23" i="38" l="1"/>
  <c r="U22" i="38"/>
  <c r="AD18" i="38"/>
  <c r="AD16" i="38"/>
  <c r="AD14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U18" i="38" l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T16" i="38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T17" i="38" s="1"/>
  <c r="AN7" i="36"/>
  <c r="AS7" i="7"/>
  <c r="AN7" i="7"/>
  <c r="AD13" i="38" s="1"/>
  <c r="B21" i="38" l="1"/>
  <c r="Y20" i="38"/>
  <c r="U13" i="38"/>
  <c r="W14" i="38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<sst xmlns="http://schemas.openxmlformats.org/spreadsheetml/2006/main" count="3343" uniqueCount="479">
  <si>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</si>
  <si>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</si>
  <si>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</si>
  <si>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</si>
  <si>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</si>
  <si>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</si>
  <si>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</si>
  <si>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</si>
  <si>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</si>
  <si>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</si>
  <si>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</si>
  <si>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</si>
  <si>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</si>
  <si>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</si>
  <si>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</si>
  <si>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</si>
  <si>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</si>
  <si>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</si>
  <si>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</si>
  <si>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</si>
  <si>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</si>
  <si>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</si>
  <si>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</si>
  <si>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</si>
  <si>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</si>
  <si>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</si>
  <si>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</si>
  <si>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</si>
  <si>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</si>
  <si>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</si>
  <si>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</si>
  <si>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</si>
  <si>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</si>
  <si>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</si>
  <si>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</si>
  <si>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</si>
  <si>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</si>
  <si>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</si>
  <si>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</si>
  <si>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</si>
  <si>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</si>
  <si>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</si>
  <si>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</si>
  <si>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</si>
  <si>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</si>
  <si>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</si>
  <si>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</si>
  <si>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</si>
  <si>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</si>
  <si>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</si>
  <si>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</si>
  <si>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</si>
  <si>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</si>
  <si>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</si>
  <si>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</si>
  <si>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</si>
  <si>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</si>
  <si>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</si>
  <si>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</si>
  <si>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</si>
  <si>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</si>
  <si>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</si>
  <si>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</si>
  <si>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</si>
  <si>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</si>
  <si>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</si>
  <si>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</si>
  <si>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</si>
  <si>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</si>
  <si>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</si>
  <si>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</si>
  <si>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</si>
  <si>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</si>
  <si>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</si>
  <si>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</si>
  <si>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</si>
  <si>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</si>
  <si>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</si>
  <si>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</si>
  <si>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</si>
  <si>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</si>
  <si>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</si>
  <si>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</si>
  <si>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</si>
  <si>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</si>
  <si>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</si>
  <si>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</si>
  <si>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</si>
  <si>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</si>
  <si>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</si>
  <si>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</si>
  <si>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</si>
  <si>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</si>
  <si>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</si>
  <si>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</si>
  <si>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</si>
  <si>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</si>
  <si>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</si>
  <si>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</si>
  <si>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</si>
  <si>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</si>
  <si>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</si>
  <si>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</si>
  <si>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</si>
  <si>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</si>
  <si>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</si>
  <si>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</si>
  <si>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</si>
  <si>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</si>
  <si>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</si>
  <si>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</si>
  <si>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</si>
  <si>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</si>
  <si>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</si>
  <si>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</si>
  <si>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</si>
  <si>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</si>
  <si>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</si>
  <si>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</si>
  <si>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</si>
  <si>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</si>
  <si>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</si>
  <si>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</si>
  <si>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</si>
  <si>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</si>
  <si>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</si>
  <si>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</si>
  <si>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</si>
  <si>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</si>
  <si>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</si>
  <si>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</si>
  <si>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</si>
  <si>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</si>
  <si>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</si>
  <si>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</si>
  <si>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</si>
  <si>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</si>
  <si>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</si>
  <si>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</si>
  <si>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</si>
  <si>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</si>
  <si>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</si>
  <si>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</si>
  <si>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</si>
  <si>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</si>
  <si>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</si>
  <si>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</si>
  <si>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</si>
  <si>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</si>
  <si>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</si>
  <si>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</si>
  <si>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</si>
  <si>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</si>
  <si>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</si>
  <si>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</si>
  <si>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</si>
  <si>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</si>
  <si>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</si>
  <si>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</si>
  <si>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</si>
  <si>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</si>
  <si>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</si>
  <si>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</si>
  <si>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</si>
  <si>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</si>
  <si>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</si>
  <si>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</si>
  <si>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</si>
  <si>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</si>
  <si>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</si>
  <si>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</si>
  <si>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</si>
  <si>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</si>
  <si>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</si>
  <si>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</si>
  <si>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</si>
  <si>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</si>
  <si>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</si>
  <si>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</si>
  <si>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</si>
  <si>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</si>
  <si>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</si>
  <si>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</si>
  <si>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</si>
  <si>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</si>
  <si>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</si>
  <si>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</si>
  <si>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</si>
  <si>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</si>
  <si>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</si>
  <si>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</si>
  <si>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</si>
  <si>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</si>
  <si>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</si>
  <si>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</si>
  <si>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</si>
  <si>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</si>
  <si>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</si>
  <si>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</si>
  <si>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</si>
  <si>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</si>
  <si>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</si>
  <si>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</si>
  <si>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</si>
  <si>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</si>
  <si>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</si>
  <si>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</si>
  <si>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</si>
  <si>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</si>
  <si>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</si>
  <si>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</si>
  <si>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</si>
  <si>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</si>
  <si>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</si>
  <si>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</si>
  <si>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</si>
  <si>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</si>
  <si>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</si>
  <si>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</si>
  <si>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</si>
  <si>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</si>
  <si>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</si>
  <si>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</si>
  <si>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</si>
  <si>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</si>
  <si>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</si>
  <si>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</si>
  <si>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</si>
  <si>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</si>
  <si>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</si>
  <si>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</si>
  <si>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</si>
  <si>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</si>
  <si>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</si>
  <si>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</si>
  <si>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</si>
  <si>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</si>
  <si>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</si>
  <si>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</si>
  <si>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</si>
  <si>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</si>
  <si>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</si>
  <si>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</si>
  <si>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</si>
  <si>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</si>
  <si>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</si>
  <si>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</si>
  <si>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</si>
  <si>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</si>
  <si>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</si>
  <si>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</si>
  <si>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</si>
  <si>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</si>
  <si>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</si>
  <si>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</si>
  <si>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</si>
  <si>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</si>
  <si>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</si>
  <si>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</si>
  <si>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</si>
  <si>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</si>
  <si>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</si>
  <si>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</si>
  <si>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</si>
  <si>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</si>
  <si>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</si>
  <si>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</si>
  <si>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</si>
  <si>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</si>
  <si>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</si>
  <si>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</si>
  <si>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</si>
  <si>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</si>
  <si>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</si>
  <si>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</si>
  <si>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</si>
  <si>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</si>
  <si>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</si>
  <si>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</si>
  <si>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</si>
  <si>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</si>
  <si>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</si>
  <si>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</si>
  <si>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</si>
  <si>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</si>
  <si>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</si>
  <si>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</si>
  <si>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</si>
  <si>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</si>
  <si>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</si>
  <si>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</si>
  <si>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</si>
  <si>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</si>
  <si>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</si>
  <si>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</si>
  <si>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</si>
  <si>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</si>
  <si>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</si>
  <si>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</si>
  <si>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</si>
  <si>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</si>
  <si>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</si>
  <si>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</si>
  <si>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</si>
  <si>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</si>
  <si>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</si>
  <si>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</si>
  <si>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</si>
  <si>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</si>
  <si>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</si>
  <si>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</si>
  <si>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</si>
  <si>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</si>
  <si>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</si>
  <si>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</si>
  <si>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</si>
  <si>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</si>
  <si>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</si>
  <si>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</si>
  <si>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</si>
  <si>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</si>
  <si>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</si>
  <si>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</si>
  <si>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</si>
  <si>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</si>
  <si>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</si>
  <si>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</si>
  <si>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</si>
  <si>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</si>
  <si>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</si>
  <si>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</si>
  <si>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</si>
  <si>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</si>
  <si>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</si>
  <si>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</si>
  <si>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</si>
  <si>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</si>
  <si>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</si>
  <si>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</si>
  <si>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</si>
  <si>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</si>
  <si>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</si>
  <si>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</si>
  <si>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</si>
  <si>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</si>
  <si>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</si>
  <si>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</si>
  <si>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</si>
  <si>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</si>
  <si>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</si>
  <si>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</si>
  <si>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</si>
  <si>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</si>
  <si>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</si>
  <si>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</si>
  <si>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</si>
  <si>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</si>
  <si>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</si>
  <si>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</si>
  <si>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</si>
  <si>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</si>
  <si>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</si>
  <si>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</si>
  <si>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</si>
  <si>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</si>
  <si>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</si>
  <si>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</si>
  <si>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</si>
  <si>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</si>
  <si>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</si>
  <si>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</si>
  <si>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</si>
  <si>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</si>
  <si>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</si>
  <si>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</si>
  <si>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</si>
  <si>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</si>
  <si>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</si>
  <si>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</si>
  <si>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</si>
  <si>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</si>
  <si>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</si>
  <si>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</si>
  <si>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</si>
  <si>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</si>
  <si>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</si>
  <si>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</si>
  <si>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</si>
  <si>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</si>
  <si>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</si>
  <si>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</si>
  <si>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</si>
  <si>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</si>
  <si>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</si>
  <si>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</si>
  <si>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</si>
  <si>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</si>
  <si>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</si>
  <si>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</si>
  <si>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</si>
  <si>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</si>
  <si>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</si>
  <si>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</si>
  <si>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</si>
  <si>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</si>
  <si>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</si>
  <si>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</si>
  <si>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</si>
  <si>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</si>
  <si>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</si>
  <si>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</si>
  <si>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</si>
  <si>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</si>
  <si>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</si>
  <si>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</si>
  <si>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</si>
  <si>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</si>
  <si>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</si>
  <si>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</si>
  <si>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</si>
  <si>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</si>
  <si>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</si>
  <si>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</si>
  <si>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</si>
  <si>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</si>
  <si>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</si>
  <si>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</si>
  <si>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</si>
  <si>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</si>
  <si>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</si>
  <si>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</si>
  <si>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</si>
  <si>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</si>
  <si>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</si>
  <si>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</si>
  <si>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</si>
  <si>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</si>
  <si>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</si>
  <si>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</si>
  <si>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</si>
  <si>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</si>
  <si>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</si>
  <si>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</si>
  <si>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</si>
  <si>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</si>
  <si>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</si>
  <si>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</si>
  <si>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</si>
  <si>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</si>
  <si>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</si>
  <si>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</si>
  <si>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</si>
  <si>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</si>
  <si>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</si>
  <si>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</si>
  <si>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</si>
  <si>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</si>
  <si>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</si>
  <si>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</si>
  <si>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</si>
  <si>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</si>
  <si>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</si>
  <si>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</si>
  <si>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</si>
  <si>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</si>
  <si>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ENSENADA </t>
  </si>
  <si>
    <t xml:space="preserve">PLAYA LA MISION </t>
  </si>
  <si>
    <t xml:space="preserve">JUNIPERO </t>
  </si>
  <si>
    <t xml:space="preserve">RESIDENCE NANCY </t>
  </si>
  <si>
    <t xml:space="preserve">NANCY NEHLSEN </t>
  </si>
  <si>
    <t>001 309 737 8501</t>
  </si>
  <si>
    <t>DOUG@PICTWO.COM</t>
  </si>
  <si>
    <t xml:space="preserve">BO BUDELLI GOLD </t>
  </si>
  <si>
    <t xml:space="preserve">LANDING WINDOW A </t>
  </si>
  <si>
    <t xml:space="preserve">LANDING WINDOW B </t>
  </si>
  <si>
    <t xml:space="preserve">BEDROOM SLD SIDE A </t>
  </si>
  <si>
    <t xml:space="preserve">BEDROOM SLD SIDE B </t>
  </si>
  <si>
    <t xml:space="preserve">BEDROOM SLD SIDE C </t>
  </si>
  <si>
    <t xml:space="preserve">BS 251025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</si>
</sst>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31394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0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4" fillId="0" borderId="0" xfId="0" applyFont="1"/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UG@PICTWO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45955</v>
      </c>
      <c r="J5" s="288"/>
      <c r="K5" s="288"/>
      <c r="L5" s="288"/>
      <c r="M5" s="289" t="str">
        <f>IF('CALCULATOR SHEET'!W2=1,"DOCUMENT #","DOCUMENTO #")</f>
        <v>DOCUMENT #</v>
      </c>
      <c r="N5" s="365" t="str">
        <f>IF('CALCULATOR SHEET'!T5&lt;&gt;"",'CALCULATOR SHEET'!T5,"")</f>
        <v xml:space="preserve">BS 251025 A </v>
      </c>
      <c r="O5" s="365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RESIDENCE NANCY </v>
      </c>
      <c r="J7" s="366" t="str">
        <f>IF('CALCULATOR SHEET'!H8&lt;&gt;"","Calle: "&amp;'CALCULATOR SHEET'!H10&amp;", Numero: "&amp;'CALCULATOR SHEET'!H11,"")</f>
        <v>Calle: JUNIPERO , Numero: 205</v>
      </c>
      <c r="K7" s="366"/>
      <c r="L7" s="366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6" t="str">
        <f>IF('CALCULATOR SHEET'!H9&lt;&gt;"","Frac: "&amp;'CALCULATOR SHEET'!H9&amp;" - "&amp;'CALCULATOR SHEET'!H8,"")</f>
        <v xml:space="preserve">Frac: PLAYA LA MISION  - ENSENADA </v>
      </c>
      <c r="K8" s="366"/>
      <c r="L8" s="366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NANCY NEHLSEN </v>
      </c>
      <c r="J10" s="366" t="str">
        <f>IF('CALCULATOR SHEET'!K11&lt;&gt;"",'CALCULATOR SHEET'!$K$11&amp;" Cell: "&amp;'CALCULATOR SHEET'!K10,"")</f>
        <v>DOUG@PICTWO.COM Cell: 001 309 737 8501</v>
      </c>
      <c r="K10" s="366"/>
      <c r="L10" s="366"/>
      <c r="N10" s="366" t="str">
        <f>IF('CALCULATOR SHEET'!S70&lt;&gt;"",'CALCULATOR SHEET'!S70,"")</f>
        <v xml:space="preserve">RICARDO GARCIA </v>
      </c>
      <c r="O10" s="366"/>
      <c r="P10" s="366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5</v>
      </c>
      <c r="G14" s="170" t="str">
        <f>IF('CALCULATOR SHEET'!G13&lt;&gt;"",'CALCULATOR SHEET'!G13,"")</f>
        <v xml:space="preserve">BO BUDELLI GOLD </v>
      </c>
      <c r="H14" s="170" t="str">
        <f>IF('CALCULATOR SHEET'!H13&lt;&gt;"",'CALCULATOR SHEET'!H13,"")</f>
        <v xml:space="preserve">LANDING WINDOW A </v>
      </c>
      <c r="I14" s="171">
        <f>IF(E14&lt;&gt;"",'CALCULATOR SHEET'!I13,"")</f>
        <v>49.625</v>
      </c>
      <c r="J14" s="171">
        <f>IF(I14&lt;&gt;"",'CALCULATOR SHEET'!J13,"")</f>
        <v>82</v>
      </c>
      <c r="K14" s="169" t="str">
        <f>IF('CALCULATOR SHEET'!K13&lt;&gt;"",IF('CALCULATOR SHEET'!$W$2=1,'CALCULATOR SHEET'!K13,VLOOKUP('CALCULATOR SHEET'!K13,GENERAL!$H$6:$I$11,2,0)),"")</f>
        <v>PLASTIC CHAIN WHITE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201</v>
      </c>
      <c r="O14" s="164"/>
      <c r="P14" s="167">
        <f>IF(D14&lt;&gt;"",N14*D14,"")</f>
        <v>201</v>
      </c>
      <c r="Q14" s="194"/>
      <c r="R14" s="64" t="s">
        <v>200</v>
      </c>
      <c r="T14" s="160">
        <f>IF('CALCULATOR SHEET'!$T$58="PESOS",'CALCULATOR SHEET'!S13*'CALCULATOR SHEET'!$W$6,'CALCULATOR SHEET'!S13)</f>
        <v>201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5</v>
      </c>
      <c r="G15" s="175" t="str">
        <f>IF('CALCULATOR SHEET'!G14&lt;&gt;"",'CALCULATOR SHEET'!G14,"")</f>
        <v xml:space="preserve">BO BUDELLI GOLD </v>
      </c>
      <c r="H15" s="175" t="str">
        <f>IF('CALCULATOR SHEET'!H14&lt;&gt;"",'CALCULATOR SHEET'!H14,"")</f>
        <v xml:space="preserve">LANDING WINDOW B </v>
      </c>
      <c r="I15" s="176">
        <f>IF(E15&lt;&gt;"",'CALCULATOR SHEET'!I14,"")</f>
        <v>51.5</v>
      </c>
      <c r="J15" s="176">
        <f>IF(I15&lt;&gt;"",'CALCULATOR SHEET'!J14,"")</f>
        <v>82</v>
      </c>
      <c r="K15" s="169" t="str">
        <f>IF('CALCULATOR SHEET'!K14&lt;&gt;"",IF('CALCULATOR SHEET'!$W$2=1,'CALCULATOR SHEET'!K14,VLOOKUP('CALCULATOR SHEET'!K14,GENERAL!$H$6:$I$11,2,0)),"")</f>
        <v>PLASTIC CHAIN WHITE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201</v>
      </c>
      <c r="O15" s="165"/>
      <c r="P15" s="166">
        <f>IF(D15&lt;&gt;"",N15*D15,"")</f>
        <v>201</v>
      </c>
      <c r="Q15" s="195"/>
      <c r="R15" s="64" t="s">
        <v>200</v>
      </c>
      <c r="T15" s="160">
        <f>IF('CALCULATOR SHEET'!$T$58="PESOS",'CALCULATOR SHEET'!S14*'CALCULATOR SHEET'!$W$6,'CALCULATOR SHEET'!S14)</f>
        <v>201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5</v>
      </c>
      <c r="G16" s="175" t="str">
        <f>IF('CALCULATOR SHEET'!G15&lt;&gt;"",'CALCULATOR SHEET'!G15,"")</f>
        <v xml:space="preserve">BO BUDELLI GOLD </v>
      </c>
      <c r="H16" s="175" t="str">
        <f>IF('CALCULATOR SHEET'!H15&lt;&gt;"",'CALCULATOR SHEET'!H15,"")</f>
        <v xml:space="preserve">BEDROOM SLD SIDE A </v>
      </c>
      <c r="I16" s="176">
        <f>IF(E16&lt;&gt;"",'CALCULATOR SHEET'!I15,"")</f>
        <v>44</v>
      </c>
      <c r="J16" s="176">
        <f>IF(I16&lt;&gt;"",'CALCULATOR SHEET'!J15,"")</f>
        <v>89</v>
      </c>
      <c r="K16" s="169" t="str">
        <f>IF('CALCULATOR SHEET'!K15&lt;&gt;"",IF('CALCULATOR SHEET'!$W$2=1,'CALCULATOR SHEET'!K15,VLOOKUP('CALCULATOR SHEET'!K15,GENERAL!$H$6:$I$11,2,0)),"")</f>
        <v>PLASTIC CHAIN WHITE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192</v>
      </c>
      <c r="O16" s="165"/>
      <c r="P16" s="166">
        <f t="shared" ref="P16:P53" si="1">IF(D16&lt;&gt;"",N16*D16,"")</f>
        <v>192</v>
      </c>
      <c r="Q16" s="195"/>
      <c r="R16" s="64" t="s">
        <v>200</v>
      </c>
      <c r="T16" s="160">
        <f>IF('CALCULATOR SHEET'!$T$58="PESOS",'CALCULATOR SHEET'!S15*'CALCULATOR SHEET'!$W$6,'CALCULATOR SHEET'!S15)</f>
        <v>192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5</v>
      </c>
      <c r="G17" s="175" t="str">
        <f>IF('CALCULATOR SHEET'!G16&lt;&gt;"",'CALCULATOR SHEET'!G16,"")</f>
        <v xml:space="preserve">BO BUDELLI GOLD </v>
      </c>
      <c r="H17" s="175" t="str">
        <f>IF('CALCULATOR SHEET'!H16&lt;&gt;"",'CALCULATOR SHEET'!H16,"")</f>
        <v xml:space="preserve">BEDROOM SLD SIDE B </v>
      </c>
      <c r="I17" s="176">
        <f>IF(E17&lt;&gt;"",'CALCULATOR SHEET'!I16,"")</f>
        <v>46.25</v>
      </c>
      <c r="J17" s="176">
        <f>IF(I17&lt;&gt;"",'CALCULATOR SHEET'!J16,"")</f>
        <v>89</v>
      </c>
      <c r="K17" s="169" t="str">
        <f>IF('CALCULATOR SHEET'!K16&lt;&gt;"",IF('CALCULATOR SHEET'!$W$2=1,'CALCULATOR SHEET'!K16,VLOOKUP('CALCULATOR SHEET'!K16,GENERAL!$H$6:$I$11,2,0)),"")</f>
        <v>PLASTIC CHAIN WHITE</v>
      </c>
      <c r="L17" s="174" t="str">
        <f>IF('CALCULATOR SHEET'!M16&lt;&gt;"",'CALCULATOR SHEET'!M16,"")</f>
        <v>L</v>
      </c>
      <c r="M17" s="174" t="str">
        <f>IF(E17&lt;&gt;"",IF(OR('CALCULATOR SHEET'!P16&lt;&gt;"NO",'CALCULATOR SHEET'!Q16&lt;&gt;"NO"),"YES",""),"")</f>
        <v/>
      </c>
      <c r="N17" s="177">
        <f t="shared" si="0"/>
        <v>192</v>
      </c>
      <c r="O17" s="165"/>
      <c r="P17" s="166">
        <f t="shared" si="1"/>
        <v>192</v>
      </c>
      <c r="Q17" s="195"/>
      <c r="R17" s="64" t="s">
        <v>200</v>
      </c>
      <c r="T17" s="160">
        <f>IF('CALCULATOR SHEET'!$T$58="PESOS",'CALCULATOR SHEET'!S16*'CALCULATOR SHEET'!$W$6,'CALCULATOR SHEET'!S16)</f>
        <v>192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5</v>
      </c>
      <c r="G18" s="175" t="str">
        <f>IF('CALCULATOR SHEET'!G17&lt;&gt;"",'CALCULATOR SHEET'!G17,"")</f>
        <v xml:space="preserve">BO BUDELLI GOLD </v>
      </c>
      <c r="H18" s="175" t="str">
        <f>IF('CALCULATOR SHEET'!H17&lt;&gt;"",'CALCULATOR SHEET'!H17,"")</f>
        <v xml:space="preserve">BEDROOM SLD SIDE C </v>
      </c>
      <c r="I18" s="176">
        <f>IF(E18&lt;&gt;"",'CALCULATOR SHEET'!I17,"")</f>
        <v>45.25</v>
      </c>
      <c r="J18" s="176">
        <f>IF(I18&lt;&gt;"",'CALCULATOR SHEET'!J17,"")</f>
        <v>89</v>
      </c>
      <c r="K18" s="169" t="str">
        <f>IF('CALCULATOR SHEET'!K17&lt;&gt;"",IF('CALCULATOR SHEET'!$W$2=1,'CALCULATOR SHEET'!K17,VLOOKUP('CALCULATOR SHEET'!K17,GENERAL!$H$6:$I$11,2,0)),"")</f>
        <v>PLASTIC CHAIN WHITE</v>
      </c>
      <c r="L18" s="174" t="str">
        <f>IF('CALCULATOR SHEET'!M17&lt;&gt;"",'CALCULATOR SHEET'!M17,"")</f>
        <v>R</v>
      </c>
      <c r="M18" s="174" t="str">
        <f>IF(E18&lt;&gt;"",IF(OR('CALCULATOR SHEET'!P17&lt;&gt;"NO",'CALCULATOR SHEET'!Q17&lt;&gt;"NO"),"YES",""),"")</f>
        <v/>
      </c>
      <c r="N18" s="177">
        <f t="shared" si="0"/>
        <v>192</v>
      </c>
      <c r="O18" s="165"/>
      <c r="P18" s="166">
        <f t="shared" si="1"/>
        <v>192</v>
      </c>
      <c r="Q18" s="195"/>
      <c r="R18" s="64" t="s">
        <v>200</v>
      </c>
      <c r="T18" s="160">
        <f>IF('CALCULATOR SHEET'!$T$58="PESOS",'CALCULATOR SHEET'!S17*'CALCULATOR SHEET'!$W$6,'CALCULATOR SHEET'!S17)</f>
        <v>192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978</v>
      </c>
      <c r="Q62" s="188"/>
      <c r="X62" s="163" t="str">
        <f>IF('CALCULATOR SHEET'!$W$2=1,GENERAL!Q35,GENERAL!S35)</f>
        <v>SUB TOTAL</v>
      </c>
      <c r="Y62" s="222">
        <f>P62</f>
        <v>978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293.39999999999998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684.6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684.6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684.6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684.6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684.6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49.625</v>
      </c>
      <c r="AK7" s="53">
        <f>'CALCULATOR SHEET'!J13</f>
        <v>82</v>
      </c>
      <c r="AL7" s="53">
        <f>IF(AJ7=0,"",MATCH(CEILING(AJ7,6),$D$4:$Z$4,0))</f>
        <v>6</v>
      </c>
      <c r="AM7" s="53">
        <f>IF(AK7=0,"",MATCH(CEILING(AK7,6),$C$7:$C$28,0))</f>
        <v>11</v>
      </c>
      <c r="AN7" s="54">
        <f>IF(AL7="","",INDEX($D$7:$Z$28,AM7,AL7))</f>
        <v>170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51.5</v>
      </c>
      <c r="AK8" s="53">
        <f>'CALCULATOR SHEET'!J14</f>
        <v>82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11</v>
      </c>
      <c r="AN8" s="54">
        <f t="shared" ref="AN8:AN71" si="2">IF(AL8="","",INDEX($D$7:$Z$28,AM8,AL8))</f>
        <v>170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44</v>
      </c>
      <c r="AK9" s="53">
        <f>'CALCULATOR SHEET'!J15</f>
        <v>89</v>
      </c>
      <c r="AL9" s="53">
        <f t="shared" si="0"/>
        <v>5</v>
      </c>
      <c r="AM9" s="53">
        <f t="shared" si="1"/>
        <v>12</v>
      </c>
      <c r="AN9" s="54">
        <f t="shared" si="2"/>
        <v>162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46.25</v>
      </c>
      <c r="AK10" s="53">
        <f>'CALCULATOR SHEET'!J16</f>
        <v>89</v>
      </c>
      <c r="AL10" s="53">
        <f t="shared" si="0"/>
        <v>5</v>
      </c>
      <c r="AM10" s="53">
        <f t="shared" si="1"/>
        <v>12</v>
      </c>
      <c r="AN10" s="54">
        <f t="shared" si="2"/>
        <v>162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45.25</v>
      </c>
      <c r="AK11" s="53">
        <f>'CALCULATOR SHEET'!J17</f>
        <v>89</v>
      </c>
      <c r="AL11" s="53">
        <f t="shared" si="0"/>
        <v>5</v>
      </c>
      <c r="AM11" s="53">
        <f t="shared" si="1"/>
        <v>12</v>
      </c>
      <c r="AN11" s="54">
        <f t="shared" si="2"/>
        <v>162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49.625</v>
      </c>
      <c r="AK7" s="53">
        <f>'CALCULATOR SHEET'!J13</f>
        <v>82</v>
      </c>
      <c r="AL7" s="53">
        <f t="shared" ref="AL7:AL70" si="0">IF(AJ7=0,"",MATCH(CEILING(AJ7,6),$D$4:$Z$4,0))</f>
        <v>6</v>
      </c>
      <c r="AM7" s="53">
        <f>IF(AK7=0,"",MATCH(CEILING(AK7,6),$C$7:$C$28,0))</f>
        <v>11</v>
      </c>
      <c r="AN7" s="54">
        <f t="shared" ref="AN7:AN70" si="1">IF(AL7="","",INDEX($D$7:$Z$28,AM7,AL7))</f>
        <v>201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51.5</v>
      </c>
      <c r="AK8" s="53">
        <f>'CALCULATOR SHEET'!J14</f>
        <v>82</v>
      </c>
      <c r="AL8" s="53">
        <f t="shared" si="0"/>
        <v>6</v>
      </c>
      <c r="AM8" s="53">
        <f t="shared" ref="AM8:AM71" si="2">IF(AK8=0,"",MATCH(CEILING(AK8,6),$C$7:$C$28,0))</f>
        <v>11</v>
      </c>
      <c r="AN8" s="54">
        <f t="shared" si="1"/>
        <v>201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44</v>
      </c>
      <c r="AK9" s="53">
        <f>'CALCULATOR SHEET'!J15</f>
        <v>89</v>
      </c>
      <c r="AL9" s="53">
        <f t="shared" si="0"/>
        <v>5</v>
      </c>
      <c r="AM9" s="53">
        <f t="shared" si="2"/>
        <v>12</v>
      </c>
      <c r="AN9" s="54">
        <f t="shared" si="1"/>
        <v>192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46.25</v>
      </c>
      <c r="AK10" s="53">
        <f>'CALCULATOR SHEET'!J16</f>
        <v>89</v>
      </c>
      <c r="AL10" s="53">
        <f t="shared" si="0"/>
        <v>5</v>
      </c>
      <c r="AM10" s="53">
        <f t="shared" si="2"/>
        <v>12</v>
      </c>
      <c r="AN10" s="54">
        <f t="shared" si="1"/>
        <v>192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45.25</v>
      </c>
      <c r="AK11" s="53">
        <f>'CALCULATOR SHEET'!J17</f>
        <v>89</v>
      </c>
      <c r="AL11" s="53">
        <f t="shared" si="0"/>
        <v>5</v>
      </c>
      <c r="AM11" s="53">
        <f t="shared" si="2"/>
        <v>12</v>
      </c>
      <c r="AN11" s="54">
        <f t="shared" si="1"/>
        <v>192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49.625</v>
      </c>
      <c r="AK7" s="53">
        <f>'CALCULATOR SHEET'!J13</f>
        <v>82</v>
      </c>
      <c r="AL7" s="53">
        <f>IF(AJ7=0,"",MATCH(CEILING(AJ7,6),$D$4:$Z$4,0))</f>
        <v>6</v>
      </c>
      <c r="AM7" s="53">
        <f>IF(AK7=0,"",MATCH(CEILING(AK7,6),$C$7:$C$28,0))</f>
        <v>11</v>
      </c>
      <c r="AN7" s="54">
        <f>IF(AL7="","",INDEX($D$7:$Z$28,AM7,AL7))</f>
        <v>207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51.5</v>
      </c>
      <c r="AK8" s="53">
        <f>'CALCULATOR SHEET'!J14</f>
        <v>82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11</v>
      </c>
      <c r="AN8" s="54">
        <f t="shared" ref="AN8:AN71" si="2">IF(AL8="","",INDEX($D$7:$Z$28,AM8,AL8))</f>
        <v>207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44</v>
      </c>
      <c r="AK9" s="53">
        <f>'CALCULATOR SHEET'!J15</f>
        <v>89</v>
      </c>
      <c r="AL9" s="53">
        <f t="shared" si="0"/>
        <v>5</v>
      </c>
      <c r="AM9" s="53">
        <f t="shared" si="1"/>
        <v>12</v>
      </c>
      <c r="AN9" s="54">
        <f t="shared" si="2"/>
        <v>197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46.25</v>
      </c>
      <c r="AK10" s="53">
        <f>'CALCULATOR SHEET'!J16</f>
        <v>89</v>
      </c>
      <c r="AL10" s="53">
        <f t="shared" si="0"/>
        <v>5</v>
      </c>
      <c r="AM10" s="53">
        <f t="shared" si="1"/>
        <v>12</v>
      </c>
      <c r="AN10" s="54">
        <f t="shared" si="2"/>
        <v>197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45.25</v>
      </c>
      <c r="AK11" s="53">
        <f>'CALCULATOR SHEET'!J17</f>
        <v>89</v>
      </c>
      <c r="AL11" s="53">
        <f t="shared" si="0"/>
        <v>5</v>
      </c>
      <c r="AM11" s="53">
        <f t="shared" si="1"/>
        <v>12</v>
      </c>
      <c r="AN11" s="54">
        <f t="shared" si="2"/>
        <v>197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49.625</v>
      </c>
      <c r="AK7" s="53">
        <f>'CALCULATOR SHEET'!J13</f>
        <v>82</v>
      </c>
      <c r="AL7" s="53">
        <f>IF(AJ7=0,"",MATCH(CEILING(AJ7,6),$D$4:$Z$4,0))</f>
        <v>6</v>
      </c>
      <c r="AM7" s="53">
        <f>IF(AK7=0,"",MATCH(CEILING(AK7,6),$C$7:$C$28,0))</f>
        <v>11</v>
      </c>
      <c r="AN7" s="54">
        <f>IF(AL7="","",INDEX($D$7:$Z$28,AM7,AL7))</f>
        <v>245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51.5</v>
      </c>
      <c r="AK8" s="53">
        <f>'CALCULATOR SHEET'!J14</f>
        <v>82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11</v>
      </c>
      <c r="AN8" s="54">
        <f t="shared" ref="AN8:AN71" si="2">IF(AL8="","",INDEX($D$7:$Z$28,AM8,AL8))</f>
        <v>245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44</v>
      </c>
      <c r="AK9" s="53">
        <f>'CALCULATOR SHEET'!J15</f>
        <v>89</v>
      </c>
      <c r="AL9" s="53">
        <f t="shared" si="0"/>
        <v>5</v>
      </c>
      <c r="AM9" s="53">
        <f t="shared" si="1"/>
        <v>12</v>
      </c>
      <c r="AN9" s="54">
        <f t="shared" si="2"/>
        <v>233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46.25</v>
      </c>
      <c r="AK10" s="53">
        <f>'CALCULATOR SHEET'!J16</f>
        <v>89</v>
      </c>
      <c r="AL10" s="53">
        <f t="shared" si="0"/>
        <v>5</v>
      </c>
      <c r="AM10" s="53">
        <f t="shared" si="1"/>
        <v>12</v>
      </c>
      <c r="AN10" s="54">
        <f t="shared" si="2"/>
        <v>233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45.25</v>
      </c>
      <c r="AK11" s="53">
        <f>'CALCULATOR SHEET'!J17</f>
        <v>89</v>
      </c>
      <c r="AL11" s="53">
        <f t="shared" si="0"/>
        <v>5</v>
      </c>
      <c r="AM11" s="53">
        <f t="shared" si="1"/>
        <v>12</v>
      </c>
      <c r="AN11" s="54">
        <f t="shared" si="2"/>
        <v>233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49.625</v>
      </c>
      <c r="AK7" s="53">
        <f>'CALCULATOR SHEET'!J13</f>
        <v>82</v>
      </c>
      <c r="AL7" s="53">
        <f>IF(AJ7=0,"",MATCH(CEILING(AJ7,6),$D$4:$Z$4,0))</f>
        <v>6</v>
      </c>
      <c r="AM7" s="53">
        <f>IF(AK7=0,"",MATCH(CEILING(AK7,6),$C$7:$C$28,0))</f>
        <v>11</v>
      </c>
      <c r="AN7" s="54">
        <f>IF(AL7="","",INDEX($D$7:$Z$28,AM7,AL7))</f>
        <v>279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51.5</v>
      </c>
      <c r="AK8" s="53">
        <f>'CALCULATOR SHEET'!J14</f>
        <v>82</v>
      </c>
      <c r="AL8" s="53">
        <f t="shared" ref="AL8:AL71" si="1">IF(AJ8=0,"",MATCH(CEILING(AJ8,6),$D$4:$Z$4,0))</f>
        <v>6</v>
      </c>
      <c r="AM8" s="53">
        <f t="shared" ref="AM8:AM71" si="2">IF(AK8=0,"",MATCH(CEILING(AK8,6),$C$7:$C$28,0))</f>
        <v>11</v>
      </c>
      <c r="AN8" s="54">
        <f t="shared" ref="AN8:AN71" si="3">IF(AL8="","",INDEX($D$7:$Z$28,AM8,AL8))</f>
        <v>279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44</v>
      </c>
      <c r="AK9" s="53">
        <f>'CALCULATOR SHEET'!J15</f>
        <v>89</v>
      </c>
      <c r="AL9" s="53">
        <f>IF(AJ9=0,"",MATCH(CEILING(AJ9,6),$D$4:$Z$4,0))</f>
        <v>5</v>
      </c>
      <c r="AM9" s="53">
        <f t="shared" si="2"/>
        <v>12</v>
      </c>
      <c r="AN9" s="54">
        <f t="shared" si="3"/>
        <v>266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46.25</v>
      </c>
      <c r="AK10" s="53">
        <f>'CALCULATOR SHEET'!J16</f>
        <v>89</v>
      </c>
      <c r="AL10" s="53">
        <f t="shared" si="1"/>
        <v>5</v>
      </c>
      <c r="AM10" s="53">
        <f t="shared" si="2"/>
        <v>12</v>
      </c>
      <c r="AN10" s="54">
        <f t="shared" si="3"/>
        <v>266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45.25</v>
      </c>
      <c r="AK11" s="53">
        <f>'CALCULATOR SHEET'!J17</f>
        <v>89</v>
      </c>
      <c r="AL11" s="53">
        <f t="shared" si="1"/>
        <v>5</v>
      </c>
      <c r="AM11" s="53">
        <f t="shared" si="2"/>
        <v>12</v>
      </c>
      <c r="AN11" s="54">
        <f t="shared" si="3"/>
        <v>266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4" t="s">
        <v>298</v>
      </c>
      <c r="N1" s="384"/>
      <c r="O1" s="384"/>
      <c r="P1" s="384"/>
      <c r="Q1" s="384"/>
      <c r="R1" s="384"/>
      <c r="S1" s="384"/>
      <c r="T1" s="384"/>
      <c r="W1" s="24" t="s">
        <v>4</v>
      </c>
      <c r="X1" s="382">
        <v>44656</v>
      </c>
      <c r="Y1" s="382"/>
      <c r="AF1" s="8"/>
      <c r="AG1" s="8"/>
    </row>
    <row r="2" spans="1:93" s="1" customFormat="1" ht="18" customHeight="1">
      <c r="E2" s="20"/>
      <c r="M2" s="384"/>
      <c r="N2" s="384"/>
      <c r="O2" s="384"/>
      <c r="P2" s="384"/>
      <c r="Q2" s="384"/>
      <c r="R2" s="384"/>
      <c r="S2" s="384"/>
      <c r="T2" s="384"/>
      <c r="W2" s="25"/>
      <c r="AF2" s="8"/>
      <c r="AG2" s="8"/>
    </row>
    <row r="3" spans="1:93" s="1" customFormat="1" ht="18" customHeight="1" thickBot="1">
      <c r="E3" s="15"/>
      <c r="M3" s="385"/>
      <c r="N3" s="385"/>
      <c r="O3" s="385"/>
      <c r="P3" s="385"/>
      <c r="Q3" s="385"/>
      <c r="R3" s="385"/>
      <c r="S3" s="385"/>
      <c r="T3" s="385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49.625</v>
      </c>
      <c r="AK7" s="53">
        <f>'CALCULATOR SHEET'!J13</f>
        <v>82</v>
      </c>
      <c r="AL7" s="53">
        <f>IF(AJ7=0,"",MATCH(CEILING(AJ7,6),$D$4:$Z$4,0))</f>
        <v>6</v>
      </c>
      <c r="AM7" s="53">
        <f>IF(AK7=0,"",MATCH(CEILING(AK7,6),$C$7:$C$28,0))</f>
        <v>11</v>
      </c>
      <c r="AN7" s="54">
        <f>IF(AL7="","",INDEX($D$7:$Z$28,AM7,AL7))</f>
        <v>350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51.5</v>
      </c>
      <c r="AK8" s="53">
        <f>'CALCULATOR SHEET'!J14</f>
        <v>82</v>
      </c>
      <c r="AL8" s="53">
        <f t="shared" ref="AL8:AL71" si="17">IF(AJ8=0,"",MATCH(CEILING(AJ8,6),$D$4:$Z$4,0))</f>
        <v>6</v>
      </c>
      <c r="AM8" s="53">
        <f t="shared" ref="AM8:AM71" si="18">IF(AK8=0,"",MATCH(CEILING(AK8,6),$C$7:$C$28,0))</f>
        <v>11</v>
      </c>
      <c r="AN8" s="54">
        <f t="shared" ref="AN8:AN71" si="19">IF(AL8="","",INDEX($D$7:$Z$28,AM8,AL8))</f>
        <v>350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44</v>
      </c>
      <c r="AK9" s="53">
        <f>'CALCULATOR SHEET'!J15</f>
        <v>89</v>
      </c>
      <c r="AL9" s="53">
        <f t="shared" si="17"/>
        <v>5</v>
      </c>
      <c r="AM9" s="53">
        <f t="shared" si="18"/>
        <v>12</v>
      </c>
      <c r="AN9" s="54">
        <f t="shared" si="19"/>
        <v>333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46.25</v>
      </c>
      <c r="AK10" s="53">
        <f>'CALCULATOR SHEET'!J16</f>
        <v>89</v>
      </c>
      <c r="AL10" s="53">
        <f t="shared" si="17"/>
        <v>5</v>
      </c>
      <c r="AM10" s="53">
        <f t="shared" si="18"/>
        <v>12</v>
      </c>
      <c r="AN10" s="54">
        <f t="shared" si="19"/>
        <v>333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45.25</v>
      </c>
      <c r="AK11" s="53">
        <f>'CALCULATOR SHEET'!J17</f>
        <v>89</v>
      </c>
      <c r="AL11" s="53">
        <f t="shared" si="17"/>
        <v>5</v>
      </c>
      <c r="AM11" s="53">
        <f t="shared" si="18"/>
        <v>12</v>
      </c>
      <c r="AN11" s="54">
        <f t="shared" si="19"/>
        <v>333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6" t="s">
        <v>216</v>
      </c>
      <c r="V7" s="147"/>
      <c r="W7" s="147" t="str">
        <f>'CALCULATOR SHEET'!E13</f>
        <v>GROUP 5</v>
      </c>
      <c r="X7" s="1">
        <v>1</v>
      </c>
      <c r="Y7" s="7">
        <f>'CALCULATOR SHEET'!I13</f>
        <v>49.625</v>
      </c>
      <c r="Z7" s="7">
        <f>'CALCULATOR SHEET'!J13</f>
        <v>82</v>
      </c>
      <c r="AA7" s="7">
        <f>IF(Y7=0,"",MATCH(CEILING(Y7,6),$C$7:$R$7,0))</f>
        <v>5</v>
      </c>
      <c r="AB7" s="7">
        <f>IF(Z7=0,"",MATCH(CEILING(Z7,6),$B$10:$B$26,0))</f>
        <v>9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210</v>
      </c>
      <c r="AF7" s="13">
        <f>IF(Y7&gt;0,HLOOKUP(AA7,$C$29:$R$30,2,FALSE),"")</f>
        <v>0</v>
      </c>
    </row>
    <row r="8" spans="2:32" ht="15.75">
      <c r="U8" s="386"/>
      <c r="V8" s="147"/>
      <c r="W8" s="147" t="str">
        <f>'CALCULATOR SHEET'!E14</f>
        <v>GROUP 5</v>
      </c>
      <c r="X8" s="1">
        <f>+X7+1</f>
        <v>2</v>
      </c>
      <c r="Y8" s="7">
        <f>'CALCULATOR SHEET'!I14</f>
        <v>51.5</v>
      </c>
      <c r="Z8" s="7">
        <f>'CALCULATOR SHEET'!J14</f>
        <v>82</v>
      </c>
      <c r="AA8" s="7">
        <f t="shared" ref="AA8:AA28" si="1">IF(Y8=0,"",MATCH(CEILING(Y8,6),$C$7:$R$7,0))</f>
        <v>5</v>
      </c>
      <c r="AB8" s="7">
        <f t="shared" ref="AB8:AB28" si="2">IF(Z8=0,"",MATCH(CEILING(Z8,6),$B$10:$B$26,0))</f>
        <v>9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210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5</v>
      </c>
      <c r="X9" s="1">
        <f t="shared" ref="X9:X28" si="6">+X8+1</f>
        <v>3</v>
      </c>
      <c r="Y9" s="7">
        <f>'CALCULATOR SHEET'!I15</f>
        <v>44</v>
      </c>
      <c r="Z9" s="7">
        <f>'CALCULATOR SHEET'!J15</f>
        <v>89</v>
      </c>
      <c r="AA9" s="7">
        <f t="shared" si="1"/>
        <v>4</v>
      </c>
      <c r="AB9" s="7">
        <f t="shared" si="2"/>
        <v>10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211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5</v>
      </c>
      <c r="X10" s="1">
        <f t="shared" si="6"/>
        <v>4</v>
      </c>
      <c r="Y10" s="7">
        <f>'CALCULATOR SHEET'!I16</f>
        <v>46.25</v>
      </c>
      <c r="Z10" s="7">
        <f>'CALCULATOR SHEET'!J16</f>
        <v>89</v>
      </c>
      <c r="AA10" s="7">
        <f t="shared" si="1"/>
        <v>4</v>
      </c>
      <c r="AB10" s="7">
        <f t="shared" si="2"/>
        <v>10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211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5</v>
      </c>
      <c r="X11" s="1">
        <f t="shared" si="6"/>
        <v>5</v>
      </c>
      <c r="Y11" s="7">
        <f>'CALCULATOR SHEET'!I17</f>
        <v>45.25</v>
      </c>
      <c r="Z11" s="7">
        <f>'CALCULATOR SHEET'!J17</f>
        <v>89</v>
      </c>
      <c r="AA11" s="7">
        <f t="shared" si="1"/>
        <v>4</v>
      </c>
      <c r="AB11" s="7">
        <f t="shared" si="2"/>
        <v>10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211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49.625</v>
      </c>
      <c r="W7" s="7">
        <f>'CALCULATOR SHEET'!J13</f>
        <v>82</v>
      </c>
      <c r="X7" s="7">
        <f>IF(V7=0,"",MATCH(CEILING(V7,6),$C$8:$Q$8,0))</f>
        <v>6</v>
      </c>
      <c r="Y7" s="7">
        <f>IF(W7=0,"",MATCH(CEILING(W7,6),$B$10:$B$26,0))</f>
        <v>11</v>
      </c>
      <c r="Z7" s="146">
        <f>IF(X7="","",INDEX($C$12:$Q$26,Y7,X7))</f>
        <v>276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51.5</v>
      </c>
      <c r="W8" s="7">
        <f>'CALCULATOR SHEET'!J14</f>
        <v>82</v>
      </c>
      <c r="X8" s="7">
        <f t="shared" ref="X8:X73" si="0">IF(V8=0,"",MATCH(CEILING(V8,6),$C$8:$Q$8,0))</f>
        <v>6</v>
      </c>
      <c r="Y8" s="7">
        <f t="shared" ref="Y8:Y71" si="1">IF(W8=0,"",MATCH(CEILING(W8,6),$B$10:$B$26,0))</f>
        <v>11</v>
      </c>
      <c r="Z8" s="146">
        <f>IF(X8="","",INDEX($C$12:$Q$26,Y8,X8))</f>
        <v>276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44</v>
      </c>
      <c r="W9" s="7">
        <f>'CALCULATOR SHEET'!J15</f>
        <v>89</v>
      </c>
      <c r="X9" s="7">
        <f t="shared" si="0"/>
        <v>5</v>
      </c>
      <c r="Y9" s="7">
        <f t="shared" si="1"/>
        <v>12</v>
      </c>
      <c r="Z9" s="146">
        <f>IF(X9="","",INDEX($C$12:$Q$26,Y9,X9))</f>
        <v>263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46.25</v>
      </c>
      <c r="W12" s="7">
        <f>'CALCULATOR SHEET'!J16</f>
        <v>89</v>
      </c>
      <c r="X12" s="7">
        <f t="shared" si="0"/>
        <v>5</v>
      </c>
      <c r="Y12" s="7">
        <f t="shared" si="1"/>
        <v>12</v>
      </c>
      <c r="Z12" s="146">
        <f t="shared" ref="Z12:Z43" si="3">IF(X12="","",INDEX($C$12:$Q$26,Y12,X12))</f>
        <v>263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45.25</v>
      </c>
      <c r="W13" s="7">
        <f>'CALCULATOR SHEET'!J17</f>
        <v>89</v>
      </c>
      <c r="X13" s="7">
        <f t="shared" si="0"/>
        <v>5</v>
      </c>
      <c r="Y13" s="7">
        <f t="shared" si="1"/>
        <v>12</v>
      </c>
      <c r="Z13" s="146">
        <f t="shared" si="3"/>
        <v>263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7" t="s">
        <v>14</v>
      </c>
      <c r="J3" s="387"/>
      <c r="K3" s="387"/>
      <c r="L3" s="387"/>
      <c r="R3" s="34" t="s">
        <v>436</v>
      </c>
    </row>
    <row r="4" spans="2:29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6" t="s">
        <v>72</v>
      </c>
      <c r="U7" s="147"/>
      <c r="V7" s="1">
        <v>1</v>
      </c>
      <c r="W7" s="7">
        <f>'CALCULATOR SHEET'!I13</f>
        <v>49.625</v>
      </c>
      <c r="X7" s="7">
        <f>'CALCULATOR SHEET'!J13</f>
        <v>82</v>
      </c>
      <c r="Y7" s="7">
        <f>IF(W7=0,"",MATCH(CEILING(W7,6),$C$7:$Q$7,0))</f>
        <v>6</v>
      </c>
      <c r="Z7" s="7">
        <f>IF(X7=0,"",MATCH(CEILING(X7,6),$B$10:$B$26,0))</f>
        <v>11</v>
      </c>
      <c r="AA7" s="146">
        <f>IF(Y7="","",INDEX($C$10:$Q$26,Z7,Y7))</f>
        <v>149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6"/>
      <c r="U8" s="147"/>
      <c r="V8" s="1">
        <f>+V7+1</f>
        <v>2</v>
      </c>
      <c r="W8" s="7">
        <f>'CALCULATOR SHEET'!I14</f>
        <v>51.5</v>
      </c>
      <c r="X8" s="7">
        <f>'CALCULATOR SHEET'!J14</f>
        <v>82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11</v>
      </c>
      <c r="AA8" s="146">
        <f t="shared" ref="AA8:AA71" si="3">IF(Y8="","",INDEX($C$10:$Q$26,Z8,Y8))</f>
        <v>149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44</v>
      </c>
      <c r="X9" s="7">
        <f>'CALCULATOR SHEET'!J15</f>
        <v>89</v>
      </c>
      <c r="Y9" s="7">
        <f t="shared" si="1"/>
        <v>5</v>
      </c>
      <c r="Z9" s="7">
        <f t="shared" si="2"/>
        <v>12</v>
      </c>
      <c r="AA9" s="146">
        <f t="shared" si="3"/>
        <v>145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46.25</v>
      </c>
      <c r="X10" s="7">
        <f>'CALCULATOR SHEET'!J16</f>
        <v>89</v>
      </c>
      <c r="Y10" s="7">
        <f t="shared" si="1"/>
        <v>5</v>
      </c>
      <c r="Z10" s="7">
        <f t="shared" si="2"/>
        <v>12</v>
      </c>
      <c r="AA10" s="146">
        <f t="shared" si="3"/>
        <v>145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45.25</v>
      </c>
      <c r="X11" s="7">
        <f>'CALCULATOR SHEET'!J17</f>
        <v>89</v>
      </c>
      <c r="Y11" s="7">
        <f t="shared" si="1"/>
        <v>5</v>
      </c>
      <c r="Z11" s="7">
        <f t="shared" si="2"/>
        <v>12</v>
      </c>
      <c r="AA11" s="146">
        <f t="shared" si="3"/>
        <v>145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8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49.625</v>
      </c>
      <c r="X7" s="7">
        <f>'CALCULATOR SHEET'!J13</f>
        <v>82</v>
      </c>
      <c r="Y7" s="7">
        <f>IF(W7=0,"",MATCH(CEILING(W7,6),$C$7:$Q$7,0))</f>
        <v>6</v>
      </c>
      <c r="Z7" s="7">
        <f>IF(X7=0,"",MATCH(CEILING(X7,6),$B$10:$B$26,0))</f>
        <v>11</v>
      </c>
      <c r="AA7" s="146">
        <f>IF(Y7="","",INDEX($C$10:$Q$26,Z7,Y7))</f>
        <v>211</v>
      </c>
    </row>
    <row r="8" spans="2:27">
      <c r="T8" s="386"/>
      <c r="V8" s="1">
        <f>+V7+1</f>
        <v>2</v>
      </c>
      <c r="W8" s="7">
        <f>'CALCULATOR SHEET'!I14</f>
        <v>51.5</v>
      </c>
      <c r="X8" s="7">
        <f>'CALCULATOR SHEET'!J14</f>
        <v>82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11</v>
      </c>
      <c r="AA8" s="146">
        <f t="shared" ref="AA8:AA71" si="3">IF(Y8="","",INDEX($C$10:$Q$26,Z8,Y8))</f>
        <v>211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</v>
      </c>
      <c r="X9" s="7">
        <f>'CALCULATOR SHEET'!J15</f>
        <v>89</v>
      </c>
      <c r="Y9" s="7">
        <f t="shared" si="1"/>
        <v>5</v>
      </c>
      <c r="Z9" s="7">
        <f t="shared" si="2"/>
        <v>12</v>
      </c>
      <c r="AA9" s="146">
        <f t="shared" si="3"/>
        <v>209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46.25</v>
      </c>
      <c r="X10" s="7">
        <f>'CALCULATOR SHEET'!J16</f>
        <v>89</v>
      </c>
      <c r="Y10" s="7">
        <f t="shared" si="1"/>
        <v>5</v>
      </c>
      <c r="Z10" s="7">
        <f t="shared" si="2"/>
        <v>12</v>
      </c>
      <c r="AA10" s="146">
        <f t="shared" si="3"/>
        <v>209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45.25</v>
      </c>
      <c r="X11" s="7">
        <f>'CALCULATOR SHEET'!J17</f>
        <v>89</v>
      </c>
      <c r="Y11" s="7">
        <f t="shared" si="1"/>
        <v>5</v>
      </c>
      <c r="Z11" s="7">
        <f t="shared" si="2"/>
        <v>12</v>
      </c>
      <c r="AA11" s="146">
        <f t="shared" si="3"/>
        <v>209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S12" sqref="S12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8"/>
      <c r="Q3" s="368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1" t="s">
        <v>309</v>
      </c>
      <c r="AA4" s="370">
        <f>FLOOR(SUMIF(C8:C47,"&gt;0")/2,1)</f>
        <v>2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478</v>
      </c>
      <c r="W5" s="34" t="s">
        <v>134</v>
      </c>
      <c r="Z5" s="371"/>
      <c r="AA5" s="370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1"/>
      <c r="AA6" s="370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465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9" t="str">
        <f>IF(AA10&gt;(AA9/2),"REVISAR PERSIANAS","")</f>
        <v/>
      </c>
      <c r="Z8" s="369"/>
      <c r="AA8" s="369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468</v>
      </c>
      <c r="E9" s="39"/>
      <c r="F9" s="1"/>
      <c r="G9" s="38" t="s">
        <v>443</v>
      </c>
      <c r="H9" s="343" t="s">
        <v>466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45955</v>
      </c>
      <c r="Z9" s="38" t="s">
        <v>304</v>
      </c>
      <c r="AA9" s="34">
        <f>SUMIF(C13:C52,"&gt;0")</f>
        <v>5</v>
      </c>
      <c r="AD9" s="367" t="s">
        <v>91</v>
      </c>
      <c r="AE9" s="367"/>
      <c r="AF9" s="367"/>
      <c r="AG9" s="367"/>
      <c r="AH9" s="367"/>
      <c r="AI9" s="367"/>
      <c r="AJ9" s="367"/>
      <c r="AK9" s="269"/>
      <c r="AL9" s="367" t="s">
        <v>92</v>
      </c>
      <c r="AM9" s="367"/>
      <c r="AN9" s="367"/>
      <c r="AO9" s="269"/>
      <c r="AP9" s="367" t="s">
        <v>93</v>
      </c>
      <c r="AQ9" s="367"/>
      <c r="AR9" s="367"/>
      <c r="AS9" s="269"/>
      <c r="AT9" s="367" t="s">
        <v>217</v>
      </c>
      <c r="AU9" s="367"/>
      <c r="AV9" s="14"/>
      <c r="AW9" s="14"/>
    </row>
    <row r="10" spans="1:73" ht="15.75">
      <c r="B10" s="43"/>
      <c r="C10" s="24" t="s">
        <v>39</v>
      </c>
      <c r="D10" s="191" t="s">
        <v>469</v>
      </c>
      <c r="E10" s="149"/>
      <c r="F10" s="1"/>
      <c r="G10" s="341" t="s">
        <v>444</v>
      </c>
      <c r="H10" s="343" t="s">
        <v>467</v>
      </c>
      <c r="I10" s="1"/>
      <c r="J10" s="3" t="s">
        <v>449</v>
      </c>
      <c r="K10" s="364" t="s">
        <v>470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7"/>
      <c r="AE10" s="367"/>
      <c r="AF10" s="367"/>
      <c r="AG10" s="367"/>
      <c r="AH10" s="367"/>
      <c r="AI10" s="367"/>
      <c r="AJ10" s="367"/>
      <c r="AL10" s="367"/>
      <c r="AM10" s="367"/>
      <c r="AN10" s="367"/>
      <c r="AP10" s="367"/>
      <c r="AQ10" s="367"/>
      <c r="AR10" s="367"/>
      <c r="AT10" s="367"/>
      <c r="AU10" s="367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>
        <v>205</v>
      </c>
      <c r="I11" s="46"/>
      <c r="J11" s="38" t="s">
        <v>448</v>
      </c>
      <c r="K11" s="301" t="s">
        <v>471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23</v>
      </c>
      <c r="F13" s="69"/>
      <c r="G13" s="68" t="s">
        <v>472</v>
      </c>
      <c r="H13" s="68" t="s">
        <v>473</v>
      </c>
      <c r="I13" s="81">
        <v>49.625</v>
      </c>
      <c r="J13" s="81">
        <v>82</v>
      </c>
      <c r="K13" s="254" t="s">
        <v>207</v>
      </c>
      <c r="L13" s="70"/>
      <c r="M13" s="284" t="s">
        <v>129</v>
      </c>
      <c r="N13" s="254" t="s">
        <v>213</v>
      </c>
      <c r="O13" s="254" t="s">
        <v>322</v>
      </c>
      <c r="P13" s="70" t="s">
        <v>45</v>
      </c>
      <c r="Q13" s="70" t="s">
        <v>45</v>
      </c>
      <c r="R13" s="70" t="s">
        <v>45</v>
      </c>
      <c r="S13" s="71">
        <f t="shared" ref="S13:S52" si="0">IF(U13="REVISAR MEDIDA","NO APLICA",W13+X13)</f>
        <v>201</v>
      </c>
      <c r="T13" s="316">
        <f t="shared" ref="T13:T52" si="1">IF(S13="","",S13*C13)</f>
        <v>201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201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201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23</v>
      </c>
      <c r="F14" s="69"/>
      <c r="G14" s="68" t="s">
        <v>472</v>
      </c>
      <c r="H14" s="68" t="s">
        <v>474</v>
      </c>
      <c r="I14" s="81">
        <v>51.5</v>
      </c>
      <c r="J14" s="81">
        <v>82</v>
      </c>
      <c r="K14" s="254" t="s">
        <v>207</v>
      </c>
      <c r="L14" s="70"/>
      <c r="M14" s="284" t="s">
        <v>130</v>
      </c>
      <c r="N14" s="254" t="s">
        <v>213</v>
      </c>
      <c r="O14" s="254" t="s">
        <v>322</v>
      </c>
      <c r="P14" s="70" t="s">
        <v>45</v>
      </c>
      <c r="Q14" s="70" t="s">
        <v>45</v>
      </c>
      <c r="R14" s="70" t="s">
        <v>45</v>
      </c>
      <c r="S14" s="71">
        <f t="shared" si="0"/>
        <v>201</v>
      </c>
      <c r="T14" s="316">
        <f t="shared" si="1"/>
        <v>201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201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201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23</v>
      </c>
      <c r="F15" s="69"/>
      <c r="G15" s="68" t="s">
        <v>472</v>
      </c>
      <c r="H15" s="68" t="s">
        <v>475</v>
      </c>
      <c r="I15" s="81">
        <v>44</v>
      </c>
      <c r="J15" s="81">
        <v>89</v>
      </c>
      <c r="K15" s="254" t="s">
        <v>207</v>
      </c>
      <c r="L15" s="70"/>
      <c r="M15" s="284" t="s">
        <v>129</v>
      </c>
      <c r="N15" s="254" t="s">
        <v>212</v>
      </c>
      <c r="O15" s="254" t="s">
        <v>205</v>
      </c>
      <c r="P15" s="70" t="s">
        <v>45</v>
      </c>
      <c r="Q15" s="70" t="s">
        <v>45</v>
      </c>
      <c r="R15" s="70" t="s">
        <v>45</v>
      </c>
      <c r="S15" s="71">
        <f t="shared" si="0"/>
        <v>192</v>
      </c>
      <c r="T15" s="316">
        <f t="shared" si="1"/>
        <v>192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192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192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23</v>
      </c>
      <c r="F16" s="69"/>
      <c r="G16" s="68" t="s">
        <v>472</v>
      </c>
      <c r="H16" s="68" t="s">
        <v>476</v>
      </c>
      <c r="I16" s="81">
        <v>46.25</v>
      </c>
      <c r="J16" s="81">
        <v>89</v>
      </c>
      <c r="K16" s="254" t="s">
        <v>207</v>
      </c>
      <c r="L16" s="70"/>
      <c r="M16" s="284" t="s">
        <v>129</v>
      </c>
      <c r="N16" s="254" t="s">
        <v>213</v>
      </c>
      <c r="O16" s="254" t="s">
        <v>205</v>
      </c>
      <c r="P16" s="70" t="s">
        <v>45</v>
      </c>
      <c r="Q16" s="70" t="s">
        <v>45</v>
      </c>
      <c r="R16" s="70" t="s">
        <v>45</v>
      </c>
      <c r="S16" s="71">
        <f t="shared" si="0"/>
        <v>192</v>
      </c>
      <c r="T16" s="316">
        <f t="shared" si="1"/>
        <v>192</v>
      </c>
      <c r="U16" s="179" t="str">
        <f t="shared" si="2"/>
        <v/>
      </c>
      <c r="V16" s="120"/>
      <c r="W16" s="124">
        <f t="shared" si="8"/>
        <v>192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192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23</v>
      </c>
      <c r="F17" s="69"/>
      <c r="G17" s="68" t="s">
        <v>472</v>
      </c>
      <c r="H17" s="68" t="s">
        <v>477</v>
      </c>
      <c r="I17" s="81">
        <v>45.25</v>
      </c>
      <c r="J17" s="81">
        <v>89</v>
      </c>
      <c r="K17" s="254" t="s">
        <v>207</v>
      </c>
      <c r="L17" s="70"/>
      <c r="M17" s="284" t="s">
        <v>130</v>
      </c>
      <c r="N17" s="254" t="s">
        <v>212</v>
      </c>
      <c r="O17" s="254" t="s">
        <v>205</v>
      </c>
      <c r="P17" s="70" t="s">
        <v>45</v>
      </c>
      <c r="Q17" s="70" t="s">
        <v>45</v>
      </c>
      <c r="R17" s="70" t="s">
        <v>45</v>
      </c>
      <c r="S17" s="71">
        <f t="shared" si="0"/>
        <v>192</v>
      </c>
      <c r="T17" s="316">
        <f t="shared" si="1"/>
        <v>192</v>
      </c>
      <c r="U17" s="179" t="str">
        <f t="shared" si="2"/>
        <v/>
      </c>
      <c r="V17" s="120"/>
      <c r="W17" s="124">
        <f t="shared" si="8"/>
        <v>192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192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0"/>
        <v>0</v>
      </c>
      <c r="T18" s="316">
        <f t="shared" si="1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0"/>
        <v>0</v>
      </c>
      <c r="T19" s="316">
        <f t="shared" si="1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0"/>
        <v>0</v>
      </c>
      <c r="T20" s="316">
        <f t="shared" si="1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0"/>
        <v>0</v>
      </c>
      <c r="T21" s="316">
        <f t="shared" si="1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0"/>
        <v>0</v>
      </c>
      <c r="T22" s="72">
        <f t="shared" si="1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0"/>
        <v>0</v>
      </c>
      <c r="T23" s="72">
        <f t="shared" si="1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0"/>
        <v>0</v>
      </c>
      <c r="T24" s="72">
        <f t="shared" si="1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0"/>
        <v>0</v>
      </c>
      <c r="T25" s="72">
        <f t="shared" si="1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0"/>
        <v>0</v>
      </c>
      <c r="T26" s="72">
        <f t="shared" si="1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0"/>
        <v>0</v>
      </c>
      <c r="T27" s="72">
        <f t="shared" si="1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0"/>
        <v>0</v>
      </c>
      <c r="T28" s="72">
        <f t="shared" si="1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0"/>
        <v>0</v>
      </c>
      <c r="T29" s="72">
        <f t="shared" si="1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0"/>
        <v>0</v>
      </c>
      <c r="T30" s="72">
        <f t="shared" si="1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0"/>
        <v>0</v>
      </c>
      <c r="T31" s="72">
        <f t="shared" si="1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0"/>
        <v>0</v>
      </c>
      <c r="T32" s="72">
        <f t="shared" si="1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0"/>
        <v>0</v>
      </c>
      <c r="T33" s="72">
        <f t="shared" si="1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0"/>
        <v>0</v>
      </c>
      <c r="T34" s="72">
        <f t="shared" si="1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0"/>
        <v>0</v>
      </c>
      <c r="T35" s="72">
        <f t="shared" si="1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0"/>
        <v>0</v>
      </c>
      <c r="T36" s="72">
        <f t="shared" si="1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0"/>
        <v>0</v>
      </c>
      <c r="T37" s="72">
        <f t="shared" si="1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0"/>
        <v>0</v>
      </c>
      <c r="T38" s="72">
        <f t="shared" si="1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0"/>
        <v>0</v>
      </c>
      <c r="T39" s="72">
        <f t="shared" si="1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0"/>
        <v>0</v>
      </c>
      <c r="T40" s="72">
        <f t="shared" si="1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0"/>
        <v>0</v>
      </c>
      <c r="T41" s="72">
        <f t="shared" si="1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0"/>
        <v>0</v>
      </c>
      <c r="T42" s="72">
        <f t="shared" si="1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0"/>
        <v>0</v>
      </c>
      <c r="T43" s="72">
        <f t="shared" si="1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0"/>
        <v>0</v>
      </c>
      <c r="T44" s="72">
        <f t="shared" si="1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0"/>
        <v>0</v>
      </c>
      <c r="T45" s="72">
        <f t="shared" si="1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0"/>
        <v>0</v>
      </c>
      <c r="T46" s="72">
        <f t="shared" si="1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0"/>
        <v>0</v>
      </c>
      <c r="T47" s="72">
        <f t="shared" si="1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0"/>
        <v>0</v>
      </c>
      <c r="T48" s="72">
        <f t="shared" si="1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0"/>
        <v>0</v>
      </c>
      <c r="T49" s="72">
        <f t="shared" si="1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0"/>
        <v>0</v>
      </c>
      <c r="T50" s="72">
        <f t="shared" si="1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0"/>
        <v>0</v>
      </c>
      <c r="T51" s="72">
        <f t="shared" si="1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0"/>
        <v>0</v>
      </c>
      <c r="T52" s="72">
        <f t="shared" si="1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978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293.39999999999998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684.6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684.6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hyperlinks>
    <hyperlink ref="K11" r:id="rId1" xr:uid="{C4965547-600C-4A0C-BAC7-3B260D948E30}"/>
  </hyperlinks>
  <pageMargins left="0.25" right="0.25" top="0.27" bottom="0.27" header="0.16" footer="0.17"/>
  <pageSetup scale="49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7" t="s">
        <v>9</v>
      </c>
      <c r="J3" s="387"/>
      <c r="K3" s="387"/>
      <c r="L3" s="387"/>
      <c r="S3" s="34" t="s">
        <v>437</v>
      </c>
    </row>
    <row r="4" spans="2:28" ht="25.5">
      <c r="D4" s="130"/>
      <c r="E4" s="131"/>
      <c r="I4" s="387"/>
      <c r="J4" s="387"/>
      <c r="K4" s="387"/>
      <c r="L4" s="387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6" t="s">
        <v>72</v>
      </c>
      <c r="V7" s="147"/>
      <c r="W7" s="1">
        <v>1</v>
      </c>
      <c r="X7" s="7">
        <f>'CALCULATOR SHEET'!I13</f>
        <v>49.625</v>
      </c>
      <c r="Y7" s="7">
        <f>'CALCULATOR SHEET'!J13</f>
        <v>82</v>
      </c>
      <c r="Z7" s="7">
        <f>IF(X7=0,"",MATCH(CEILING(X7,6),$C$7:$R$7,0))</f>
        <v>6</v>
      </c>
      <c r="AA7" s="7">
        <f>IF(Y7=0,"",MATCH(CEILING(Y7,6),$B$10:$B$26,0))</f>
        <v>11</v>
      </c>
      <c r="AB7" s="146">
        <f>IF(Z7="","",INDEX($C$10:$R$26,AA7,Z7))</f>
        <v>235</v>
      </c>
    </row>
    <row r="8" spans="2:28" ht="15.75">
      <c r="U8" s="386"/>
      <c r="V8" s="147"/>
      <c r="W8" s="1">
        <f>+W7+1</f>
        <v>2</v>
      </c>
      <c r="X8" s="7">
        <f>'CALCULATOR SHEET'!I14</f>
        <v>51.5</v>
      </c>
      <c r="Y8" s="7">
        <f>'CALCULATOR SHEET'!J14</f>
        <v>82</v>
      </c>
      <c r="Z8" s="7">
        <f t="shared" ref="Z8:Z71" si="0">IF(X8=0,"",MATCH(CEILING(X8,6),$C$7:$R$7,0))</f>
        <v>6</v>
      </c>
      <c r="AA8" s="7">
        <f t="shared" ref="AA8:AA71" si="1">IF(Y8=0,"",MATCH(CEILING(Y8,6),$B$10:$B$26,0))</f>
        <v>11</v>
      </c>
      <c r="AB8" s="146">
        <f t="shared" ref="AB8:AB71" si="2">IF(Z8="","",INDEX($C$10:$R$26,AA8,Z8))</f>
        <v>235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44</v>
      </c>
      <c r="Y9" s="7">
        <f>'CALCULATOR SHEET'!J15</f>
        <v>89</v>
      </c>
      <c r="Z9" s="7">
        <f t="shared" si="0"/>
        <v>5</v>
      </c>
      <c r="AA9" s="7">
        <f t="shared" si="1"/>
        <v>12</v>
      </c>
      <c r="AB9" s="146">
        <f t="shared" si="2"/>
        <v>235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46.25</v>
      </c>
      <c r="Y10" s="7">
        <f>'CALCULATOR SHEET'!J16</f>
        <v>89</v>
      </c>
      <c r="Z10" s="7">
        <f t="shared" si="0"/>
        <v>5</v>
      </c>
      <c r="AA10" s="7">
        <f t="shared" si="1"/>
        <v>12</v>
      </c>
      <c r="AB10" s="146">
        <f t="shared" si="2"/>
        <v>235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45.25</v>
      </c>
      <c r="Y11" s="7">
        <f>'CALCULATOR SHEET'!J17</f>
        <v>89</v>
      </c>
      <c r="Z11" s="7">
        <f t="shared" si="0"/>
        <v>5</v>
      </c>
      <c r="AA11" s="7">
        <f t="shared" si="1"/>
        <v>12</v>
      </c>
      <c r="AB11" s="146">
        <f t="shared" si="2"/>
        <v>235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10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49.625</v>
      </c>
      <c r="X7" s="7">
        <f>'CALCULATOR SHEET'!J13</f>
        <v>82</v>
      </c>
      <c r="Y7" s="7">
        <f>IF(W7=0,"",MATCH(CEILING(W7,6),$C$7:$Q$7,0))</f>
        <v>6</v>
      </c>
      <c r="Z7" s="7">
        <f>IF(X7=0,"",MATCH(CEILING(X7,6),$B$10:$B$26,0))</f>
        <v>11</v>
      </c>
      <c r="AA7" s="146">
        <f>IF(Y7="","",INDEX($C$10:$Q$26,Z7,Y7))</f>
        <v>266</v>
      </c>
    </row>
    <row r="8" spans="2:27">
      <c r="T8" s="386"/>
      <c r="V8" s="1">
        <f>+V7+1</f>
        <v>2</v>
      </c>
      <c r="W8" s="7">
        <f>'CALCULATOR SHEET'!I14</f>
        <v>51.5</v>
      </c>
      <c r="X8" s="7">
        <f>'CALCULATOR SHEET'!J14</f>
        <v>82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11</v>
      </c>
      <c r="AA8" s="146">
        <f t="shared" ref="AA8:AA71" si="3">IF(Y8="","",INDEX($C$10:$Q$26,Z8,Y8))</f>
        <v>266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</v>
      </c>
      <c r="X9" s="7">
        <f>'CALCULATOR SHEET'!J15</f>
        <v>89</v>
      </c>
      <c r="Y9" s="7">
        <f t="shared" si="1"/>
        <v>5</v>
      </c>
      <c r="Z9" s="7">
        <f t="shared" si="2"/>
        <v>12</v>
      </c>
      <c r="AA9" s="146">
        <f t="shared" si="3"/>
        <v>269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46.25</v>
      </c>
      <c r="X10" s="7">
        <f>'CALCULATOR SHEET'!J16</f>
        <v>89</v>
      </c>
      <c r="Y10" s="7">
        <f t="shared" si="1"/>
        <v>5</v>
      </c>
      <c r="Z10" s="7">
        <f t="shared" si="2"/>
        <v>12</v>
      </c>
      <c r="AA10" s="146">
        <f t="shared" si="3"/>
        <v>269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45.25</v>
      </c>
      <c r="X11" s="7">
        <f>'CALCULATOR SHEET'!J17</f>
        <v>89</v>
      </c>
      <c r="Y11" s="7">
        <f t="shared" si="1"/>
        <v>5</v>
      </c>
      <c r="Z11" s="7">
        <f t="shared" si="2"/>
        <v>12</v>
      </c>
      <c r="AA11" s="146">
        <f t="shared" si="3"/>
        <v>269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11</v>
      </c>
      <c r="J3" s="387"/>
      <c r="K3" s="387"/>
      <c r="L3" s="387"/>
      <c r="R3" s="34" t="s">
        <v>385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49.625</v>
      </c>
      <c r="X7" s="7">
        <f>'CALCULATOR SHEET'!J13</f>
        <v>82</v>
      </c>
      <c r="Y7" s="7">
        <f>IF(W7=0,"",MATCH(CEILING(W7,6),$C$7:$Q$7,0))</f>
        <v>6</v>
      </c>
      <c r="Z7" s="7">
        <f>IF(X7=0,"",MATCH(CEILING(X7,6),$B$10:$B$26,0))</f>
        <v>11</v>
      </c>
      <c r="AA7" s="146">
        <f>IF(Y7="","",INDEX($C$10:$Q$26,Z7,Y7))</f>
        <v>257</v>
      </c>
    </row>
    <row r="8" spans="2:27" ht="15" customHeight="1">
      <c r="T8" s="386"/>
      <c r="V8" s="1">
        <f>+V7+1</f>
        <v>2</v>
      </c>
      <c r="W8" s="7">
        <f>'CALCULATOR SHEET'!I14</f>
        <v>51.5</v>
      </c>
      <c r="X8" s="7">
        <f>'CALCULATOR SHEET'!J14</f>
        <v>82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11</v>
      </c>
      <c r="AA8" s="146">
        <f t="shared" ref="AA8:AA71" si="3">IF(Y8="","",INDEX($C$10:$Q$26,Z8,Y8))</f>
        <v>257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</v>
      </c>
      <c r="X9" s="7">
        <f>'CALCULATOR SHEET'!J15</f>
        <v>89</v>
      </c>
      <c r="Y9" s="7">
        <f t="shared" si="1"/>
        <v>5</v>
      </c>
      <c r="Z9" s="7">
        <f t="shared" si="2"/>
        <v>12</v>
      </c>
      <c r="AA9" s="146">
        <f t="shared" si="3"/>
        <v>259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46.25</v>
      </c>
      <c r="X10" s="7">
        <f>'CALCULATOR SHEET'!J16</f>
        <v>89</v>
      </c>
      <c r="Y10" s="7">
        <f t="shared" si="1"/>
        <v>5</v>
      </c>
      <c r="Z10" s="7">
        <f t="shared" si="2"/>
        <v>12</v>
      </c>
      <c r="AA10" s="146">
        <f t="shared" si="3"/>
        <v>259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45.25</v>
      </c>
      <c r="X11" s="7">
        <f>'CALCULATOR SHEET'!J17</f>
        <v>89</v>
      </c>
      <c r="Y11" s="7">
        <f t="shared" si="1"/>
        <v>5</v>
      </c>
      <c r="Z11" s="7">
        <f t="shared" si="2"/>
        <v>12</v>
      </c>
      <c r="AA11" s="146">
        <f t="shared" si="3"/>
        <v>259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12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49.625</v>
      </c>
      <c r="X7" s="7">
        <f>'CALCULATOR SHEET'!J13</f>
        <v>82</v>
      </c>
      <c r="Y7" s="7">
        <f>IF(W7=0,"",MATCH(CEILING(W7,6),$C$7:$Q$7,0))</f>
        <v>6</v>
      </c>
      <c r="Z7" s="7">
        <f>IF(X7=0,"",MATCH(CEILING(X7,6),$B$10:$B$26,0))</f>
        <v>11</v>
      </c>
      <c r="AA7" s="146">
        <f>IF(Y7="","",INDEX($C$10:$Q$26,Z7,Y7))</f>
        <v>335</v>
      </c>
    </row>
    <row r="8" spans="2:27" ht="15" customHeight="1">
      <c r="T8" s="386"/>
      <c r="V8" s="1">
        <f>+V7+1</f>
        <v>2</v>
      </c>
      <c r="W8" s="7">
        <f>'CALCULATOR SHEET'!I14</f>
        <v>51.5</v>
      </c>
      <c r="X8" s="7">
        <f>'CALCULATOR SHEET'!J14</f>
        <v>82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11</v>
      </c>
      <c r="AA8" s="146">
        <f t="shared" ref="AA8:AA71" si="3">IF(Y8="","",INDEX($C$10:$Q$26,Z8,Y8))</f>
        <v>335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</v>
      </c>
      <c r="X9" s="7">
        <f>'CALCULATOR SHEET'!J15</f>
        <v>89</v>
      </c>
      <c r="Y9" s="7">
        <f t="shared" si="1"/>
        <v>5</v>
      </c>
      <c r="Z9" s="7">
        <f t="shared" si="2"/>
        <v>12</v>
      </c>
      <c r="AA9" s="146">
        <f t="shared" si="3"/>
        <v>342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46.25</v>
      </c>
      <c r="X10" s="7">
        <f>'CALCULATOR SHEET'!J16</f>
        <v>89</v>
      </c>
      <c r="Y10" s="7">
        <f t="shared" si="1"/>
        <v>5</v>
      </c>
      <c r="Z10" s="7">
        <f t="shared" si="2"/>
        <v>12</v>
      </c>
      <c r="AA10" s="146">
        <f t="shared" si="3"/>
        <v>342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45.25</v>
      </c>
      <c r="X11" s="7">
        <f>'CALCULATOR SHEET'!J17</f>
        <v>89</v>
      </c>
      <c r="Y11" s="7">
        <f t="shared" si="1"/>
        <v>5</v>
      </c>
      <c r="Z11" s="7">
        <f t="shared" si="2"/>
        <v>12</v>
      </c>
      <c r="AA11" s="146">
        <f t="shared" si="3"/>
        <v>342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7" t="s">
        <v>13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49.625</v>
      </c>
      <c r="X7" s="7">
        <f>'CALCULATOR SHEET'!J13</f>
        <v>82</v>
      </c>
      <c r="Y7" s="7">
        <f>IF(W7=0,"",MATCH(CEILING(W7,6),$C$7:$Q$7,0))</f>
        <v>6</v>
      </c>
      <c r="Z7" s="7">
        <f>IF(X7=0,"",MATCH(CEILING(X7,6),$B$10:$B$26,0))</f>
        <v>11</v>
      </c>
      <c r="AA7" s="146">
        <f>IF(Y7="","",INDEX($C$10:$Q$26,Z7,Y7))</f>
        <v>350</v>
      </c>
    </row>
    <row r="8" spans="2:27" ht="15" customHeight="1">
      <c r="T8" s="386"/>
      <c r="V8" s="1">
        <f>+V7+1</f>
        <v>2</v>
      </c>
      <c r="W8" s="7">
        <f>'CALCULATOR SHEET'!I14</f>
        <v>51.5</v>
      </c>
      <c r="X8" s="7">
        <f>'CALCULATOR SHEET'!J14</f>
        <v>82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11</v>
      </c>
      <c r="AA8" s="146">
        <f t="shared" ref="AA8:AA71" si="3">IF(Y8="","",INDEX($C$10:$Q$26,Z8,Y8))</f>
        <v>350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</v>
      </c>
      <c r="X9" s="7">
        <f>'CALCULATOR SHEET'!J15</f>
        <v>89</v>
      </c>
      <c r="Y9" s="7">
        <f t="shared" si="1"/>
        <v>5</v>
      </c>
      <c r="Z9" s="7">
        <f t="shared" si="2"/>
        <v>12</v>
      </c>
      <c r="AA9" s="146">
        <f t="shared" si="3"/>
        <v>358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46.25</v>
      </c>
      <c r="X10" s="7">
        <f>'CALCULATOR SHEET'!J16</f>
        <v>89</v>
      </c>
      <c r="Y10" s="7">
        <f t="shared" si="1"/>
        <v>5</v>
      </c>
      <c r="Z10" s="7">
        <f t="shared" si="2"/>
        <v>12</v>
      </c>
      <c r="AA10" s="146">
        <f t="shared" si="3"/>
        <v>358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45.25</v>
      </c>
      <c r="X11" s="7">
        <f>'CALCULATOR SHEET'!J17</f>
        <v>89</v>
      </c>
      <c r="Y11" s="7">
        <f t="shared" si="1"/>
        <v>5</v>
      </c>
      <c r="Z11" s="7">
        <f t="shared" si="2"/>
        <v>12</v>
      </c>
      <c r="AA11" s="146">
        <f t="shared" si="3"/>
        <v>358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7" t="s">
        <v>295</v>
      </c>
      <c r="J3" s="387"/>
      <c r="K3" s="387"/>
      <c r="L3" s="387"/>
      <c r="R3" s="34" t="s">
        <v>437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49.625</v>
      </c>
      <c r="X7" s="7">
        <f>'CALCULATOR SHEET'!J13</f>
        <v>82</v>
      </c>
      <c r="Y7" s="7">
        <f>IF(W7=0,"",MATCH(CEILING(W7,6),$C$7:$Q$7,0))</f>
        <v>6</v>
      </c>
      <c r="Z7" s="7">
        <f>IF(X7=0,"",MATCH(CEILING(X7,6),$B$10:$B$26,0))</f>
        <v>11</v>
      </c>
      <c r="AA7" s="146">
        <f>IF(Y7="","",INDEX($C$10:$Q$26,Z7,Y7))</f>
        <v>342</v>
      </c>
    </row>
    <row r="8" spans="2:27" ht="15" customHeight="1">
      <c r="T8" s="386"/>
      <c r="V8" s="1">
        <f>+V7+1</f>
        <v>2</v>
      </c>
      <c r="W8" s="7">
        <f>'CALCULATOR SHEET'!I14</f>
        <v>51.5</v>
      </c>
      <c r="X8" s="7">
        <f>'CALCULATOR SHEET'!J14</f>
        <v>82</v>
      </c>
      <c r="Y8" s="7">
        <f t="shared" ref="Y8:Y71" si="1">IF(W8=0,"",MATCH(CEILING(W8,6),$C$7:$Q$7,0))</f>
        <v>6</v>
      </c>
      <c r="Z8" s="7">
        <f t="shared" ref="Z8:Z71" si="2">IF(X8=0,"",MATCH(CEILING(X8,6),$B$10:$B$26,0))</f>
        <v>11</v>
      </c>
      <c r="AA8" s="146">
        <f t="shared" ref="AA8:AA71" si="3">IF(Y8="","",INDEX($C$10:$Q$26,Z8,Y8))</f>
        <v>342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44</v>
      </c>
      <c r="X9" s="7">
        <f>'CALCULATOR SHEET'!J15</f>
        <v>89</v>
      </c>
      <c r="Y9" s="7">
        <f t="shared" si="1"/>
        <v>5</v>
      </c>
      <c r="Z9" s="7">
        <f t="shared" si="2"/>
        <v>12</v>
      </c>
      <c r="AA9" s="146">
        <f t="shared" si="3"/>
        <v>352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46.25</v>
      </c>
      <c r="X10" s="7">
        <f>'CALCULATOR SHEET'!J16</f>
        <v>89</v>
      </c>
      <c r="Y10" s="7">
        <f t="shared" si="1"/>
        <v>5</v>
      </c>
      <c r="Z10" s="7">
        <f t="shared" si="2"/>
        <v>12</v>
      </c>
      <c r="AA10" s="146">
        <f t="shared" si="3"/>
        <v>352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45.25</v>
      </c>
      <c r="X11" s="7">
        <f>'CALCULATOR SHEET'!J17</f>
        <v>89</v>
      </c>
      <c r="Y11" s="7">
        <f t="shared" si="1"/>
        <v>5</v>
      </c>
      <c r="Z11" s="7">
        <f t="shared" si="2"/>
        <v>12</v>
      </c>
      <c r="AA11" s="146">
        <f t="shared" si="3"/>
        <v>352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8" t="s">
        <v>104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</row>
    <row r="2" spans="1:33"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</row>
    <row r="3" spans="1:33" ht="15.75" thickBot="1"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49.625</v>
      </c>
      <c r="Y5" s="7">
        <f>'PM-ORDER'!P5</f>
        <v>82</v>
      </c>
      <c r="Z5" s="7">
        <f>IF(X5&lt;&gt;"",MATCH(CEILING(X5,6),$C$4:$S$4,0),"")</f>
        <v>6</v>
      </c>
      <c r="AA5" s="7">
        <f>IF(X5&lt;&gt;"",MATCH(CEILING(Y5,6),$B$7:$B$26,0),"")</f>
        <v>11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51.5</v>
      </c>
      <c r="Y6" s="7">
        <f>'PM-ORDER'!P6</f>
        <v>82</v>
      </c>
      <c r="Z6" s="7">
        <f t="shared" ref="Z6:Z44" si="0">IF(X6&lt;&gt;"",MATCH(CEILING(X6,6),$C$4:$S$4,0),"")</f>
        <v>6</v>
      </c>
      <c r="AA6" s="7">
        <f t="shared" ref="AA6:AA44" si="1">IF(X6&lt;&gt;"",MATCH(CEILING(Y6,6),$B$7:$B$26,0),"")</f>
        <v>11</v>
      </c>
      <c r="AC6" s="7" t="str">
        <f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44</v>
      </c>
      <c r="Y7" s="7">
        <f>'PM-ORDER'!P7</f>
        <v>89</v>
      </c>
      <c r="Z7" s="7">
        <f t="shared" si="0"/>
        <v>5</v>
      </c>
      <c r="AA7" s="7">
        <f t="shared" si="1"/>
        <v>12</v>
      </c>
      <c r="AC7" s="7" t="str">
        <f>IF('PM-ORDER'!G7="ROLLER",INDEX($C$7:$S$26,AA7,Z7),"")</f>
        <v>RL-MAN -BSCH</v>
      </c>
      <c r="AF7" s="7" t="str">
        <f>IF('PM-ORDER'!G7="ZEBRA",INDEX($C$35:$S$54,AA7,Z7),"")</f>
        <v/>
      </c>
      <c r="AG7" s="1" t="str">
        <f t="shared" si="2"/>
        <v>RL-MAN -BSCH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46.25</v>
      </c>
      <c r="Y8" s="7">
        <f>'PM-ORDER'!P8</f>
        <v>89</v>
      </c>
      <c r="Z8" s="7">
        <f t="shared" si="0"/>
        <v>5</v>
      </c>
      <c r="AA8" s="7">
        <f t="shared" si="1"/>
        <v>12</v>
      </c>
      <c r="AC8" s="7" t="str">
        <f>IF('PM-ORDER'!G8="ROLLER",INDEX($C$7:$S$26,AA8,Z8),"")</f>
        <v>RL-MAN -BSCH</v>
      </c>
      <c r="AF8" s="7" t="str">
        <f>IF('PM-ORDER'!G8="ZEBRA",INDEX($C$35:$S$54,AA8,Z8),"")</f>
        <v/>
      </c>
      <c r="AG8" s="1" t="str">
        <f t="shared" si="2"/>
        <v>RL-MAN -BSCH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45.25</v>
      </c>
      <c r="Y9" s="7">
        <f>'PM-ORDER'!P9</f>
        <v>89</v>
      </c>
      <c r="Z9" s="7">
        <f t="shared" si="0"/>
        <v>5</v>
      </c>
      <c r="AA9" s="7">
        <f t="shared" si="1"/>
        <v>12</v>
      </c>
      <c r="AC9" s="7" t="str">
        <f>IF('PM-ORDER'!G9="ROLLER",INDEX($C$7:$S$26,AA9,Z9),"")</f>
        <v>RL-MAN -BSCH</v>
      </c>
      <c r="AF9" s="7" t="str">
        <f>IF('PM-ORDER'!G9="ZEBRA",INDEX($C$35:$S$54,AA9,Z9),"")</f>
        <v/>
      </c>
      <c r="AG9" s="1" t="str">
        <f t="shared" si="2"/>
        <v>RL-MAN -BSCH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8" t="s">
        <v>93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6"/>
      <c r="T11" s="366"/>
      <c r="U11" s="366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6"/>
      <c r="T14" s="366"/>
      <c r="U14" s="366"/>
      <c r="W14" s="366"/>
      <c r="X14" s="366"/>
      <c r="Y14" s="366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6"/>
      <c r="T20" s="366"/>
      <c r="U20" s="366"/>
      <c r="W20" s="366"/>
      <c r="X20" s="366"/>
      <c r="Y20" s="366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2" t="s">
        <v>90</v>
      </c>
      <c r="I82" s="372"/>
      <c r="J82" s="372" t="s">
        <v>440</v>
      </c>
      <c r="K82" s="372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2" t="s">
        <v>88</v>
      </c>
      <c r="F84" s="372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3" t="s">
        <v>214</v>
      </c>
      <c r="V1" s="373"/>
      <c r="AG1" s="375" t="s">
        <v>218</v>
      </c>
      <c r="AH1" s="376"/>
      <c r="AI1" s="376"/>
      <c r="AJ1" s="376"/>
      <c r="AK1" s="376"/>
      <c r="AL1" s="376"/>
      <c r="AM1" s="376"/>
      <c r="AN1" s="376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45957</v>
      </c>
      <c r="H2" s="223"/>
      <c r="U2" s="373"/>
      <c r="V2" s="373"/>
      <c r="AG2" s="377"/>
      <c r="AH2" s="378"/>
      <c r="AI2" s="378"/>
      <c r="AJ2" s="378"/>
      <c r="AK2" s="378"/>
      <c r="AL2" s="378"/>
      <c r="AM2" s="378"/>
      <c r="AN2" s="378"/>
      <c r="AO2" s="294"/>
    </row>
    <row r="3" spans="2:41" ht="15" customHeight="1">
      <c r="C3" s="223" t="s">
        <v>160</v>
      </c>
      <c r="G3" s="226"/>
      <c r="I3" s="34">
        <v>0</v>
      </c>
      <c r="U3" s="374"/>
      <c r="V3" s="374"/>
      <c r="AG3" s="379"/>
      <c r="AH3" s="380"/>
      <c r="AI3" s="380"/>
      <c r="AJ3" s="380"/>
      <c r="AK3" s="380"/>
      <c r="AL3" s="380"/>
      <c r="AM3" s="380"/>
      <c r="AN3" s="380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251025 A </v>
      </c>
      <c r="D5" s="229">
        <f>IF('CALCULATOR SHEET'!D13&lt;&gt;"",'CALCULATOR SHEET'!$T$9,"")</f>
        <v>45955</v>
      </c>
      <c r="E5" s="230" t="str">
        <f>IF(D5&lt;&gt;"","BAJA SHADES","")</f>
        <v>BAJA SHADES</v>
      </c>
      <c r="F5" s="231" t="str">
        <f>IF(C5&lt;&gt;"",'CALCULATOR SHEET'!$D$9,"")</f>
        <v xml:space="preserve">RESIDENCE NANCY </v>
      </c>
      <c r="G5" s="231" t="str">
        <f>IF('CALCULATOR SHEET'!D13&lt;&gt;"",'CALCULATOR SHEET'!D13,"")</f>
        <v>ROLLER</v>
      </c>
      <c r="H5" s="231" t="str">
        <f>IF(Q5="CCL",BOMS!AG5,"")</f>
        <v>RL-MAN -BSCH</v>
      </c>
      <c r="I5" s="230">
        <v>1</v>
      </c>
      <c r="J5" s="231" t="str">
        <f>IF(C5&lt;&gt;"",'CALCULATOR SHEET'!K13,"")</f>
        <v>PLASTIC CHAIN WHITE</v>
      </c>
      <c r="K5" s="231" t="str">
        <f>IF(J5=GENERAL!$H$6,GENERAL!$H$6,IF(J5=GENERAL!$H$7,GENERAL!$H$7,IF('PM-ORDER'!J5=GENERAL!$H$8,GENERAL!$H$8,"")))</f>
        <v>PLASTIC CHAIN WHITE</v>
      </c>
      <c r="L5" s="231" t="str">
        <f>IF(C5&lt;&gt;"",'CALCULATOR SHEET'!G13,"")</f>
        <v xml:space="preserve">BO BUDELLI GOLD </v>
      </c>
      <c r="M5" s="231" t="str">
        <f>IF(C5&lt;&gt;"",'CALCULATOR SHEET'!O13,"")</f>
        <v>STANDARD ROLL</v>
      </c>
      <c r="N5" s="231" t="str">
        <f>IF(C5&lt;&gt;"",'CALCULATOR SHEET'!H13,"")</f>
        <v xml:space="preserve">LANDING WINDOW A </v>
      </c>
      <c r="O5" s="233">
        <f>IF(D5&lt;&gt;"",'CALCULATOR SHEET'!I13,"")</f>
        <v>49.625</v>
      </c>
      <c r="P5" s="233">
        <f>IF(E5&lt;&gt;"",'CALCULATOR SHEET'!J13,"")</f>
        <v>82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PLAYA LA MISION 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251025 A </v>
      </c>
      <c r="D6" s="229">
        <f>IF('CALCULATOR SHEET'!D14&lt;&gt;"",'CALCULATOR SHEET'!$T$9,"")</f>
        <v>45955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RESIDENCE NANCY </v>
      </c>
      <c r="G6" s="231" t="str">
        <f>IF('CALCULATOR SHEET'!D14&lt;&gt;"",'CALCULATOR SHEET'!D14,"")</f>
        <v>ROLLER</v>
      </c>
      <c r="H6" s="231" t="str">
        <f>IF(Q6="CCL",BOMS!AG6,"")</f>
        <v>RL-MAN -BSCH</v>
      </c>
      <c r="I6" s="230">
        <v>1</v>
      </c>
      <c r="J6" s="231" t="str">
        <f>IF(C6&lt;&gt;"",'CALCULATOR SHEET'!K14,"")</f>
        <v>PLASTIC CHAIN WHITE</v>
      </c>
      <c r="K6" s="231" t="str">
        <f>IF(J6=GENERAL!$H$6,GENERAL!$H$6,IF(J6=GENERAL!$H$7,GENERAL!$H$7,IF('PM-ORDER'!J6=GENERAL!$H$8,GENERAL!$H$8,"")))</f>
        <v>PLASTIC CHAIN WHITE</v>
      </c>
      <c r="L6" s="231" t="str">
        <f>IF(C6&lt;&gt;"",'CALCULATOR SHEET'!G14,"")</f>
        <v xml:space="preserve">BO BUDELLI GOLD </v>
      </c>
      <c r="M6" s="231" t="str">
        <f>IF(C6&lt;&gt;"",'CALCULATOR SHEET'!O14,"")</f>
        <v>STANDARD ROLL</v>
      </c>
      <c r="N6" s="231" t="str">
        <f>IF(C6&lt;&gt;"",'CALCULATOR SHEET'!H14,"")</f>
        <v xml:space="preserve">LANDING WINDOW B </v>
      </c>
      <c r="O6" s="233">
        <f>IF(D6&lt;&gt;"",'CALCULATOR SHEET'!I14,"")</f>
        <v>51.5</v>
      </c>
      <c r="P6" s="233">
        <f>IF(E6&lt;&gt;"",'CALCULATOR SHEET'!J14,"")</f>
        <v>82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R</v>
      </c>
      <c r="S6" s="230" t="str">
        <f>IF(D6&lt;&gt;"",'CALCULATOR SHEET'!N14,"")</f>
        <v>OUTSIDE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PLAYA LA MISION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 xml:space="preserve">BS 251025 A </v>
      </c>
      <c r="D7" s="229">
        <f>IF('CALCULATOR SHEET'!D15&lt;&gt;"",'CALCULATOR SHEET'!$T$9,"")</f>
        <v>45955</v>
      </c>
      <c r="E7" s="230" t="str">
        <f t="shared" si="0"/>
        <v>BAJA SHADES</v>
      </c>
      <c r="F7" s="231" t="str">
        <f>IF(C7&lt;&gt;"",'CALCULATOR SHEET'!$D$9,"")</f>
        <v xml:space="preserve">RESIDENCE NANCY </v>
      </c>
      <c r="G7" s="231" t="str">
        <f>IF('CALCULATOR SHEET'!D15&lt;&gt;"",'CALCULATOR SHEET'!D15,"")</f>
        <v>ROLLER</v>
      </c>
      <c r="H7" s="231" t="str">
        <f>IF(Q7="CCL",BOMS!AG7,"")</f>
        <v>RL-MAN -BSCH</v>
      </c>
      <c r="I7" s="230">
        <v>1</v>
      </c>
      <c r="J7" s="231" t="str">
        <f>IF(C7&lt;&gt;"",'CALCULATOR SHEET'!K15,"")</f>
        <v>PLASTIC CHAIN WHITE</v>
      </c>
      <c r="K7" s="231" t="str">
        <f>IF(J7=GENERAL!$H$6,GENERAL!$H$6,IF(J7=GENERAL!$H$7,GENERAL!$H$7,IF('PM-ORDER'!J7=GENERAL!$H$8,GENERAL!$H$8,"")))</f>
        <v>PLASTIC CHAIN WHITE</v>
      </c>
      <c r="L7" s="231" t="str">
        <f>IF(C7&lt;&gt;"",'CALCULATOR SHEET'!G15,"")</f>
        <v xml:space="preserve">BO BUDELLI GOLD </v>
      </c>
      <c r="M7" s="231" t="str">
        <f>IF(C7&lt;&gt;"",'CALCULATOR SHEET'!O15,"")</f>
        <v>REVERSE ROLL</v>
      </c>
      <c r="N7" s="231" t="str">
        <f>IF(C7&lt;&gt;"",'CALCULATOR SHEET'!H15,"")</f>
        <v xml:space="preserve">BEDROOM SLD SIDE A </v>
      </c>
      <c r="O7" s="233">
        <f>IF(D7&lt;&gt;"",'CALCULATOR SHEET'!I15,"")</f>
        <v>44</v>
      </c>
      <c r="P7" s="233">
        <f>IF(E7&lt;&gt;"",'CALCULATOR SHEET'!J15,"")</f>
        <v>89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>IF(D7&lt;&gt;"",'CALCULATOR SHEET'!N15,"")</f>
        <v>INSIDE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PLAYA LA MISION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 xml:space="preserve">BS 251025 A </v>
      </c>
      <c r="D8" s="229">
        <f>IF('CALCULATOR SHEET'!D16&lt;&gt;"",'CALCULATOR SHEET'!$T$9,"")</f>
        <v>45955</v>
      </c>
      <c r="E8" s="230" t="str">
        <f t="shared" si="0"/>
        <v>BAJA SHADES</v>
      </c>
      <c r="F8" s="231" t="str">
        <f>IF(C8&lt;&gt;"",'CALCULATOR SHEET'!$D$9,"")</f>
        <v xml:space="preserve">RESIDENCE NANCY </v>
      </c>
      <c r="G8" s="231" t="str">
        <f>IF('CALCULATOR SHEET'!D16&lt;&gt;"",'CALCULATOR SHEET'!D16,"")</f>
        <v>ROLLER</v>
      </c>
      <c r="H8" s="231" t="str">
        <f>IF(Q8="CCL",BOMS!AG8,"")</f>
        <v>RL-MAN -BSCH</v>
      </c>
      <c r="I8" s="230">
        <v>1</v>
      </c>
      <c r="J8" s="231" t="str">
        <f>IF(C8&lt;&gt;"",'CALCULATOR SHEET'!K16,"")</f>
        <v>PLASTIC CHAIN WHITE</v>
      </c>
      <c r="K8" s="231" t="str">
        <f>IF(J8=GENERAL!$H$6,GENERAL!$H$6,IF(J8=GENERAL!$H$7,GENERAL!$H$7,IF('PM-ORDER'!J8=GENERAL!$H$8,GENERAL!$H$8,"")))</f>
        <v>PLASTIC CHAIN WHITE</v>
      </c>
      <c r="L8" s="231" t="str">
        <f>IF(C8&lt;&gt;"",'CALCULATOR SHEET'!G16,"")</f>
        <v xml:space="preserve">BO BUDELLI GOLD </v>
      </c>
      <c r="M8" s="231" t="str">
        <f>IF(C8&lt;&gt;"",'CALCULATOR SHEET'!O16,"")</f>
        <v>REVERSE ROLL</v>
      </c>
      <c r="N8" s="231" t="str">
        <f>IF(C8&lt;&gt;"",'CALCULATOR SHEET'!H16,"")</f>
        <v xml:space="preserve">BEDROOM SLD SIDE B </v>
      </c>
      <c r="O8" s="233">
        <f>IF(D8&lt;&gt;"",'CALCULATOR SHEET'!I16,"")</f>
        <v>46.25</v>
      </c>
      <c r="P8" s="233">
        <f>IF(E8&lt;&gt;"",'CALCULATOR SHEET'!J16,"")</f>
        <v>89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L</v>
      </c>
      <c r="S8" s="230" t="str">
        <f>IF(D8&lt;&gt;"",'CALCULATOR SHEET'!N16,"")</f>
        <v>OUTSIDE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 xml:space="preserve">PLAYA LA MISION 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 xml:space="preserve">BS 251025 A </v>
      </c>
      <c r="D9" s="229">
        <f>IF('CALCULATOR SHEET'!D17&lt;&gt;"",'CALCULATOR SHEET'!$T$9,"")</f>
        <v>45955</v>
      </c>
      <c r="E9" s="230" t="str">
        <f t="shared" si="0"/>
        <v>BAJA SHADES</v>
      </c>
      <c r="F9" s="231" t="str">
        <f>IF(C9&lt;&gt;"",'CALCULATOR SHEET'!$D$9,"")</f>
        <v xml:space="preserve">RESIDENCE NANCY </v>
      </c>
      <c r="G9" s="231" t="str">
        <f>IF('CALCULATOR SHEET'!D17&lt;&gt;"",'CALCULATOR SHEET'!D17,"")</f>
        <v>ROLLER</v>
      </c>
      <c r="H9" s="231" t="str">
        <f>IF(Q9="CCL",BOMS!AG9,"")</f>
        <v>RL-MAN -BSCH</v>
      </c>
      <c r="I9" s="230">
        <v>1</v>
      </c>
      <c r="J9" s="231" t="str">
        <f>IF(C9&lt;&gt;"",'CALCULATOR SHEET'!K17,"")</f>
        <v>PLASTIC CHAIN WHITE</v>
      </c>
      <c r="K9" s="231" t="str">
        <f>IF(J9=GENERAL!$H$6,GENERAL!$H$6,IF(J9=GENERAL!$H$7,GENERAL!$H$7,IF('PM-ORDER'!J9=GENERAL!$H$8,GENERAL!$H$8,"")))</f>
        <v>PLASTIC CHAIN WHITE</v>
      </c>
      <c r="L9" s="231" t="str">
        <f>IF(C9&lt;&gt;"",'CALCULATOR SHEET'!G17,"")</f>
        <v xml:space="preserve">BO BUDELLI GOLD </v>
      </c>
      <c r="M9" s="231" t="str">
        <f>IF(C9&lt;&gt;"",'CALCULATOR SHEET'!O17,"")</f>
        <v>REVERSE ROLL</v>
      </c>
      <c r="N9" s="231" t="str">
        <f>IF(C9&lt;&gt;"",'CALCULATOR SHEET'!H17,"")</f>
        <v xml:space="preserve">BEDROOM SLD SIDE C </v>
      </c>
      <c r="O9" s="233">
        <f>IF(D9&lt;&gt;"",'CALCULATOR SHEET'!I17,"")</f>
        <v>45.25</v>
      </c>
      <c r="P9" s="233">
        <f>IF(E9&lt;&gt;"",'CALCULATOR SHEET'!J17,"")</f>
        <v>89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R</v>
      </c>
      <c r="S9" s="230" t="str">
        <f>IF(D9&lt;&gt;"",'CALCULATOR SHEET'!N17,"")</f>
        <v>INSIDE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 xml:space="preserve">PLAYA LA MISION 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1" t="s">
        <v>104</v>
      </c>
      <c r="D2" s="381"/>
      <c r="F2" s="381" t="s">
        <v>89</v>
      </c>
      <c r="G2" s="381"/>
      <c r="I2" s="381" t="s">
        <v>93</v>
      </c>
      <c r="J2" s="381"/>
    </row>
    <row r="3" spans="3:10">
      <c r="C3" s="381"/>
      <c r="D3" s="381"/>
      <c r="F3" s="381"/>
      <c r="G3" s="381"/>
      <c r="I3" s="381"/>
      <c r="J3" s="381"/>
    </row>
    <row r="4" spans="3:10">
      <c r="C4" s="381"/>
      <c r="D4" s="381"/>
      <c r="F4" s="381"/>
      <c r="G4" s="381"/>
      <c r="I4" s="381"/>
      <c r="J4" s="381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3" t="s">
        <v>60</v>
      </c>
      <c r="BC4" s="383"/>
      <c r="BD4" s="383"/>
      <c r="BE4" s="383"/>
      <c r="BF4" s="383"/>
      <c r="BG4" s="383"/>
      <c r="BH4" s="383"/>
      <c r="BI4" s="383"/>
      <c r="BJ4" s="383"/>
      <c r="BK4" s="383"/>
      <c r="BL4" s="383"/>
      <c r="BM4" s="383"/>
      <c r="BN4" s="383"/>
      <c r="BO4" s="383"/>
      <c r="BP4" s="383"/>
      <c r="BQ4" s="383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49.625</v>
      </c>
      <c r="AK7" s="36">
        <f>'CALCULATOR SHEET'!J13</f>
        <v>82</v>
      </c>
      <c r="AL7" s="36">
        <f>IF(AJ7=0,"",MATCH(CEILING(AJ7,6),$D$4:$Z$4,0))</f>
        <v>6</v>
      </c>
      <c r="AM7" s="36">
        <f>IF(AK7=0,"",MATCH(CEILING(AK7,6),$C$7:$C$28,0))</f>
        <v>11</v>
      </c>
      <c r="AN7" s="57">
        <f>IF(AL7="","",INDEX($D$7:$Z$28,AM7,AL7))</f>
        <v>130</v>
      </c>
      <c r="AO7" s="58"/>
      <c r="AP7" s="57">
        <f>IF(AJ7&gt;0,HLOOKUP(CEILING(AJ7,6),$D$30:$Z$31,2,0),"")</f>
        <v>65</v>
      </c>
      <c r="AQ7" s="57">
        <f>IF(AJ7&gt;0,HLOOKUP(CEILING(AJ7,6),$D$33:$Z$34,2,0),"")</f>
        <v>65</v>
      </c>
      <c r="AR7" s="59">
        <f>IF(AJ7&gt;0,HLOOKUP(CEILING(AJ7,6),$D$36:$Z$37,2,0))</f>
        <v>33</v>
      </c>
      <c r="AS7" s="57">
        <f>IF(AL7="","",INDEX($AX$6:$BT$27,AM7,AL7))</f>
        <v>471</v>
      </c>
      <c r="AT7" s="37">
        <f>IF(AK7&gt;0,VLOOKUP(CEILING(AK7,6),$AA$7:$AB$28,2,0),"")</f>
        <v>70</v>
      </c>
      <c r="AU7" s="109">
        <f>IF(AK7&gt;0,VLOOKUP(CEILING(AK7,6),$AA$7:$AC$28,3,0),"")</f>
        <v>10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51.5</v>
      </c>
      <c r="AK8" s="36">
        <f>'CALCULATOR SHEET'!J14</f>
        <v>82</v>
      </c>
      <c r="AL8" s="36">
        <f t="shared" ref="AL8:AL71" si="0">IF(AJ8=0,"",MATCH(CEILING(AJ8,6),$D$4:$Z$4,0))</f>
        <v>6</v>
      </c>
      <c r="AM8" s="36">
        <f t="shared" ref="AM8:AM71" si="1">IF(AK8=0,"",MATCH(CEILING(AK8,6),$C$7:$C$28,0))</f>
        <v>11</v>
      </c>
      <c r="AN8" s="57">
        <f t="shared" ref="AN8:AN71" si="2">IF(AL8="","",INDEX($D$7:$Z$28,AM8,AL8))</f>
        <v>130</v>
      </c>
      <c r="AO8" s="58"/>
      <c r="AP8" s="57">
        <f t="shared" ref="AP8:AP71" si="3">IF(AJ8&gt;0,HLOOKUP(CEILING(AJ8,6),$D$30:$Z$31,2,0),"")</f>
        <v>65</v>
      </c>
      <c r="AQ8" s="57">
        <f t="shared" ref="AQ8:AQ71" si="4">IF(AJ8&gt;0,HLOOKUP(CEILING(AJ8,6),$D$33:$Z$34,2,0),"")</f>
        <v>65</v>
      </c>
      <c r="AR8" s="59">
        <f t="shared" ref="AR8:AR71" si="5">IF(AJ8&gt;0,HLOOKUP(CEILING(AJ8,6),$D$36:$Z$37,2,0))</f>
        <v>33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70</v>
      </c>
      <c r="AU8" s="109">
        <f t="shared" ref="AU8:AU71" si="8">IF(AK8&gt;0,VLOOKUP(CEILING(AK8,6),$AA$7:$AC$28,3,0),"")</f>
        <v>10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44</v>
      </c>
      <c r="AK9" s="36">
        <f>'CALCULATOR SHEET'!J15</f>
        <v>89</v>
      </c>
      <c r="AL9" s="36">
        <f t="shared" si="0"/>
        <v>5</v>
      </c>
      <c r="AM9" s="36">
        <f t="shared" si="1"/>
        <v>12</v>
      </c>
      <c r="AN9" s="57">
        <f t="shared" si="2"/>
        <v>125</v>
      </c>
      <c r="AO9" s="58"/>
      <c r="AP9" s="57">
        <f t="shared" si="3"/>
        <v>62</v>
      </c>
      <c r="AQ9" s="57">
        <f t="shared" si="4"/>
        <v>56</v>
      </c>
      <c r="AR9" s="59">
        <f t="shared" si="5"/>
        <v>30</v>
      </c>
      <c r="AS9" s="57">
        <f t="shared" si="6"/>
        <v>471</v>
      </c>
      <c r="AT9" s="37">
        <f t="shared" si="7"/>
        <v>75</v>
      </c>
      <c r="AU9" s="109">
        <f t="shared" si="8"/>
        <v>10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46.25</v>
      </c>
      <c r="AK10" s="36">
        <f>'CALCULATOR SHEET'!J16</f>
        <v>89</v>
      </c>
      <c r="AL10" s="36">
        <f t="shared" si="0"/>
        <v>5</v>
      </c>
      <c r="AM10" s="36">
        <f t="shared" si="1"/>
        <v>12</v>
      </c>
      <c r="AN10" s="57">
        <f t="shared" si="2"/>
        <v>125</v>
      </c>
      <c r="AO10" s="58"/>
      <c r="AP10" s="57">
        <f t="shared" si="3"/>
        <v>62</v>
      </c>
      <c r="AQ10" s="57">
        <f t="shared" si="4"/>
        <v>56</v>
      </c>
      <c r="AR10" s="59">
        <f t="shared" si="5"/>
        <v>30</v>
      </c>
      <c r="AS10" s="57">
        <f t="shared" si="6"/>
        <v>471</v>
      </c>
      <c r="AT10" s="37">
        <f t="shared" si="7"/>
        <v>75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45.25</v>
      </c>
      <c r="AK11" s="36">
        <f>'CALCULATOR SHEET'!J17</f>
        <v>89</v>
      </c>
      <c r="AL11" s="36">
        <f t="shared" si="0"/>
        <v>5</v>
      </c>
      <c r="AM11" s="36">
        <f t="shared" si="1"/>
        <v>12</v>
      </c>
      <c r="AN11" s="57">
        <f t="shared" si="2"/>
        <v>125</v>
      </c>
      <c r="AO11" s="58"/>
      <c r="AP11" s="57">
        <f t="shared" si="3"/>
        <v>62</v>
      </c>
      <c r="AQ11" s="57">
        <f t="shared" si="4"/>
        <v>56</v>
      </c>
      <c r="AR11" s="59">
        <f t="shared" si="5"/>
        <v>30</v>
      </c>
      <c r="AS11" s="57">
        <f t="shared" si="6"/>
        <v>471</v>
      </c>
      <c r="AT11" s="37">
        <f t="shared" si="7"/>
        <v>75</v>
      </c>
      <c r="AU11" s="109">
        <f t="shared" si="8"/>
        <v>10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49.625</v>
      </c>
      <c r="AK7" s="53">
        <f>'CALCULATOR SHEET'!J13</f>
        <v>82</v>
      </c>
      <c r="AL7" s="53">
        <f>IF(AJ7=0,"",MATCH(CEILING(AJ7,6),$D$4:$Z$4,0))</f>
        <v>6</v>
      </c>
      <c r="AM7" s="53">
        <f>IF(AK7=0,"",MATCH(CEILING(AK7,6),$C$7:$C$28,0))</f>
        <v>11</v>
      </c>
      <c r="AN7" s="54">
        <f>IF(AL7="","",INDEX($D$7:$Z$28,AM7,AL7))</f>
        <v>139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51.5</v>
      </c>
      <c r="AK8" s="53">
        <f>'CALCULATOR SHEET'!J14</f>
        <v>82</v>
      </c>
      <c r="AL8" s="53">
        <f t="shared" ref="AL8:AL71" si="0">IF(AJ8=0,"",MATCH(CEILING(AJ8,6),$D$4:$Z$4,0))</f>
        <v>6</v>
      </c>
      <c r="AM8" s="53">
        <f t="shared" ref="AM8:AM71" si="1">IF(AK8=0,"",MATCH(CEILING(AK8,6),$C$7:$C$28,0))</f>
        <v>11</v>
      </c>
      <c r="AN8" s="54">
        <f t="shared" ref="AN8:AN71" si="2">IF(AL8="","",INDEX($D$7:$Z$28,AM8,AL8))</f>
        <v>139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44</v>
      </c>
      <c r="AK9" s="53">
        <f>'CALCULATOR SHEET'!J15</f>
        <v>89</v>
      </c>
      <c r="AL9" s="53">
        <f t="shared" si="0"/>
        <v>5</v>
      </c>
      <c r="AM9" s="53">
        <f t="shared" si="1"/>
        <v>12</v>
      </c>
      <c r="AN9" s="54">
        <f t="shared" si="2"/>
        <v>134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46.25</v>
      </c>
      <c r="AK10" s="53">
        <f>'CALCULATOR SHEET'!J16</f>
        <v>89</v>
      </c>
      <c r="AL10" s="53">
        <f t="shared" si="0"/>
        <v>5</v>
      </c>
      <c r="AM10" s="53">
        <f t="shared" si="1"/>
        <v>12</v>
      </c>
      <c r="AN10" s="54">
        <f t="shared" si="2"/>
        <v>134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45.25</v>
      </c>
      <c r="AK11" s="53">
        <f>'CALCULATOR SHEET'!J17</f>
        <v>89</v>
      </c>
      <c r="AL11" s="53">
        <f t="shared" si="0"/>
        <v>5</v>
      </c>
      <c r="AM11" s="53">
        <f t="shared" si="1"/>
        <v>12</v>
      </c>
      <c r="AN11" s="54">
        <f t="shared" si="2"/>
        <v>134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49.625</v>
      </c>
      <c r="AK7" s="53">
        <f>'CALCULATOR SHEET'!J13</f>
        <v>82</v>
      </c>
      <c r="AL7" s="53">
        <f t="shared" ref="AL7:AL70" si="0">IF(AJ7=0,"",MATCH(CEILING(AJ7,6),$D$4:$Z$4,0))</f>
        <v>6</v>
      </c>
      <c r="AM7" s="53">
        <f>IF(AK7=0,"",MATCH(CEILING(AK7,6),$C$7:$C$28,0))</f>
        <v>11</v>
      </c>
      <c r="AN7" s="54">
        <f t="shared" ref="AN7:AN70" si="1">IF(AL7="","",INDEX($D$7:$Z$28,AM7,AL7))</f>
        <v>160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51.5</v>
      </c>
      <c r="AK8" s="53">
        <f>'CALCULATOR SHEET'!J14</f>
        <v>82</v>
      </c>
      <c r="AL8" s="53">
        <f t="shared" si="0"/>
        <v>6</v>
      </c>
      <c r="AM8" s="53">
        <f t="shared" ref="AM8:AM71" si="2">IF(AK8=0,"",MATCH(CEILING(AK8,6),$C$7:$C$28,0))</f>
        <v>11</v>
      </c>
      <c r="AN8" s="54">
        <f t="shared" si="1"/>
        <v>160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44</v>
      </c>
      <c r="AK9" s="53">
        <f>'CALCULATOR SHEET'!J15</f>
        <v>89</v>
      </c>
      <c r="AL9" s="53">
        <f t="shared" si="0"/>
        <v>5</v>
      </c>
      <c r="AM9" s="53">
        <f t="shared" si="2"/>
        <v>12</v>
      </c>
      <c r="AN9" s="54">
        <f t="shared" si="1"/>
        <v>153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46.25</v>
      </c>
      <c r="AK10" s="53">
        <f>'CALCULATOR SHEET'!J16</f>
        <v>89</v>
      </c>
      <c r="AL10" s="53">
        <f t="shared" si="0"/>
        <v>5</v>
      </c>
      <c r="AM10" s="53">
        <f t="shared" si="2"/>
        <v>12</v>
      </c>
      <c r="AN10" s="54">
        <f t="shared" si="1"/>
        <v>153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45.25</v>
      </c>
      <c r="AK11" s="53">
        <f>'CALCULATOR SHEET'!J17</f>
        <v>89</v>
      </c>
      <c r="AL11" s="53">
        <f t="shared" si="0"/>
        <v>5</v>
      </c>
      <c r="AM11" s="53">
        <f t="shared" si="2"/>
        <v>12</v>
      </c>
      <c r="AN11" s="54">
        <f t="shared" si="1"/>
        <v>153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2025-10-27T22:02:06Z</cp:lastPrinted>
  <dcterms:created xsi:type="dcterms:W3CDTF">2016-09-27T19:33:28Z</dcterms:created>
  <dcterms:modified xsi:type="dcterms:W3CDTF">2025-10-27T22:02:07Z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