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08  AGOSTO 25\PO BS 082725EG-1 YURI C.O\"/>
    </mc:Choice>
  </mc:AlternateContent>
  <xr:revisionPtr revIDLastSave="0" documentId="8_{190A83DF-2AE1-4831-B5AD-031E9E660726}" xr6:coauthVersionLast="47" xr6:coauthVersionMax="47" xr10:uidLastSave="{00000000-0000-0000-0000-000000000000}"/>
  <bookViews>
    <workbookView xWindow="28680" yWindow="-12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_xlnm.Print_Titles" localSheetId="13">'TABLA PRECIOS BOD TOP GROMMET'!$1:$16</definedName>
    <definedName name="_xlnm.Print_Titles" localSheetId="14">'TABLA PRECIOS SHEER TOP GROMMET'!$1:$16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5" l="1"/>
  <c r="J16" i="5" l="1"/>
  <c r="J17" i="5"/>
  <c r="J18" i="5"/>
  <c r="J19" i="5"/>
  <c r="J21" i="5"/>
  <c r="O7" i="5"/>
  <c r="AC7" i="5"/>
  <c r="J15" i="5"/>
  <c r="AB2" i="5" l="1"/>
  <c r="AG2" i="5"/>
  <c r="R3" i="5"/>
  <c r="K4" i="5"/>
  <c r="R4" i="5"/>
  <c r="AB4" i="5"/>
  <c r="K7" i="5"/>
  <c r="S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AE15" i="5"/>
  <c r="AG15" i="5"/>
  <c r="AH15" i="5"/>
  <c r="AK15" i="5"/>
  <c r="AS15" i="5"/>
  <c r="AT15" i="5"/>
  <c r="AX15" i="5"/>
  <c r="AY15" i="5"/>
  <c r="B16" i="5"/>
  <c r="AE16" i="5"/>
  <c r="AF16" i="5"/>
  <c r="AG16" i="5"/>
  <c r="AH16" i="5"/>
  <c r="AK16" i="5"/>
  <c r="AS16" i="5"/>
  <c r="AT16" i="5"/>
  <c r="AX16" i="5"/>
  <c r="AY16" i="5"/>
  <c r="B17" i="5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17" i="5"/>
  <c r="AF17" i="5"/>
  <c r="AG17" i="5"/>
  <c r="AH17" i="5"/>
  <c r="AK17" i="5"/>
  <c r="AS17" i="5"/>
  <c r="AT17" i="5"/>
  <c r="AX17" i="5"/>
  <c r="AY17" i="5"/>
  <c r="AE18" i="5"/>
  <c r="AF18" i="5"/>
  <c r="AG18" i="5"/>
  <c r="AH18" i="5"/>
  <c r="AK18" i="5"/>
  <c r="AS18" i="5"/>
  <c r="AT18" i="5"/>
  <c r="AX18" i="5"/>
  <c r="BG18" i="5" s="1"/>
  <c r="AY18" i="5"/>
  <c r="BH18" i="5" s="1"/>
  <c r="AZ18" i="5"/>
  <c r="BB18" i="5"/>
  <c r="BC18" i="5" s="1"/>
  <c r="BD18" i="5"/>
  <c r="AE19" i="5"/>
  <c r="AF19" i="5"/>
  <c r="AG19" i="5"/>
  <c r="AJ19" i="5" s="1"/>
  <c r="AH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AE20" i="5"/>
  <c r="AF20" i="5"/>
  <c r="AI20" i="5" s="1"/>
  <c r="AG20" i="5"/>
  <c r="AH20" i="5"/>
  <c r="AJ20" i="5"/>
  <c r="AK20" i="5"/>
  <c r="AS20" i="5"/>
  <c r="AT20" i="5"/>
  <c r="AX20" i="5"/>
  <c r="BG20" i="5" s="1"/>
  <c r="AY20" i="5"/>
  <c r="BH20" i="5" s="1"/>
  <c r="AZ20" i="5"/>
  <c r="BB20" i="5"/>
  <c r="BC20" i="5" s="1"/>
  <c r="BD20" i="5"/>
  <c r="AE21" i="5"/>
  <c r="AF21" i="5"/>
  <c r="AG21" i="5"/>
  <c r="AH21" i="5"/>
  <c r="AJ21" i="5" s="1"/>
  <c r="AL21" i="5" s="1"/>
  <c r="AI21" i="5"/>
  <c r="AM21" i="5" s="1"/>
  <c r="AK21" i="5"/>
  <c r="AS21" i="5"/>
  <c r="AT21" i="5"/>
  <c r="AU21" i="5" s="1"/>
  <c r="AX21" i="5"/>
  <c r="BG21" i="5" s="1"/>
  <c r="AY21" i="5"/>
  <c r="BH21" i="5" s="1"/>
  <c r="AZ21" i="5"/>
  <c r="BB21" i="5"/>
  <c r="BC21" i="5" s="1"/>
  <c r="BD21" i="5"/>
  <c r="AE22" i="5"/>
  <c r="AF22" i="5"/>
  <c r="AI22" i="5" s="1"/>
  <c r="AG22" i="5"/>
  <c r="AJ22" i="5" s="1"/>
  <c r="AH22" i="5"/>
  <c r="AK22" i="5"/>
  <c r="AS22" i="5"/>
  <c r="AT22" i="5"/>
  <c r="AU22" i="5" s="1"/>
  <c r="AX22" i="5"/>
  <c r="BG22" i="5" s="1"/>
  <c r="AY22" i="5"/>
  <c r="BH22" i="5" s="1"/>
  <c r="AZ22" i="5"/>
  <c r="BB22" i="5"/>
  <c r="BC22" i="5" s="1"/>
  <c r="BD22" i="5"/>
  <c r="AE23" i="5"/>
  <c r="AF23" i="5"/>
  <c r="AG23" i="5"/>
  <c r="AH23" i="5"/>
  <c r="AK23" i="5"/>
  <c r="AS23" i="5"/>
  <c r="AT23" i="5"/>
  <c r="AX23" i="5"/>
  <c r="BG23" i="5" s="1"/>
  <c r="AY23" i="5"/>
  <c r="BH23" i="5" s="1"/>
  <c r="AZ23" i="5"/>
  <c r="BB23" i="5"/>
  <c r="BC23" i="5" s="1"/>
  <c r="BD23" i="5"/>
  <c r="AE24" i="5"/>
  <c r="AF24" i="5"/>
  <c r="AG24" i="5"/>
  <c r="AH24" i="5"/>
  <c r="AI24" i="5"/>
  <c r="AK24" i="5"/>
  <c r="AS24" i="5"/>
  <c r="AT24" i="5"/>
  <c r="AX24" i="5"/>
  <c r="BG24" i="5" s="1"/>
  <c r="AY24" i="5"/>
  <c r="BH24" i="5" s="1"/>
  <c r="AZ24" i="5"/>
  <c r="BB24" i="5"/>
  <c r="BC24" i="5" s="1"/>
  <c r="BD24" i="5"/>
  <c r="AE25" i="5"/>
  <c r="AF25" i="5"/>
  <c r="AG25" i="5"/>
  <c r="AH25" i="5"/>
  <c r="AK25" i="5"/>
  <c r="AS25" i="5"/>
  <c r="AT25" i="5"/>
  <c r="AX25" i="5"/>
  <c r="AY25" i="5"/>
  <c r="BH25" i="5" s="1"/>
  <c r="AZ25" i="5"/>
  <c r="BB25" i="5"/>
  <c r="BC25" i="5" s="1"/>
  <c r="BD25" i="5"/>
  <c r="BG25" i="5"/>
  <c r="AE26" i="5"/>
  <c r="AF26" i="5"/>
  <c r="AG26" i="5"/>
  <c r="AJ26" i="5" s="1"/>
  <c r="AH26" i="5"/>
  <c r="AI26" i="5"/>
  <c r="AR26" i="5" s="1"/>
  <c r="AK26" i="5"/>
  <c r="AS26" i="5"/>
  <c r="AT26" i="5"/>
  <c r="AU26" i="5" s="1"/>
  <c r="AX26" i="5"/>
  <c r="AY26" i="5"/>
  <c r="BH26" i="5" s="1"/>
  <c r="AZ26" i="5"/>
  <c r="BB26" i="5"/>
  <c r="BC26" i="5" s="1"/>
  <c r="BD26" i="5"/>
  <c r="BG26" i="5"/>
  <c r="AE27" i="5"/>
  <c r="AF27" i="5"/>
  <c r="AG27" i="5"/>
  <c r="AJ27" i="5" s="1"/>
  <c r="AH27" i="5"/>
  <c r="AK27" i="5"/>
  <c r="AS27" i="5"/>
  <c r="AT27" i="5"/>
  <c r="AX27" i="5"/>
  <c r="BG27" i="5" s="1"/>
  <c r="AY27" i="5"/>
  <c r="BH27" i="5" s="1"/>
  <c r="AZ27" i="5"/>
  <c r="BB27" i="5"/>
  <c r="BC27" i="5" s="1"/>
  <c r="BD27" i="5"/>
  <c r="AE28" i="5"/>
  <c r="AF28" i="5"/>
  <c r="AG28" i="5"/>
  <c r="AJ28" i="5" s="1"/>
  <c r="AL28" i="5" s="1"/>
  <c r="AH28" i="5"/>
  <c r="AK28" i="5"/>
  <c r="AS28" i="5"/>
  <c r="AT28" i="5"/>
  <c r="AX28" i="5"/>
  <c r="BG28" i="5" s="1"/>
  <c r="AY28" i="5"/>
  <c r="BH28" i="5" s="1"/>
  <c r="AZ28" i="5"/>
  <c r="BB28" i="5"/>
  <c r="BC28" i="5" s="1"/>
  <c r="BD28" i="5"/>
  <c r="AE29" i="5"/>
  <c r="AF29" i="5"/>
  <c r="AI29" i="5" s="1"/>
  <c r="AR29" i="5" s="1"/>
  <c r="AG29" i="5"/>
  <c r="AJ29" i="5" s="1"/>
  <c r="AH29" i="5"/>
  <c r="AK29" i="5"/>
  <c r="AS29" i="5"/>
  <c r="AT29" i="5"/>
  <c r="AX29" i="5"/>
  <c r="BG29" i="5" s="1"/>
  <c r="AY29" i="5"/>
  <c r="BH29" i="5" s="1"/>
  <c r="AZ29" i="5"/>
  <c r="BB29" i="5"/>
  <c r="BC29" i="5" s="1"/>
  <c r="BD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B65" i="5"/>
  <c r="B66" i="5" s="1"/>
  <c r="B67" i="5" s="1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C56" i="6"/>
  <c r="V56" i="6" s="1"/>
  <c r="R55" i="6"/>
  <c r="J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C42" i="6"/>
  <c r="N42" i="6" s="1"/>
  <c r="R41" i="6"/>
  <c r="J41" i="6"/>
  <c r="C41" i="6"/>
  <c r="Q41" i="6" s="1"/>
  <c r="R40" i="6"/>
  <c r="C40" i="6"/>
  <c r="Q40" i="6" s="1"/>
  <c r="R39" i="6"/>
  <c r="J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D32" i="6"/>
  <c r="C32" i="6"/>
  <c r="G32" i="6" s="1"/>
  <c r="R31" i="6"/>
  <c r="J31" i="6"/>
  <c r="C31" i="6"/>
  <c r="S31" i="6" s="1"/>
  <c r="R30" i="6"/>
  <c r="J30" i="6"/>
  <c r="C30" i="6"/>
  <c r="P30" i="6" s="1"/>
  <c r="AM24" i="5" l="1"/>
  <c r="AU25" i="5"/>
  <c r="AI25" i="5"/>
  <c r="AR25" i="5" s="1"/>
  <c r="AV25" i="5" s="1"/>
  <c r="AW25" i="5" s="1"/>
  <c r="AJ25" i="5"/>
  <c r="AU23" i="5"/>
  <c r="AL22" i="5"/>
  <c r="AN22" i="5" s="1"/>
  <c r="AO22" i="5" s="1"/>
  <c r="BE22" i="5" s="1"/>
  <c r="AM22" i="5"/>
  <c r="AU29" i="5"/>
  <c r="AV29" i="5" s="1"/>
  <c r="AW29" i="5" s="1"/>
  <c r="BI28" i="5"/>
  <c r="W28" i="5" s="1"/>
  <c r="AL29" i="5"/>
  <c r="AP29" i="5" s="1"/>
  <c r="AI28" i="5"/>
  <c r="AR28" i="5" s="1"/>
  <c r="AI27" i="5"/>
  <c r="AM27" i="5" s="1"/>
  <c r="AL25" i="5"/>
  <c r="AU28" i="5"/>
  <c r="AV28" i="5" s="1"/>
  <c r="AW28" i="5" s="1"/>
  <c r="AL27" i="5"/>
  <c r="AN27" i="5" s="1"/>
  <c r="AU20" i="5"/>
  <c r="AU27" i="5"/>
  <c r="BI27" i="5"/>
  <c r="W27" i="5" s="1"/>
  <c r="AM28" i="5"/>
  <c r="AN29" i="5"/>
  <c r="AO29" i="5"/>
  <c r="BE29" i="5" s="1"/>
  <c r="BI29" i="5"/>
  <c r="W29" i="5" s="1"/>
  <c r="AM29" i="5"/>
  <c r="AN28" i="5"/>
  <c r="AO28" i="5"/>
  <c r="BE28" i="5" s="1"/>
  <c r="AP28" i="5"/>
  <c r="AP27" i="5"/>
  <c r="AR27" i="5"/>
  <c r="AM26" i="5"/>
  <c r="AU24" i="5"/>
  <c r="AV26" i="5"/>
  <c r="AW26" i="5" s="1"/>
  <c r="AL26" i="5"/>
  <c r="BI26" i="5"/>
  <c r="W26" i="5" s="1"/>
  <c r="BI25" i="5"/>
  <c r="W25" i="5" s="1"/>
  <c r="AR24" i="5"/>
  <c r="AV24" i="5" s="1"/>
  <c r="AW24" i="5" s="1"/>
  <c r="AJ24" i="5"/>
  <c r="AL24" i="5"/>
  <c r="AN24" i="5" s="1"/>
  <c r="AI23" i="5"/>
  <c r="AM23" i="5" s="1"/>
  <c r="AJ23" i="5"/>
  <c r="AL23" i="5" s="1"/>
  <c r="BI20" i="5"/>
  <c r="W20" i="5" s="1"/>
  <c r="AL20" i="5"/>
  <c r="AL19" i="5"/>
  <c r="AN19" i="5" s="1"/>
  <c r="AI19" i="5"/>
  <c r="AM19" i="5" s="1"/>
  <c r="AU19" i="5"/>
  <c r="AJ17" i="5"/>
  <c r="AL17" i="5" s="1"/>
  <c r="AI18" i="5"/>
  <c r="AM18" i="5" s="1"/>
  <c r="D55" i="6"/>
  <c r="H56" i="6"/>
  <c r="AA36" i="6"/>
  <c r="P32" i="6"/>
  <c r="E42" i="6"/>
  <c r="M42" i="6" s="1"/>
  <c r="F39" i="6"/>
  <c r="E40" i="6"/>
  <c r="M40" i="6" s="1"/>
  <c r="I51" i="6"/>
  <c r="AA37" i="6"/>
  <c r="AA32" i="6"/>
  <c r="L40" i="6"/>
  <c r="AJ15" i="5"/>
  <c r="AL15" i="5" s="1"/>
  <c r="AA34" i="6"/>
  <c r="AA33" i="6"/>
  <c r="AJ16" i="5"/>
  <c r="AL16" i="5" s="1"/>
  <c r="AI16" i="5"/>
  <c r="AM16" i="5" s="1"/>
  <c r="AJ18" i="5"/>
  <c r="AL18" i="5" s="1"/>
  <c r="AI17" i="5"/>
  <c r="AM17" i="5" s="1"/>
  <c r="AU16" i="5"/>
  <c r="AU15" i="5"/>
  <c r="AU18" i="5"/>
  <c r="AU17" i="5"/>
  <c r="BI24" i="5"/>
  <c r="W24" i="5" s="1"/>
  <c r="BI23" i="5"/>
  <c r="W23" i="5" s="1"/>
  <c r="AM20" i="5"/>
  <c r="AC72" i="5"/>
  <c r="BI21" i="5"/>
  <c r="W21" i="5" s="1"/>
  <c r="X12" i="5"/>
  <c r="Y12" i="5"/>
  <c r="AN21" i="5"/>
  <c r="AP21" i="5" s="1"/>
  <c r="U12" i="5"/>
  <c r="V12" i="5"/>
  <c r="AI15" i="5"/>
  <c r="BI18" i="5"/>
  <c r="W18" i="5" s="1"/>
  <c r="BI22" i="5"/>
  <c r="W22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V22" i="5" s="1"/>
  <c r="AW22" i="5" s="1"/>
  <c r="AR21" i="5"/>
  <c r="AV21" i="5" s="1"/>
  <c r="AW21" i="5" s="1"/>
  <c r="AR20" i="5"/>
  <c r="AR19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V20" i="5" l="1"/>
  <c r="AW20" i="5" s="1"/>
  <c r="AV19" i="5"/>
  <c r="AW19" i="5" s="1"/>
  <c r="AP24" i="5"/>
  <c r="AN25" i="5"/>
  <c r="AO25" i="5" s="1"/>
  <c r="BE25" i="5" s="1"/>
  <c r="AM25" i="5"/>
  <c r="AR23" i="5"/>
  <c r="AV23" i="5" s="1"/>
  <c r="AW23" i="5" s="1"/>
  <c r="AO27" i="5"/>
  <c r="BE27" i="5" s="1"/>
  <c r="AN20" i="5"/>
  <c r="AP20" i="5" s="1"/>
  <c r="AQ20" i="5" s="1"/>
  <c r="AO21" i="5"/>
  <c r="BE21" i="5" s="1"/>
  <c r="AV27" i="5"/>
  <c r="AW27" i="5" s="1"/>
  <c r="BA29" i="5"/>
  <c r="BF29" i="5" s="1"/>
  <c r="AQ29" i="5"/>
  <c r="AQ28" i="5"/>
  <c r="BA28" i="5"/>
  <c r="BF28" i="5" s="1"/>
  <c r="AQ27" i="5"/>
  <c r="BA27" i="5"/>
  <c r="AN26" i="5"/>
  <c r="AP26" i="5" s="1"/>
  <c r="AO26" i="5"/>
  <c r="BE26" i="5" s="1"/>
  <c r="AO24" i="5"/>
  <c r="BE24" i="5" s="1"/>
  <c r="AP22" i="5"/>
  <c r="BA22" i="5" s="1"/>
  <c r="BF22" i="5" s="1"/>
  <c r="AO19" i="5"/>
  <c r="BE19" i="5" s="1"/>
  <c r="AN17" i="5"/>
  <c r="AP19" i="5"/>
  <c r="BA19" i="5" s="1"/>
  <c r="AN16" i="5"/>
  <c r="AP16" i="5" s="1"/>
  <c r="AQ16" i="5" s="1"/>
  <c r="AR16" i="5"/>
  <c r="AV16" i="5" s="1"/>
  <c r="AR18" i="5"/>
  <c r="AV18" i="5" s="1"/>
  <c r="AW18" i="5" s="1"/>
  <c r="AR17" i="5"/>
  <c r="AV17" i="5" s="1"/>
  <c r="AW17" i="5" s="1"/>
  <c r="AN18" i="5"/>
  <c r="AO18" i="5" s="1"/>
  <c r="BE18" i="5" s="1"/>
  <c r="AP17" i="5"/>
  <c r="AO17" i="5"/>
  <c r="BA24" i="5"/>
  <c r="AQ24" i="5"/>
  <c r="J24" i="5" s="1"/>
  <c r="AN23" i="5"/>
  <c r="AP23" i="5" s="1"/>
  <c r="AM15" i="5"/>
  <c r="AN15" i="5" s="1"/>
  <c r="AR15" i="5"/>
  <c r="AV15" i="5" s="1"/>
  <c r="AQ21" i="5"/>
  <c r="BA21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AP25" i="5" l="1"/>
  <c r="BA25" i="5" s="1"/>
  <c r="BF25" i="5" s="1"/>
  <c r="T25" i="5" s="1"/>
  <c r="BF27" i="5"/>
  <c r="T27" i="5" s="1"/>
  <c r="AO23" i="5"/>
  <c r="BE23" i="5" s="1"/>
  <c r="BA20" i="5"/>
  <c r="AO20" i="5"/>
  <c r="BE20" i="5" s="1"/>
  <c r="BF21" i="5"/>
  <c r="BJ21" i="5" s="1"/>
  <c r="T29" i="5"/>
  <c r="BJ29" i="5"/>
  <c r="T28" i="5"/>
  <c r="BJ28" i="5"/>
  <c r="BA26" i="5"/>
  <c r="BF26" i="5" s="1"/>
  <c r="AQ26" i="5"/>
  <c r="BJ25" i="5"/>
  <c r="BF24" i="5"/>
  <c r="BJ24" i="5" s="1"/>
  <c r="AQ22" i="5"/>
  <c r="J22" i="5" s="1"/>
  <c r="AQ19" i="5"/>
  <c r="BF19" i="5"/>
  <c r="T19" i="5" s="1"/>
  <c r="AO16" i="5"/>
  <c r="AP18" i="5"/>
  <c r="BA18" i="5" s="1"/>
  <c r="BF18" i="5" s="1"/>
  <c r="BJ18" i="5" s="1"/>
  <c r="AW16" i="5"/>
  <c r="AW15" i="5"/>
  <c r="AQ17" i="5"/>
  <c r="AQ23" i="5"/>
  <c r="J23" i="5" s="1"/>
  <c r="BA23" i="5"/>
  <c r="AO15" i="5"/>
  <c r="AP15" i="5"/>
  <c r="BJ22" i="5"/>
  <c r="T22" i="5"/>
  <c r="E15" i="10"/>
  <c r="E19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E14" i="10" s="1"/>
  <c r="AQ25" i="5" l="1"/>
  <c r="J25" i="5" s="1"/>
  <c r="BF20" i="5"/>
  <c r="BJ20" i="5" s="1"/>
  <c r="BF23" i="5"/>
  <c r="BJ23" i="5" s="1"/>
  <c r="BJ19" i="5"/>
  <c r="T21" i="5"/>
  <c r="AB21" i="5" s="1"/>
  <c r="AC21" i="5" s="1"/>
  <c r="BJ27" i="5"/>
  <c r="AB29" i="5"/>
  <c r="AC29" i="5" s="1"/>
  <c r="Z29" i="5"/>
  <c r="AA29" i="5" s="1"/>
  <c r="Z28" i="5"/>
  <c r="AA28" i="5" s="1"/>
  <c r="AB28" i="5"/>
  <c r="AC28" i="5" s="1"/>
  <c r="Z27" i="5"/>
  <c r="AA27" i="5" s="1"/>
  <c r="AB27" i="5"/>
  <c r="AC27" i="5" s="1"/>
  <c r="T26" i="5"/>
  <c r="BJ26" i="5"/>
  <c r="AB25" i="5"/>
  <c r="AC25" i="5" s="1"/>
  <c r="Z25" i="5"/>
  <c r="AA25" i="5" s="1"/>
  <c r="T24" i="5"/>
  <c r="AB24" i="5" s="1"/>
  <c r="AC24" i="5" s="1"/>
  <c r="AQ18" i="5"/>
  <c r="T18" i="5"/>
  <c r="AB18" i="5" s="1"/>
  <c r="AC18" i="5" s="1"/>
  <c r="Z19" i="5"/>
  <c r="AA19" i="5" s="1"/>
  <c r="AB19" i="5"/>
  <c r="AC19" i="5" s="1"/>
  <c r="Z21" i="5"/>
  <c r="AA21" i="5" s="1"/>
  <c r="Z22" i="5"/>
  <c r="AA22" i="5" s="1"/>
  <c r="AB22" i="5"/>
  <c r="AC22" i="5" s="1"/>
  <c r="AQ15" i="5"/>
  <c r="C84" i="10"/>
  <c r="D18" i="19"/>
  <c r="D85" i="10" s="1"/>
  <c r="C85" i="10"/>
  <c r="T23" i="5" l="1"/>
  <c r="Z23" i="5" s="1"/>
  <c r="AA23" i="5" s="1"/>
  <c r="T20" i="5"/>
  <c r="Z20" i="5" s="1"/>
  <c r="AA20" i="5" s="1"/>
  <c r="AB26" i="5"/>
  <c r="AC26" i="5" s="1"/>
  <c r="Z26" i="5"/>
  <c r="AA26" i="5" s="1"/>
  <c r="Z24" i="5"/>
  <c r="AA24" i="5" s="1"/>
  <c r="Z18" i="5"/>
  <c r="AA18" i="5" s="1"/>
  <c r="F83" i="10"/>
  <c r="E83" i="10"/>
  <c r="G83" i="10"/>
  <c r="H83" i="10" s="1"/>
  <c r="I83" i="10" s="1"/>
  <c r="AB23" i="5" l="1"/>
  <c r="AC23" i="5" s="1"/>
  <c r="AB20" i="5"/>
  <c r="AC20" i="5" s="1"/>
  <c r="F81" i="10"/>
  <c r="E81" i="10"/>
  <c r="G81" i="10"/>
  <c r="H81" i="10" s="1"/>
  <c r="I81" i="10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9" i="20"/>
  <c r="AG291" i="20"/>
  <c r="AG287" i="20"/>
  <c r="AG279" i="20"/>
  <c r="AG275" i="20"/>
  <c r="AG267" i="20"/>
  <c r="AG263" i="20"/>
  <c r="AG255" i="20"/>
  <c r="AG250" i="20"/>
  <c r="AG242" i="20"/>
  <c r="AG238" i="20"/>
  <c r="AG230" i="20"/>
  <c r="AG226" i="20"/>
  <c r="AG218" i="20"/>
  <c r="AB299" i="20"/>
  <c r="AB298" i="20"/>
  <c r="AG298" i="20" s="1"/>
  <c r="AB297" i="20"/>
  <c r="AG297" i="20" s="1"/>
  <c r="AB296" i="20"/>
  <c r="AG296" i="20" s="1"/>
  <c r="AG295" i="20" s="1"/>
  <c r="AB295" i="20"/>
  <c r="AB294" i="20"/>
  <c r="AB293" i="20"/>
  <c r="AG293" i="20" s="1"/>
  <c r="AB292" i="20"/>
  <c r="AG292" i="20" s="1"/>
  <c r="AB291" i="20"/>
  <c r="AB290" i="20"/>
  <c r="AG290" i="20" s="1"/>
  <c r="AB289" i="20"/>
  <c r="AB288" i="20"/>
  <c r="AB287" i="20"/>
  <c r="AB286" i="20"/>
  <c r="AG286" i="20" s="1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B278" i="20"/>
  <c r="AG278" i="20" s="1"/>
  <c r="AB277" i="20"/>
  <c r="AB276" i="20"/>
  <c r="AB275" i="20"/>
  <c r="AB274" i="20"/>
  <c r="AG274" i="20" s="1"/>
  <c r="AB273" i="20"/>
  <c r="AG273" i="20" s="1"/>
  <c r="AB272" i="20"/>
  <c r="AG272" i="20" s="1"/>
  <c r="AB271" i="20"/>
  <c r="AB270" i="20"/>
  <c r="AB269" i="20"/>
  <c r="AG269" i="20" s="1"/>
  <c r="AB268" i="20"/>
  <c r="AG268" i="20" s="1"/>
  <c r="AB267" i="20"/>
  <c r="AB266" i="20"/>
  <c r="AG266" i="20" s="1"/>
  <c r="AB265" i="20"/>
  <c r="AB264" i="20"/>
  <c r="AB263" i="20"/>
  <c r="AB262" i="20"/>
  <c r="AG262" i="20" s="1"/>
  <c r="AB261" i="20"/>
  <c r="AG261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G254" i="20" s="1"/>
  <c r="AB253" i="20"/>
  <c r="AB252" i="20"/>
  <c r="AB250" i="20"/>
  <c r="AB249" i="20"/>
  <c r="AG249" i="20" s="1"/>
  <c r="AB248" i="20"/>
  <c r="AG248" i="20" s="1"/>
  <c r="AB247" i="20"/>
  <c r="AG247" i="20" s="1"/>
  <c r="AG246" i="20" s="1"/>
  <c r="AB246" i="20"/>
  <c r="AB245" i="20"/>
  <c r="AB244" i="20"/>
  <c r="AG244" i="20" s="1"/>
  <c r="AB243" i="20"/>
  <c r="AG243" i="20" s="1"/>
  <c r="AB242" i="20"/>
  <c r="AB241" i="20"/>
  <c r="AG241" i="20" s="1"/>
  <c r="AB240" i="20"/>
  <c r="AB239" i="20"/>
  <c r="AB238" i="20"/>
  <c r="AB237" i="20"/>
  <c r="AG237" i="20" s="1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B229" i="20"/>
  <c r="AG229" i="20" s="1"/>
  <c r="AB228" i="20"/>
  <c r="AB227" i="20"/>
  <c r="AB226" i="20"/>
  <c r="AB225" i="20"/>
  <c r="AG225" i="20" s="1"/>
  <c r="AB224" i="20"/>
  <c r="AG224" i="20" s="1"/>
  <c r="AB223" i="20"/>
  <c r="AG223" i="20" s="1"/>
  <c r="AB222" i="20"/>
  <c r="AB221" i="20"/>
  <c r="AB220" i="20"/>
  <c r="AG220" i="20" s="1"/>
  <c r="AB219" i="20"/>
  <c r="AG219" i="20" s="1"/>
  <c r="AB218" i="20"/>
  <c r="AB217" i="20"/>
  <c r="AG217" i="20" s="1"/>
  <c r="AB216" i="20"/>
  <c r="AB215" i="20"/>
  <c r="AB214" i="20"/>
  <c r="AG214" i="20" s="1"/>
  <c r="AB213" i="20"/>
  <c r="AG213" i="20" s="1"/>
  <c r="AB212" i="20"/>
  <c r="AG212" i="20" s="1"/>
  <c r="AB211" i="20"/>
  <c r="AG211" i="20" s="1"/>
  <c r="AG210" i="20" s="1"/>
  <c r="AB210" i="20"/>
  <c r="AB209" i="20"/>
  <c r="AB208" i="20"/>
  <c r="AG208" i="20" s="1"/>
  <c r="AB207" i="20"/>
  <c r="AG207" i="20" s="1"/>
  <c r="AB206" i="20"/>
  <c r="AG206" i="20" s="1"/>
  <c r="AB205" i="20"/>
  <c r="AG205" i="20" s="1"/>
  <c r="AB204" i="20"/>
  <c r="AB203" i="20"/>
  <c r="Z293" i="20"/>
  <c r="U299" i="20"/>
  <c r="Z299" i="20" s="1"/>
  <c r="U298" i="20"/>
  <c r="Z298" i="20" s="1"/>
  <c r="U297" i="20"/>
  <c r="Z297" i="20" s="1"/>
  <c r="U296" i="20"/>
  <c r="Z296" i="20" s="1"/>
  <c r="U295" i="20"/>
  <c r="U294" i="20"/>
  <c r="U293" i="20"/>
  <c r="U292" i="20"/>
  <c r="Z292" i="20" s="1"/>
  <c r="U291" i="20"/>
  <c r="Z291" i="20" s="1"/>
  <c r="Z289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U283" i="20"/>
  <c r="U282" i="20"/>
  <c r="U281" i="20"/>
  <c r="Z281" i="20" s="1"/>
  <c r="Z276" i="20" s="1"/>
  <c r="U280" i="20"/>
  <c r="Z280" i="20" s="1"/>
  <c r="U279" i="20"/>
  <c r="Z279" i="20" s="1"/>
  <c r="U278" i="20"/>
  <c r="Z278" i="20" s="1"/>
  <c r="U277" i="20"/>
  <c r="U276" i="20"/>
  <c r="U275" i="20"/>
  <c r="Z275" i="20" s="1"/>
  <c r="U274" i="20"/>
  <c r="Z274" i="20" s="1"/>
  <c r="U273" i="20"/>
  <c r="Z273" i="20" s="1"/>
  <c r="Z271" i="20" s="1"/>
  <c r="U272" i="20"/>
  <c r="Z272" i="20" s="1"/>
  <c r="U271" i="20"/>
  <c r="U270" i="20"/>
  <c r="U269" i="20"/>
  <c r="Z269" i="20" s="1"/>
  <c r="U268" i="20"/>
  <c r="Z268" i="20" s="1"/>
  <c r="U267" i="20"/>
  <c r="Z267" i="20" s="1"/>
  <c r="U266" i="20"/>
  <c r="Z266" i="20" s="1"/>
  <c r="U265" i="20"/>
  <c r="U264" i="20"/>
  <c r="U263" i="20"/>
  <c r="Z263" i="20" s="1"/>
  <c r="U262" i="20"/>
  <c r="Z262" i="20" s="1"/>
  <c r="U261" i="20"/>
  <c r="Z261" i="20" s="1"/>
  <c r="U260" i="20"/>
  <c r="Z260" i="20" s="1"/>
  <c r="U259" i="20"/>
  <c r="U258" i="20"/>
  <c r="U257" i="20"/>
  <c r="Z257" i="20" s="1"/>
  <c r="U256" i="20"/>
  <c r="Z256" i="20" s="1"/>
  <c r="U255" i="20"/>
  <c r="Z255" i="20" s="1"/>
  <c r="U254" i="20"/>
  <c r="Z254" i="20" s="1"/>
  <c r="U253" i="20"/>
  <c r="U252" i="20"/>
  <c r="U250" i="20"/>
  <c r="Z250" i="20" s="1"/>
  <c r="U249" i="20"/>
  <c r="Z249" i="20" s="1"/>
  <c r="U248" i="20"/>
  <c r="Z248" i="20" s="1"/>
  <c r="U247" i="20"/>
  <c r="Z247" i="20" s="1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U234" i="20"/>
  <c r="U233" i="20"/>
  <c r="U232" i="20"/>
  <c r="Z232" i="20" s="1"/>
  <c r="U231" i="20"/>
  <c r="Z231" i="20" s="1"/>
  <c r="U230" i="20"/>
  <c r="Z230" i="20" s="1"/>
  <c r="U229" i="20"/>
  <c r="Z229" i="20" s="1"/>
  <c r="U228" i="20"/>
  <c r="U227" i="20"/>
  <c r="U226" i="20"/>
  <c r="Z226" i="20" s="1"/>
  <c r="U225" i="20"/>
  <c r="Z225" i="20" s="1"/>
  <c r="U224" i="20"/>
  <c r="Z224" i="20" s="1"/>
  <c r="Z222" i="20" s="1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U216" i="20"/>
  <c r="U215" i="20"/>
  <c r="U214" i="20"/>
  <c r="Z214" i="20" s="1"/>
  <c r="U213" i="20"/>
  <c r="Z213" i="20" s="1"/>
  <c r="U212" i="20"/>
  <c r="Z212" i="20" s="1"/>
  <c r="U211" i="20"/>
  <c r="Z211" i="20" s="1"/>
  <c r="U210" i="20"/>
  <c r="U209" i="20"/>
  <c r="U208" i="20"/>
  <c r="Z208" i="20" s="1"/>
  <c r="U207" i="20"/>
  <c r="Z207" i="20" s="1"/>
  <c r="U206" i="20"/>
  <c r="Z206" i="20" s="1"/>
  <c r="U205" i="20"/>
  <c r="Z205" i="20" s="1"/>
  <c r="U204" i="20"/>
  <c r="U203" i="20"/>
  <c r="Z204" i="20" l="1"/>
  <c r="Z203" i="20"/>
  <c r="Z216" i="20"/>
  <c r="Z227" i="20"/>
  <c r="Z253" i="20"/>
  <c r="Z265" i="20"/>
  <c r="AG222" i="20"/>
  <c r="AG234" i="20"/>
  <c r="AG259" i="20"/>
  <c r="AG271" i="20"/>
  <c r="Z210" i="20"/>
  <c r="Z240" i="20"/>
  <c r="Z259" i="20"/>
  <c r="Z277" i="20"/>
  <c r="AG204" i="20"/>
  <c r="AG253" i="20"/>
  <c r="AG252" i="20"/>
  <c r="AG265" i="20"/>
  <c r="AG276" i="20"/>
  <c r="Z228" i="20"/>
  <c r="Z234" i="20"/>
  <c r="Z246" i="20"/>
  <c r="Z283" i="20"/>
  <c r="Z295" i="20"/>
  <c r="AG216" i="20"/>
  <c r="AG228" i="20"/>
  <c r="AG240" i="20"/>
  <c r="AG277" i="20"/>
  <c r="AG289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AI65" i="22"/>
  <c r="B65" i="22"/>
  <c r="B66" i="22" s="1"/>
  <c r="B67" i="22" s="1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P55" i="22"/>
  <c r="AR55" i="22" s="1"/>
  <c r="AN55" i="22"/>
  <c r="AM55" i="22"/>
  <c r="AK55" i="22"/>
  <c r="J55" i="22"/>
  <c r="BH54" i="22"/>
  <c r="BI54" i="22" s="1"/>
  <c r="BE54" i="22"/>
  <c r="BD54" i="22"/>
  <c r="AZ54" i="22"/>
  <c r="BA54" i="22" s="1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AY52" i="22"/>
  <c r="AQ52" i="22"/>
  <c r="AN52" i="22"/>
  <c r="AM52" i="22"/>
  <c r="AP52" i="22" s="1"/>
  <c r="AR52" i="22" s="1"/>
  <c r="AK52" i="22"/>
  <c r="J52" i="22"/>
  <c r="BH51" i="22"/>
  <c r="BI51" i="22" s="1"/>
  <c r="BE51" i="22"/>
  <c r="BD51" i="22"/>
  <c r="AZ51" i="22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P50" i="22" s="1"/>
  <c r="AR50" i="22" s="1"/>
  <c r="AM50" i="22"/>
  <c r="AK50" i="22"/>
  <c r="J50" i="22"/>
  <c r="BH49" i="22"/>
  <c r="BI49" i="22" s="1"/>
  <c r="BE49" i="22"/>
  <c r="BD49" i="22"/>
  <c r="AZ49" i="22"/>
  <c r="BA49" i="22" s="1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N46" i="22"/>
  <c r="AM46" i="22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N39" i="22"/>
  <c r="AM39" i="22"/>
  <c r="AP39" i="22" s="1"/>
  <c r="AK39" i="22"/>
  <c r="J39" i="22"/>
  <c r="BH38" i="22"/>
  <c r="BI38" i="22" s="1"/>
  <c r="BE38" i="22"/>
  <c r="BD38" i="22"/>
  <c r="AZ38" i="22"/>
  <c r="BA38" i="22" s="1"/>
  <c r="AY38" i="22"/>
  <c r="AQ38" i="22"/>
  <c r="AR38" i="22" s="1"/>
  <c r="AN38" i="22"/>
  <c r="AM38" i="22"/>
  <c r="AP38" i="22" s="1"/>
  <c r="AK38" i="22"/>
  <c r="J38" i="22"/>
  <c r="BH37" i="22"/>
  <c r="BI37" i="22" s="1"/>
  <c r="BE37" i="22"/>
  <c r="BD37" i="22"/>
  <c r="AZ37" i="22"/>
  <c r="BA37" i="22" s="1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N35" i="22"/>
  <c r="AM35" i="22"/>
  <c r="AP35" i="22" s="1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BA33" i="22" s="1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K30" i="22"/>
  <c r="J30" i="22"/>
  <c r="BH29" i="22"/>
  <c r="BI29" i="22" s="1"/>
  <c r="BE29" i="22"/>
  <c r="BD29" i="22"/>
  <c r="AZ29" i="22"/>
  <c r="BA29" i="22" s="1"/>
  <c r="AY29" i="22"/>
  <c r="AQ29" i="22"/>
  <c r="AR29" i="22" s="1"/>
  <c r="AN29" i="22"/>
  <c r="AM29" i="22"/>
  <c r="AP29" i="22" s="1"/>
  <c r="AK29" i="22"/>
  <c r="J29" i="22"/>
  <c r="BH28" i="22"/>
  <c r="BI28" i="22" s="1"/>
  <c r="BE28" i="22"/>
  <c r="BD28" i="22"/>
  <c r="AZ28" i="22"/>
  <c r="BA28" i="22" s="1"/>
  <c r="AY28" i="22"/>
  <c r="AQ28" i="22"/>
  <c r="AR28" i="22" s="1"/>
  <c r="AN28" i="22"/>
  <c r="AM28" i="22"/>
  <c r="AK28" i="22"/>
  <c r="J28" i="22"/>
  <c r="BH27" i="22"/>
  <c r="BI27" i="22" s="1"/>
  <c r="BE27" i="22"/>
  <c r="BD27" i="22"/>
  <c r="AZ27" i="22"/>
  <c r="BA27" i="22" s="1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R24" i="22"/>
  <c r="AQ24" i="22"/>
  <c r="AN24" i="22"/>
  <c r="AM24" i="22"/>
  <c r="AP24" i="22" s="1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N23" i="22"/>
  <c r="AM23" i="22"/>
  <c r="AP23" i="22" s="1"/>
  <c r="AK23" i="22"/>
  <c r="J23" i="22"/>
  <c r="BH22" i="22"/>
  <c r="BI22" i="22" s="1"/>
  <c r="BE22" i="22"/>
  <c r="BD22" i="22"/>
  <c r="AZ22" i="22"/>
  <c r="BA22" i="22" s="1"/>
  <c r="AY22" i="22"/>
  <c r="AQ22" i="22"/>
  <c r="AR22" i="22" s="1"/>
  <c r="AN22" i="22"/>
  <c r="AM22" i="22"/>
  <c r="AK22" i="22"/>
  <c r="J22" i="22"/>
  <c r="BH21" i="22"/>
  <c r="BI21" i="22" s="1"/>
  <c r="BE21" i="22"/>
  <c r="BD21" i="22"/>
  <c r="AZ21" i="22"/>
  <c r="BA21" i="22" s="1"/>
  <c r="AY21" i="22"/>
  <c r="AQ21" i="22"/>
  <c r="AR21" i="22" s="1"/>
  <c r="AN21" i="22"/>
  <c r="AM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AY18" i="22"/>
  <c r="AQ18" i="22"/>
  <c r="AR18" i="22" s="1"/>
  <c r="AN18" i="22"/>
  <c r="AM18" i="22"/>
  <c r="AK18" i="22"/>
  <c r="J18" i="22"/>
  <c r="BH17" i="22"/>
  <c r="BI17" i="22" s="1"/>
  <c r="BE17" i="22"/>
  <c r="BD17" i="22"/>
  <c r="AZ17" i="22"/>
  <c r="BA17" i="22" s="1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BA16" i="22" s="1"/>
  <c r="AY16" i="22"/>
  <c r="AQ16" i="22"/>
  <c r="AR16" i="22" s="1"/>
  <c r="AN16" i="22"/>
  <c r="AM16" i="22"/>
  <c r="AP16" i="22" s="1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AY15" i="22"/>
  <c r="AQ15" i="22"/>
  <c r="AR15" i="22" s="1"/>
  <c r="AN15" i="22"/>
  <c r="AP15" i="22" s="1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P12" i="22"/>
  <c r="AA12" i="22" s="1"/>
  <c r="AF12" i="22" s="1"/>
  <c r="AG12" i="22" s="1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C61" i="21"/>
  <c r="AC60" i="21"/>
  <c r="AC59" i="21"/>
  <c r="AC56" i="21"/>
  <c r="AC55" i="21"/>
  <c r="AC54" i="21"/>
  <c r="AC53" i="21"/>
  <c r="AC50" i="21"/>
  <c r="AC49" i="21"/>
  <c r="AC48" i="21"/>
  <c r="AC47" i="21"/>
  <c r="AC44" i="21"/>
  <c r="AC43" i="21"/>
  <c r="AC42" i="21"/>
  <c r="AC41" i="21"/>
  <c r="AC38" i="21"/>
  <c r="AC37" i="21"/>
  <c r="AC36" i="21"/>
  <c r="AC35" i="21"/>
  <c r="AD35" i="21" s="1"/>
  <c r="AC32" i="21"/>
  <c r="AC31" i="21"/>
  <c r="AC30" i="21"/>
  <c r="AC29" i="21"/>
  <c r="AC26" i="21"/>
  <c r="AC25" i="21"/>
  <c r="AC24" i="21"/>
  <c r="AC20" i="21"/>
  <c r="AC19" i="21"/>
  <c r="AC18" i="21"/>
  <c r="AC23" i="21"/>
  <c r="AC17" i="21"/>
  <c r="AC17" i="18"/>
  <c r="AD11" i="21"/>
  <c r="AD18" i="21" s="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39" i="22"/>
  <c r="AT39" i="22" s="1"/>
  <c r="AB12" i="21"/>
  <c r="AD60" i="21"/>
  <c r="AD17" i="21"/>
  <c r="AE17" i="21" s="1"/>
  <c r="AD54" i="21"/>
  <c r="AP18" i="22"/>
  <c r="W19" i="22"/>
  <c r="X19" i="22" s="1"/>
  <c r="AL21" i="22"/>
  <c r="AL22" i="22"/>
  <c r="AR40" i="22"/>
  <c r="AR45" i="22"/>
  <c r="AR48" i="22"/>
  <c r="BA51" i="22"/>
  <c r="AP62" i="22"/>
  <c r="AD61" i="21"/>
  <c r="AL16" i="22"/>
  <c r="AO16" i="22" s="1"/>
  <c r="W18" i="22"/>
  <c r="X18" i="22" s="1"/>
  <c r="Y18" i="22" s="1"/>
  <c r="AD19" i="22"/>
  <c r="AP20" i="22"/>
  <c r="AP21" i="22"/>
  <c r="AP22" i="22"/>
  <c r="BA32" i="22"/>
  <c r="AL38" i="22"/>
  <c r="AP43" i="22"/>
  <c r="AP46" i="22"/>
  <c r="AP56" i="22"/>
  <c r="BA57" i="22"/>
  <c r="AP58" i="22"/>
  <c r="AR58" i="22" s="1"/>
  <c r="AD20" i="21"/>
  <c r="AD50" i="21"/>
  <c r="AD62" i="21"/>
  <c r="BA15" i="22"/>
  <c r="W20" i="22"/>
  <c r="AL29" i="22"/>
  <c r="AP30" i="22"/>
  <c r="BA40" i="22"/>
  <c r="AR61" i="22"/>
  <c r="AD53" i="21"/>
  <c r="BA18" i="22"/>
  <c r="AD20" i="22"/>
  <c r="AR46" i="22"/>
  <c r="BA47" i="22"/>
  <c r="BA52" i="22"/>
  <c r="BA56" i="22"/>
  <c r="AP57" i="22"/>
  <c r="BA58" i="22"/>
  <c r="AE20" i="22"/>
  <c r="AF20" i="22" s="1"/>
  <c r="AE19" i="22"/>
  <c r="AF19" i="22" s="1"/>
  <c r="X26" i="22"/>
  <c r="Y26" i="22" s="1"/>
  <c r="AE18" i="22"/>
  <c r="AF18" i="22" s="1"/>
  <c r="Y12" i="22"/>
  <c r="Z12" i="22" s="1"/>
  <c r="U12" i="22"/>
  <c r="AD26" i="22"/>
  <c r="AD35" i="22"/>
  <c r="AB12" i="22"/>
  <c r="AL17" i="22"/>
  <c r="AO17" i="22" s="1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O33" i="22" s="1"/>
  <c r="AL30" i="22"/>
  <c r="AL28" i="22"/>
  <c r="AO28" i="22" s="1"/>
  <c r="AL27" i="22"/>
  <c r="AO27" i="22" s="1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D61" i="22"/>
  <c r="AO42" i="22"/>
  <c r="AT47" i="22"/>
  <c r="BA35" i="22"/>
  <c r="AP37" i="22"/>
  <c r="AD38" i="22"/>
  <c r="AO39" i="22"/>
  <c r="AV39" i="22" s="1"/>
  <c r="AP42" i="22"/>
  <c r="AR42" i="22" s="1"/>
  <c r="AO44" i="22"/>
  <c r="AO54" i="22"/>
  <c r="AD36" i="22"/>
  <c r="AO38" i="22"/>
  <c r="AO46" i="22"/>
  <c r="AV46" i="22" s="1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E20" i="21"/>
  <c r="AF20" i="21" s="1"/>
  <c r="AE25" i="21"/>
  <c r="AF25" i="21" s="1"/>
  <c r="AF30" i="21"/>
  <c r="AE30" i="2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8" i="22" l="1"/>
  <c r="AT58" i="22"/>
  <c r="AV58" i="22"/>
  <c r="AX16" i="22"/>
  <c r="BB16" i="22" s="1"/>
  <c r="BC16" i="22" s="1"/>
  <c r="AS16" i="22"/>
  <c r="AT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X17" i="18" s="1"/>
  <c r="Y17" i="18" s="1"/>
  <c r="S8" i="19"/>
  <c r="S9" i="19" s="1"/>
  <c r="Q8" i="19"/>
  <c r="Q9" i="19" s="1"/>
  <c r="N8" i="19"/>
  <c r="N9" i="19" s="1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B201" i="20"/>
  <c r="AG201" i="20" s="1"/>
  <c r="AB200" i="20"/>
  <c r="AG200" i="20" s="1"/>
  <c r="AB199" i="20"/>
  <c r="AG199" i="20" s="1"/>
  <c r="AB198" i="20"/>
  <c r="AG198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G185" i="20" s="1"/>
  <c r="AB185" i="20"/>
  <c r="AB184" i="20"/>
  <c r="AB183" i="20"/>
  <c r="AG183" i="20" s="1"/>
  <c r="AB182" i="20"/>
  <c r="AG182" i="20" s="1"/>
  <c r="AB181" i="20"/>
  <c r="AG181" i="20" s="1"/>
  <c r="AB180" i="20"/>
  <c r="AG180" i="20" s="1"/>
  <c r="AB179" i="20"/>
  <c r="AB178" i="20"/>
  <c r="AB177" i="20"/>
  <c r="AG177" i="20" s="1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B167" i="20"/>
  <c r="AB166" i="20"/>
  <c r="AB165" i="20"/>
  <c r="AG165" i="20" s="1"/>
  <c r="AB164" i="20"/>
  <c r="AG164" i="20" s="1"/>
  <c r="AB163" i="20"/>
  <c r="AG163" i="20" s="1"/>
  <c r="AB162" i="20"/>
  <c r="AG162" i="20" s="1"/>
  <c r="AG161" i="20" s="1"/>
  <c r="AB161" i="20"/>
  <c r="AB160" i="20"/>
  <c r="AB159" i="20"/>
  <c r="AG159" i="20" s="1"/>
  <c r="AB158" i="20"/>
  <c r="AG158" i="20" s="1"/>
  <c r="AB157" i="20"/>
  <c r="AG157" i="20" s="1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G136" i="20" s="1"/>
  <c r="AB136" i="20"/>
  <c r="AB135" i="20"/>
  <c r="AB134" i="20"/>
  <c r="AG134" i="20" s="1"/>
  <c r="AB133" i="20"/>
  <c r="AG133" i="20" s="1"/>
  <c r="AB132" i="20"/>
  <c r="AG132" i="20" s="1"/>
  <c r="AB131" i="20"/>
  <c r="AG131" i="20" s="1"/>
  <c r="AB130" i="20"/>
  <c r="AB129" i="20"/>
  <c r="AB128" i="20"/>
  <c r="AG128" i="20" s="1"/>
  <c r="AB127" i="20"/>
  <c r="AG127" i="20" s="1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B118" i="20"/>
  <c r="AB117" i="20"/>
  <c r="AB116" i="20"/>
  <c r="AG116" i="20" s="1"/>
  <c r="AB115" i="20"/>
  <c r="AG115" i="20" s="1"/>
  <c r="AB114" i="20"/>
  <c r="AG114" i="20" s="1"/>
  <c r="AB113" i="20"/>
  <c r="AG113" i="20" s="1"/>
  <c r="AG112" i="20" s="1"/>
  <c r="AB112" i="20"/>
  <c r="AB111" i="20"/>
  <c r="AB110" i="20"/>
  <c r="AG110" i="20" s="1"/>
  <c r="AB109" i="20"/>
  <c r="AG109" i="20" s="1"/>
  <c r="AB108" i="20"/>
  <c r="AG108" i="20" s="1"/>
  <c r="AB107" i="20"/>
  <c r="AG107" i="20" s="1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G87" i="20" s="1"/>
  <c r="AB87" i="20"/>
  <c r="AB86" i="20"/>
  <c r="AB85" i="20"/>
  <c r="AG85" i="20" s="1"/>
  <c r="AB84" i="20"/>
  <c r="AG84" i="20" s="1"/>
  <c r="AB83" i="20"/>
  <c r="AG83" i="20" s="1"/>
  <c r="AB82" i="20"/>
  <c r="AG82" i="20" s="1"/>
  <c r="AB81" i="20"/>
  <c r="AB80" i="20"/>
  <c r="AB79" i="20"/>
  <c r="AG79" i="20" s="1"/>
  <c r="AB78" i="20"/>
  <c r="AG78" i="20" s="1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B69" i="20"/>
  <c r="AB68" i="20"/>
  <c r="AB67" i="20"/>
  <c r="AG67" i="20" s="1"/>
  <c r="AB66" i="20"/>
  <c r="AG66" i="20" s="1"/>
  <c r="AB65" i="20"/>
  <c r="AG65" i="20" s="1"/>
  <c r="AB64" i="20"/>
  <c r="AG64" i="20" s="1"/>
  <c r="AG63" i="20" s="1"/>
  <c r="AB63" i="20"/>
  <c r="AB62" i="20"/>
  <c r="AB61" i="20"/>
  <c r="AG61" i="20" s="1"/>
  <c r="AB60" i="20"/>
  <c r="AG60" i="20" s="1"/>
  <c r="AB59" i="20"/>
  <c r="AG59" i="20" s="1"/>
  <c r="AB58" i="20"/>
  <c r="AG58" i="20" s="1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G38" i="20" s="1"/>
  <c r="AB38" i="20"/>
  <c r="AB37" i="20"/>
  <c r="AB36" i="20"/>
  <c r="AG36" i="20" s="1"/>
  <c r="AB35" i="20"/>
  <c r="AG35" i="20" s="1"/>
  <c r="AB34" i="20"/>
  <c r="AG34" i="20" s="1"/>
  <c r="AB33" i="20"/>
  <c r="AG33" i="20" s="1"/>
  <c r="AB32" i="20"/>
  <c r="AB31" i="20"/>
  <c r="AB30" i="20"/>
  <c r="AG30" i="20" s="1"/>
  <c r="AB29" i="20"/>
  <c r="AG29" i="20" s="1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B20" i="20"/>
  <c r="AB19" i="20"/>
  <c r="AB18" i="20"/>
  <c r="AG18" i="20" s="1"/>
  <c r="AB17" i="20"/>
  <c r="AG17" i="20" s="1"/>
  <c r="AB16" i="20"/>
  <c r="AG16" i="20" s="1"/>
  <c r="AB15" i="20"/>
  <c r="AG15" i="20" s="1"/>
  <c r="AG14" i="20" s="1"/>
  <c r="AB14" i="20"/>
  <c r="AB13" i="20"/>
  <c r="AB12" i="20"/>
  <c r="AG12" i="20" s="1"/>
  <c r="AB11" i="20"/>
  <c r="AG11" i="20" s="1"/>
  <c r="AB10" i="20"/>
  <c r="AG10" i="20" s="1"/>
  <c r="AB8" i="20"/>
  <c r="AB7" i="20"/>
  <c r="Z110" i="20"/>
  <c r="Z109" i="20"/>
  <c r="Z108" i="20"/>
  <c r="Z107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Z152" i="20" s="1"/>
  <c r="U151" i="20"/>
  <c r="Z151" i="20" s="1"/>
  <c r="U150" i="20"/>
  <c r="Z150" i="20" s="1"/>
  <c r="U149" i="20"/>
  <c r="Z149" i="20" s="1"/>
  <c r="U148" i="20"/>
  <c r="U147" i="20"/>
  <c r="U146" i="20"/>
  <c r="Z146" i="20" s="1"/>
  <c r="U145" i="20"/>
  <c r="Z145" i="20" s="1"/>
  <c r="U144" i="20"/>
  <c r="Z144" i="20" s="1"/>
  <c r="U143" i="20"/>
  <c r="Z143" i="20" s="1"/>
  <c r="U142" i="20"/>
  <c r="U141" i="20"/>
  <c r="U140" i="20"/>
  <c r="Z140" i="20" s="1"/>
  <c r="U139" i="20"/>
  <c r="Z139" i="20" s="1"/>
  <c r="U138" i="20"/>
  <c r="Z138" i="20" s="1"/>
  <c r="U137" i="20"/>
  <c r="Z137" i="20" s="1"/>
  <c r="U136" i="20"/>
  <c r="U135" i="20"/>
  <c r="U134" i="20"/>
  <c r="Z134" i="20" s="1"/>
  <c r="U133" i="20"/>
  <c r="Z133" i="20" s="1"/>
  <c r="U132" i="20"/>
  <c r="Z132" i="20" s="1"/>
  <c r="U131" i="20"/>
  <c r="Z131" i="20" s="1"/>
  <c r="U130" i="20"/>
  <c r="U129" i="20"/>
  <c r="U128" i="20"/>
  <c r="Z128" i="20" s="1"/>
  <c r="U127" i="20"/>
  <c r="Z127" i="20" s="1"/>
  <c r="U126" i="20"/>
  <c r="Z126" i="20" s="1"/>
  <c r="U125" i="20"/>
  <c r="Z125" i="20" s="1"/>
  <c r="U124" i="20"/>
  <c r="U123" i="20"/>
  <c r="U122" i="20"/>
  <c r="Z122" i="20" s="1"/>
  <c r="U121" i="20"/>
  <c r="Z121" i="20" s="1"/>
  <c r="U120" i="20"/>
  <c r="Z120" i="20" s="1"/>
  <c r="U119" i="20"/>
  <c r="Z119" i="20" s="1"/>
  <c r="U118" i="20"/>
  <c r="U117" i="20"/>
  <c r="U116" i="20"/>
  <c r="Z116" i="20" s="1"/>
  <c r="U115" i="20"/>
  <c r="Z115" i="20" s="1"/>
  <c r="U114" i="20"/>
  <c r="Z114" i="20" s="1"/>
  <c r="U113" i="20"/>
  <c r="Z113" i="20" s="1"/>
  <c r="U105" i="20"/>
  <c r="U103" i="20"/>
  <c r="Z103" i="20" s="1"/>
  <c r="U102" i="20"/>
  <c r="Z102" i="20" s="1"/>
  <c r="U101" i="20"/>
  <c r="Z101" i="20" s="1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Z91" i="20" s="1"/>
  <c r="U90" i="20"/>
  <c r="Z90" i="20" s="1"/>
  <c r="U89" i="20"/>
  <c r="Z89" i="20" s="1"/>
  <c r="U88" i="20"/>
  <c r="Z88" i="20" s="1"/>
  <c r="Z87" i="20" s="1"/>
  <c r="U87" i="20"/>
  <c r="U86" i="20"/>
  <c r="U85" i="20"/>
  <c r="Z85" i="20" s="1"/>
  <c r="U84" i="20"/>
  <c r="Z84" i="20" s="1"/>
  <c r="U83" i="20"/>
  <c r="Z83" i="20" s="1"/>
  <c r="U82" i="20"/>
  <c r="Z82" i="20" s="1"/>
  <c r="U81" i="20"/>
  <c r="U80" i="20"/>
  <c r="U79" i="20"/>
  <c r="Z79" i="20" s="1"/>
  <c r="U78" i="20"/>
  <c r="Z78" i="20" s="1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U59" i="20"/>
  <c r="Z59" i="20" s="1"/>
  <c r="U58" i="20"/>
  <c r="Z58" i="20" s="1"/>
  <c r="U57" i="20"/>
  <c r="U56" i="20"/>
  <c r="U54" i="20"/>
  <c r="Z54" i="20" s="1"/>
  <c r="U53" i="20"/>
  <c r="Z53" i="20" s="1"/>
  <c r="U52" i="20"/>
  <c r="Z52" i="20" s="1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U44" i="20"/>
  <c r="U43" i="20"/>
  <c r="U42" i="20"/>
  <c r="Z42" i="20" s="1"/>
  <c r="U41" i="20"/>
  <c r="Z41" i="20" s="1"/>
  <c r="U40" i="20"/>
  <c r="Z40" i="20" s="1"/>
  <c r="U39" i="20"/>
  <c r="Z39" i="20" s="1"/>
  <c r="Z38" i="20" s="1"/>
  <c r="U38" i="20"/>
  <c r="U37" i="20"/>
  <c r="U36" i="20"/>
  <c r="Z36" i="20" s="1"/>
  <c r="U35" i="20"/>
  <c r="Z35" i="20" s="1"/>
  <c r="U34" i="20"/>
  <c r="Z34" i="20" s="1"/>
  <c r="U33" i="20"/>
  <c r="Z33" i="20" s="1"/>
  <c r="U32" i="20"/>
  <c r="U31" i="20"/>
  <c r="U30" i="20"/>
  <c r="Z30" i="20" s="1"/>
  <c r="U29" i="20"/>
  <c r="Z29" i="20" s="1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Z10" i="20" s="1"/>
  <c r="U8" i="20"/>
  <c r="U7" i="20"/>
  <c r="C6" i="20"/>
  <c r="D6" i="20"/>
  <c r="T6" i="20"/>
  <c r="AA6" i="20" s="1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Z112" i="20" l="1"/>
  <c r="Z124" i="20"/>
  <c r="Z136" i="20"/>
  <c r="Z148" i="20"/>
  <c r="Z105" i="20"/>
  <c r="Z20" i="20"/>
  <c r="Z31" i="20"/>
  <c r="Z32" i="20"/>
  <c r="Z44" i="20"/>
  <c r="Z57" i="20"/>
  <c r="Z56" i="20"/>
  <c r="Z69" i="20"/>
  <c r="Z80" i="20"/>
  <c r="Z81" i="20"/>
  <c r="Z93" i="20"/>
  <c r="AG20" i="20"/>
  <c r="AG32" i="20"/>
  <c r="AG31" i="20"/>
  <c r="AG44" i="20"/>
  <c r="AG57" i="20"/>
  <c r="AG56" i="20"/>
  <c r="AG69" i="20"/>
  <c r="AG81" i="20"/>
  <c r="AG80" i="20"/>
  <c r="AG93" i="20"/>
  <c r="AG105" i="20"/>
  <c r="AG106" i="20"/>
  <c r="AG118" i="20"/>
  <c r="AG130" i="20"/>
  <c r="AG129" i="20"/>
  <c r="AG142" i="20"/>
  <c r="AG154" i="20"/>
  <c r="AG167" i="20"/>
  <c r="AG179" i="20"/>
  <c r="AG191" i="20"/>
  <c r="Z8" i="20"/>
  <c r="Z7" i="20"/>
  <c r="Z118" i="20"/>
  <c r="Z129" i="20"/>
  <c r="Z130" i="20"/>
  <c r="Z142" i="20"/>
  <c r="AG197" i="20"/>
  <c r="AG7" i="20"/>
  <c r="AG8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BG17" i="5" l="1"/>
  <c r="BG16" i="5"/>
  <c r="BG15" i="5"/>
  <c r="G82" i="10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L15" i="5" l="1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R62" i="18" s="1"/>
  <c r="AP62" i="18"/>
  <c r="AN62" i="18"/>
  <c r="AM62" i="18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P59" i="18" s="1"/>
  <c r="AR59" i="18" s="1"/>
  <c r="AM59" i="18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BA57" i="18" s="1"/>
  <c r="AY57" i="18"/>
  <c r="AQ57" i="18"/>
  <c r="AR57" i="18" s="1"/>
  <c r="AP57" i="18"/>
  <c r="AN57" i="18"/>
  <c r="AM57" i="18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R56" i="18" s="1"/>
  <c r="AP56" i="18"/>
  <c r="AN56" i="18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AQ52" i="18"/>
  <c r="AN52" i="18"/>
  <c r="AM52" i="18"/>
  <c r="AP52" i="18" s="1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BM49" i="18" s="1"/>
  <c r="AZ49" i="18"/>
  <c r="AY49" i="18"/>
  <c r="BA49" i="18" s="1"/>
  <c r="AQ49" i="18"/>
  <c r="AN49" i="18"/>
  <c r="AM49" i="18"/>
  <c r="AK49" i="18"/>
  <c r="AC49" i="18"/>
  <c r="J49" i="18"/>
  <c r="BH48" i="18"/>
  <c r="BI48" i="18" s="1"/>
  <c r="BE48" i="18"/>
  <c r="BD48" i="18"/>
  <c r="BM48" i="18" s="1"/>
  <c r="AZ48" i="18"/>
  <c r="BA48" i="18" s="1"/>
  <c r="AY48" i="18"/>
  <c r="AQ48" i="18"/>
  <c r="AP48" i="18"/>
  <c r="AR48" i="18" s="1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N47" i="18"/>
  <c r="AP47" i="18" s="1"/>
  <c r="AR47" i="18" s="1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BA44" i="18" s="1"/>
  <c r="AY44" i="18"/>
  <c r="AQ44" i="18"/>
  <c r="AN44" i="18"/>
  <c r="AM44" i="18"/>
  <c r="AP44" i="18" s="1"/>
  <c r="AR44" i="18" s="1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K43" i="18"/>
  <c r="AC43" i="18"/>
  <c r="V43" i="18"/>
  <c r="J43" i="18"/>
  <c r="BH42" i="18"/>
  <c r="BI42" i="18" s="1"/>
  <c r="BE42" i="18"/>
  <c r="BD42" i="18"/>
  <c r="BM42" i="18" s="1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R37" i="18"/>
  <c r="AQ37" i="18"/>
  <c r="AN37" i="18"/>
  <c r="AM37" i="18"/>
  <c r="AP37" i="18" s="1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M35" i="18" s="1"/>
  <c r="AZ35" i="18"/>
  <c r="BA35" i="18" s="1"/>
  <c r="AY35" i="18"/>
  <c r="AR35" i="18"/>
  <c r="AQ35" i="18"/>
  <c r="AN35" i="18"/>
  <c r="AM35" i="18"/>
  <c r="AP35" i="18" s="1"/>
  <c r="AK35" i="18"/>
  <c r="AC35" i="18"/>
  <c r="V35" i="18"/>
  <c r="J35" i="18"/>
  <c r="BH34" i="18"/>
  <c r="BI34" i="18" s="1"/>
  <c r="BE34" i="18"/>
  <c r="BD34" i="18"/>
  <c r="BM34" i="18" s="1"/>
  <c r="AZ34" i="18"/>
  <c r="BA34" i="18" s="1"/>
  <c r="AY34" i="18"/>
  <c r="AQ34" i="18"/>
  <c r="AR34" i="18" s="1"/>
  <c r="AP34" i="18"/>
  <c r="AN34" i="18"/>
  <c r="AM34" i="18"/>
  <c r="AK34" i="18"/>
  <c r="J34" i="18"/>
  <c r="BH33" i="18"/>
  <c r="BI33" i="18" s="1"/>
  <c r="BE33" i="18"/>
  <c r="BD33" i="18"/>
  <c r="BM33" i="18" s="1"/>
  <c r="AZ33" i="18"/>
  <c r="BA33" i="18" s="1"/>
  <c r="AY33" i="18"/>
  <c r="AQ33" i="18"/>
  <c r="AR33" i="18" s="1"/>
  <c r="AP33" i="18"/>
  <c r="AN33" i="18"/>
  <c r="AM33" i="18"/>
  <c r="AK33" i="18"/>
  <c r="J33" i="18"/>
  <c r="BH32" i="18"/>
  <c r="BI32" i="18" s="1"/>
  <c r="BE32" i="18"/>
  <c r="BD32" i="18"/>
  <c r="BM32" i="18" s="1"/>
  <c r="AZ32" i="18"/>
  <c r="BA32" i="18" s="1"/>
  <c r="AY32" i="18"/>
  <c r="AQ32" i="18"/>
  <c r="AR32" i="18" s="1"/>
  <c r="AP32" i="18"/>
  <c r="AN32" i="18"/>
  <c r="AM32" i="18"/>
  <c r="AK32" i="18"/>
  <c r="AC32" i="18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P31" i="18" s="1"/>
  <c r="AM31" i="18"/>
  <c r="AK31" i="18"/>
  <c r="AC31" i="18"/>
  <c r="V31" i="18"/>
  <c r="J31" i="18"/>
  <c r="BH30" i="18"/>
  <c r="BI30" i="18" s="1"/>
  <c r="BE30" i="18"/>
  <c r="BD30" i="18"/>
  <c r="BM30" i="18" s="1"/>
  <c r="AZ30" i="18"/>
  <c r="AY30" i="18"/>
  <c r="AQ30" i="18"/>
  <c r="AR30" i="18" s="1"/>
  <c r="AN30" i="18"/>
  <c r="AM30" i="18"/>
  <c r="AP30" i="18" s="1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BM28" i="18" s="1"/>
  <c r="AZ28" i="18"/>
  <c r="AY28" i="18"/>
  <c r="BA28" i="18" s="1"/>
  <c r="AQ28" i="18"/>
  <c r="AR28" i="18" s="1"/>
  <c r="AN28" i="18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BM23" i="18" s="1"/>
  <c r="AZ23" i="18"/>
  <c r="AY23" i="18"/>
  <c r="AQ23" i="18"/>
  <c r="AR23" i="18" s="1"/>
  <c r="AN23" i="18"/>
  <c r="AM23" i="18"/>
  <c r="AP23" i="18" s="1"/>
  <c r="AK23" i="18"/>
  <c r="AC23" i="18"/>
  <c r="J23" i="18"/>
  <c r="BH22" i="18"/>
  <c r="BI22" i="18" s="1"/>
  <c r="BE22" i="18"/>
  <c r="BD22" i="18"/>
  <c r="BM22" i="18" s="1"/>
  <c r="AZ22" i="18"/>
  <c r="BA22" i="18" s="1"/>
  <c r="AY22" i="18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Q21" i="18"/>
  <c r="AR21" i="18" s="1"/>
  <c r="AN21" i="18"/>
  <c r="AM21" i="18"/>
  <c r="AP21" i="18" s="1"/>
  <c r="AK21" i="18"/>
  <c r="J21" i="18"/>
  <c r="BH20" i="18"/>
  <c r="BI20" i="18" s="1"/>
  <c r="BE20" i="18"/>
  <c r="BD20" i="18"/>
  <c r="BM20" i="18" s="1"/>
  <c r="BA20" i="18"/>
  <c r="AZ20" i="18"/>
  <c r="AY20" i="18"/>
  <c r="AR20" i="18"/>
  <c r="AQ20" i="18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Q19" i="18"/>
  <c r="AR19" i="18" s="1"/>
  <c r="AP19" i="18"/>
  <c r="AN19" i="18"/>
  <c r="AM19" i="18"/>
  <c r="AK19" i="18"/>
  <c r="AC19" i="18"/>
  <c r="V19" i="18"/>
  <c r="J19" i="18"/>
  <c r="BH18" i="18"/>
  <c r="BI18" i="18" s="1"/>
  <c r="BE18" i="18"/>
  <c r="BD18" i="18"/>
  <c r="BM18" i="18" s="1"/>
  <c r="AZ18" i="18"/>
  <c r="BA18" i="18" s="1"/>
  <c r="AY18" i="18"/>
  <c r="AQ18" i="18"/>
  <c r="AR18" i="18" s="1"/>
  <c r="AN18" i="18"/>
  <c r="AM18" i="18"/>
  <c r="AK18" i="18"/>
  <c r="AC18" i="18"/>
  <c r="V18" i="18"/>
  <c r="J18" i="18"/>
  <c r="BH17" i="18"/>
  <c r="BI17" i="18" s="1"/>
  <c r="BE17" i="18"/>
  <c r="BD17" i="18"/>
  <c r="BM17" i="18" s="1"/>
  <c r="AZ17" i="18"/>
  <c r="BA17" i="18" s="1"/>
  <c r="AY17" i="18"/>
  <c r="AQ17" i="18"/>
  <c r="AR17" i="18" s="1"/>
  <c r="AN17" i="18"/>
  <c r="AM17" i="18"/>
  <c r="AP17" i="18" s="1"/>
  <c r="AK17" i="18"/>
  <c r="J17" i="18"/>
  <c r="BH16" i="18"/>
  <c r="BI16" i="18" s="1"/>
  <c r="BE16" i="18"/>
  <c r="BD16" i="18"/>
  <c r="BM16" i="18" s="1"/>
  <c r="AZ16" i="18"/>
  <c r="AY16" i="18"/>
  <c r="AQ16" i="18"/>
  <c r="AR16" i="18" s="1"/>
  <c r="AN16" i="18"/>
  <c r="AM16" i="18"/>
  <c r="AP16" i="18" s="1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AY15" i="18"/>
  <c r="AQ15" i="18"/>
  <c r="AR15" i="18" s="1"/>
  <c r="AN15" i="18"/>
  <c r="AM15" i="18"/>
  <c r="AP15" i="18" s="1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AD32" i="18" s="1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C31" i="17"/>
  <c r="AC30" i="17"/>
  <c r="AC26" i="17"/>
  <c r="AC25" i="17"/>
  <c r="AC24" i="17"/>
  <c r="AC20" i="17"/>
  <c r="AC19" i="17"/>
  <c r="AC18" i="17"/>
  <c r="AC62" i="16"/>
  <c r="AC61" i="16"/>
  <c r="AC60" i="16"/>
  <c r="AC59" i="16"/>
  <c r="AC38" i="16"/>
  <c r="AC37" i="16"/>
  <c r="AC36" i="16"/>
  <c r="AC35" i="16"/>
  <c r="AC56" i="16"/>
  <c r="AC55" i="16"/>
  <c r="AC54" i="16"/>
  <c r="AC53" i="16"/>
  <c r="AC50" i="16"/>
  <c r="AC49" i="16"/>
  <c r="AC48" i="16"/>
  <c r="AC47" i="16"/>
  <c r="AC32" i="16"/>
  <c r="AC31" i="16"/>
  <c r="AC30" i="16"/>
  <c r="AC29" i="16"/>
  <c r="AC26" i="16"/>
  <c r="AC25" i="16"/>
  <c r="AC24" i="16"/>
  <c r="AC23" i="16"/>
  <c r="AC44" i="16"/>
  <c r="AC43" i="16"/>
  <c r="AC42" i="16"/>
  <c r="AC41" i="16"/>
  <c r="AC17" i="16"/>
  <c r="AC20" i="16"/>
  <c r="AC19" i="16"/>
  <c r="AC18" i="16"/>
  <c r="W11" i="17"/>
  <c r="W17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W20" i="17" s="1"/>
  <c r="V19" i="17"/>
  <c r="V18" i="17"/>
  <c r="W56" i="17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AC44" i="15"/>
  <c r="AC43" i="15"/>
  <c r="AC42" i="15"/>
  <c r="V42" i="15"/>
  <c r="AC59" i="15"/>
  <c r="V59" i="15"/>
  <c r="AC53" i="15"/>
  <c r="V53" i="15"/>
  <c r="AC47" i="15"/>
  <c r="V47" i="15"/>
  <c r="AC41" i="15"/>
  <c r="V41" i="15"/>
  <c r="AC38" i="15"/>
  <c r="V38" i="15"/>
  <c r="AC32" i="15"/>
  <c r="V32" i="15"/>
  <c r="AC26" i="15"/>
  <c r="V26" i="15"/>
  <c r="AC20" i="15"/>
  <c r="V20" i="15"/>
  <c r="AC37" i="15"/>
  <c r="V37" i="15"/>
  <c r="AC31" i="15"/>
  <c r="AC25" i="15"/>
  <c r="V25" i="15"/>
  <c r="AC19" i="15"/>
  <c r="V19" i="15"/>
  <c r="AC36" i="15"/>
  <c r="V36" i="15"/>
  <c r="AC30" i="15"/>
  <c r="V30" i="15"/>
  <c r="AC24" i="15"/>
  <c r="AC18" i="15"/>
  <c r="V18" i="15"/>
  <c r="W18" i="15" s="1"/>
  <c r="X18" i="15" s="1"/>
  <c r="AC35" i="15"/>
  <c r="V35" i="15"/>
  <c r="AC29" i="15"/>
  <c r="V29" i="15"/>
  <c r="W29" i="15" s="1"/>
  <c r="AC23" i="15"/>
  <c r="V23" i="15"/>
  <c r="AC17" i="15"/>
  <c r="AD11" i="15"/>
  <c r="AD38" i="15" s="1"/>
  <c r="W11" i="15"/>
  <c r="W60" i="15" s="1"/>
  <c r="AD47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K55" i="17"/>
  <c r="J55" i="17"/>
  <c r="BH54" i="17"/>
  <c r="BI54" i="17" s="1"/>
  <c r="BE54" i="17"/>
  <c r="BD54" i="17"/>
  <c r="BM54" i="17" s="1"/>
  <c r="AZ54" i="17"/>
  <c r="AY54" i="17"/>
  <c r="AQ54" i="17"/>
  <c r="AR54" i="17" s="1"/>
  <c r="AN54" i="17"/>
  <c r="AM54" i="17"/>
  <c r="AP54" i="17" s="1"/>
  <c r="AK54" i="17"/>
  <c r="J54" i="17"/>
  <c r="BH53" i="17"/>
  <c r="BI53" i="17" s="1"/>
  <c r="BE53" i="17"/>
  <c r="BD53" i="17"/>
  <c r="BM53" i="17" s="1"/>
  <c r="BA53" i="17"/>
  <c r="AZ53" i="17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BA49" i="17" s="1"/>
  <c r="AQ49" i="17"/>
  <c r="AN49" i="17"/>
  <c r="AM49" i="17"/>
  <c r="AK49" i="17"/>
  <c r="J49" i="17"/>
  <c r="BH48" i="17"/>
  <c r="BI48" i="17" s="1"/>
  <c r="BE48" i="17"/>
  <c r="BD48" i="17"/>
  <c r="BM48" i="17" s="1"/>
  <c r="AZ48" i="17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BA44" i="17" s="1"/>
  <c r="AY44" i="17"/>
  <c r="AQ44" i="17"/>
  <c r="AN44" i="17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AZ38" i="17"/>
  <c r="BA38" i="17" s="1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BM36" i="17" s="1"/>
  <c r="AZ36" i="17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K33" i="17"/>
  <c r="J33" i="17"/>
  <c r="BH32" i="17"/>
  <c r="BI32" i="17" s="1"/>
  <c r="BE32" i="17"/>
  <c r="BD32" i="17"/>
  <c r="BM32" i="17" s="1"/>
  <c r="AZ32" i="17"/>
  <c r="AY32" i="17"/>
  <c r="AQ32" i="17"/>
  <c r="AR32" i="17" s="1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Q27" i="17"/>
  <c r="AR27" i="17" s="1"/>
  <c r="AN27" i="17"/>
  <c r="AM27" i="17"/>
  <c r="AK27" i="17"/>
  <c r="J27" i="17"/>
  <c r="BH26" i="17"/>
  <c r="BI26" i="17" s="1"/>
  <c r="BE26" i="17"/>
  <c r="BD26" i="17"/>
  <c r="BM26" i="17" s="1"/>
  <c r="AZ26" i="17"/>
  <c r="BA26" i="17" s="1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M24" i="17"/>
  <c r="AP24" i="17" s="1"/>
  <c r="AK24" i="17"/>
  <c r="J24" i="17"/>
  <c r="BH23" i="17"/>
  <c r="BI23" i="17" s="1"/>
  <c r="BE23" i="17"/>
  <c r="BD23" i="17"/>
  <c r="BM23" i="17" s="1"/>
  <c r="AZ23" i="17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BA20" i="17" s="1"/>
  <c r="AY20" i="17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M18" i="17" s="1"/>
  <c r="AZ18" i="17"/>
  <c r="AY18" i="17"/>
  <c r="BA18" i="17" s="1"/>
  <c r="AQ18" i="17"/>
  <c r="AR18" i="17" s="1"/>
  <c r="AN18" i="17"/>
  <c r="AM18" i="17"/>
  <c r="AP18" i="17" s="1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BA16" i="17" s="1"/>
  <c r="AY16" i="17"/>
  <c r="AQ16" i="17"/>
  <c r="AR16" i="17" s="1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BA15" i="17" s="1"/>
  <c r="AY15" i="17"/>
  <c r="AQ15" i="17"/>
  <c r="AR15" i="17" s="1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AZ62" i="16"/>
  <c r="BA62" i="16" s="1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BM56" i="16" s="1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BM55" i="16" s="1"/>
  <c r="AZ55" i="16"/>
  <c r="BA55" i="16" s="1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P51" i="16" s="1"/>
  <c r="AR51" i="16" s="1"/>
  <c r="AT51" i="16" s="1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K49" i="16"/>
  <c r="J49" i="16"/>
  <c r="BH48" i="16"/>
  <c r="BI48" i="16" s="1"/>
  <c r="BE48" i="16"/>
  <c r="BD48" i="16"/>
  <c r="BM48" i="16" s="1"/>
  <c r="AZ48" i="16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BM45" i="16" s="1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BM44" i="16" s="1"/>
  <c r="AZ44" i="16"/>
  <c r="BA44" i="16" s="1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BM40" i="16" s="1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Q32" i="16"/>
  <c r="AR32" i="16" s="1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BM19" i="16" s="1"/>
  <c r="AZ19" i="16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AY15" i="16"/>
  <c r="AQ15" i="16"/>
  <c r="AR15" i="16" s="1"/>
  <c r="AN15" i="16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BA62" i="15" s="1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K43" i="15"/>
  <c r="J43" i="15"/>
  <c r="BH42" i="15"/>
  <c r="BI42" i="15" s="1"/>
  <c r="BE42" i="15"/>
  <c r="BD42" i="15"/>
  <c r="BM42" i="15" s="1"/>
  <c r="AZ42" i="15"/>
  <c r="BA42" i="15" s="1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BA35" i="15" s="1"/>
  <c r="AY35" i="15"/>
  <c r="AR35" i="15"/>
  <c r="AQ35" i="15"/>
  <c r="AN35" i="15"/>
  <c r="AM35" i="15"/>
  <c r="AK35" i="15"/>
  <c r="J35" i="15"/>
  <c r="BH34" i="15"/>
  <c r="BI34" i="15" s="1"/>
  <c r="BE34" i="15"/>
  <c r="BD34" i="15"/>
  <c r="BM34" i="15" s="1"/>
  <c r="AZ34" i="15"/>
  <c r="AY34" i="15"/>
  <c r="AQ34" i="15"/>
  <c r="AR34" i="15" s="1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Q31" i="15"/>
  <c r="AR31" i="15" s="1"/>
  <c r="AN31" i="15"/>
  <c r="AM31" i="15"/>
  <c r="AK31" i="15"/>
  <c r="J31" i="15"/>
  <c r="BH30" i="15"/>
  <c r="BI30" i="15" s="1"/>
  <c r="BE30" i="15"/>
  <c r="BD30" i="15"/>
  <c r="BM30" i="15" s="1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AQ29" i="15"/>
  <c r="AR29" i="15" s="1"/>
  <c r="AN29" i="15"/>
  <c r="AM29" i="15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BA26" i="15" s="1"/>
  <c r="AY26" i="15"/>
  <c r="AQ26" i="15"/>
  <c r="AR26" i="15" s="1"/>
  <c r="AN26" i="15"/>
  <c r="AM26" i="15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BA18" i="15" s="1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M16" i="15"/>
  <c r="AK16" i="15"/>
  <c r="J16" i="15"/>
  <c r="B16" i="15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5" i="15"/>
  <c r="BI15" i="15" s="1"/>
  <c r="BE15" i="15"/>
  <c r="BD15" i="15"/>
  <c r="BM15" i="15" s="1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58" i="18" l="1"/>
  <c r="AP29" i="15"/>
  <c r="AP31" i="15"/>
  <c r="AP42" i="15"/>
  <c r="BA48" i="15"/>
  <c r="BA15" i="16"/>
  <c r="AP35" i="16"/>
  <c r="AP37" i="16"/>
  <c r="BA41" i="16"/>
  <c r="BA43" i="16"/>
  <c r="BA48" i="16"/>
  <c r="BA50" i="16"/>
  <c r="AP53" i="16"/>
  <c r="AP55" i="16"/>
  <c r="AR55" i="16" s="1"/>
  <c r="AT55" i="16" s="1"/>
  <c r="AP33" i="17"/>
  <c r="AP40" i="17"/>
  <c r="AR40" i="17" s="1"/>
  <c r="AT40" i="17" s="1"/>
  <c r="BA45" i="17"/>
  <c r="AP47" i="17"/>
  <c r="AR47" i="17" s="1"/>
  <c r="AP49" i="17"/>
  <c r="AP53" i="17"/>
  <c r="BA56" i="17"/>
  <c r="BA60" i="17"/>
  <c r="AD26" i="15"/>
  <c r="AD56" i="15"/>
  <c r="AD18" i="16"/>
  <c r="AD38" i="16"/>
  <c r="AD54" i="16"/>
  <c r="AD26" i="17"/>
  <c r="AD41" i="16"/>
  <c r="AD23" i="16"/>
  <c r="AD29" i="16"/>
  <c r="AD47" i="16"/>
  <c r="AD53" i="16"/>
  <c r="AD35" i="16"/>
  <c r="AD59" i="16"/>
  <c r="AD18" i="17"/>
  <c r="AD25" i="17"/>
  <c r="AD32" i="17"/>
  <c r="AD38" i="17"/>
  <c r="AD17" i="18"/>
  <c r="AL18" i="18"/>
  <c r="AO18" i="18" s="1"/>
  <c r="AD19" i="18"/>
  <c r="AR52" i="18"/>
  <c r="AR53" i="18"/>
  <c r="AR54" i="18"/>
  <c r="AP16" i="15"/>
  <c r="AP19" i="15"/>
  <c r="BA23" i="15"/>
  <c r="AP26" i="15"/>
  <c r="AP33" i="15"/>
  <c r="AR42" i="15"/>
  <c r="AP43" i="15"/>
  <c r="BA43" i="15"/>
  <c r="AP45" i="15"/>
  <c r="BA45" i="15"/>
  <c r="BA58" i="15"/>
  <c r="AP15" i="16"/>
  <c r="BA17" i="16"/>
  <c r="BA19" i="16"/>
  <c r="BA21" i="16"/>
  <c r="BA23" i="16"/>
  <c r="BA25" i="16"/>
  <c r="AP34" i="16"/>
  <c r="BA34" i="16"/>
  <c r="AP50" i="16"/>
  <c r="BA52" i="16"/>
  <c r="AP59" i="16"/>
  <c r="AP61" i="16"/>
  <c r="AR61" i="16" s="1"/>
  <c r="BA61" i="16"/>
  <c r="BA21" i="17"/>
  <c r="BA25" i="17"/>
  <c r="BA28" i="17"/>
  <c r="BA30" i="17"/>
  <c r="AD32" i="15"/>
  <c r="AD17" i="15"/>
  <c r="AE17" i="15" s="1"/>
  <c r="W50" i="15"/>
  <c r="AD24" i="16"/>
  <c r="AD42" i="16"/>
  <c r="AD56" i="16"/>
  <c r="AD61" i="17"/>
  <c r="AD44" i="17"/>
  <c r="BA23" i="18"/>
  <c r="BA29" i="18"/>
  <c r="BA31" i="18"/>
  <c r="BA39" i="18"/>
  <c r="AP41" i="18"/>
  <c r="AR41" i="18" s="1"/>
  <c r="BA46" i="18"/>
  <c r="AR51" i="18"/>
  <c r="BA52" i="18"/>
  <c r="BA53" i="18"/>
  <c r="BA61" i="18"/>
  <c r="AR48" i="15"/>
  <c r="AP51" i="15"/>
  <c r="BA51" i="15"/>
  <c r="AP60" i="15"/>
  <c r="AR60" i="15" s="1"/>
  <c r="AT60" i="15" s="1"/>
  <c r="BA60" i="15"/>
  <c r="AP33" i="16"/>
  <c r="AP42" i="16"/>
  <c r="AR42" i="16" s="1"/>
  <c r="AP47" i="16"/>
  <c r="AR47" i="16" s="1"/>
  <c r="AT47" i="16" s="1"/>
  <c r="AP49" i="16"/>
  <c r="AP58" i="16"/>
  <c r="AR58" i="16" s="1"/>
  <c r="AR59" i="16"/>
  <c r="AP27" i="17"/>
  <c r="AP32" i="17"/>
  <c r="BA34" i="17"/>
  <c r="BA36" i="17"/>
  <c r="AP44" i="17"/>
  <c r="AR44" i="17" s="1"/>
  <c r="AP46" i="17"/>
  <c r="AR46" i="17" s="1"/>
  <c r="BA46" i="17"/>
  <c r="BA48" i="17"/>
  <c r="AP55" i="17"/>
  <c r="AP57" i="17"/>
  <c r="BA59" i="17"/>
  <c r="Y12" i="15"/>
  <c r="Z12" i="15" s="1"/>
  <c r="AD41" i="15"/>
  <c r="AD23" i="15"/>
  <c r="AD35" i="15"/>
  <c r="AD20" i="15"/>
  <c r="AE20" i="15" s="1"/>
  <c r="AD53" i="15"/>
  <c r="AD42" i="15"/>
  <c r="AD31" i="16"/>
  <c r="AD43" i="16"/>
  <c r="AD60" i="16"/>
  <c r="AD55" i="16"/>
  <c r="AD61" i="16"/>
  <c r="AD47" i="17"/>
  <c r="AD53" i="17"/>
  <c r="AD59" i="17"/>
  <c r="BA15" i="18"/>
  <c r="BA16" i="18"/>
  <c r="AL17" i="18"/>
  <c r="AO17" i="18" s="1"/>
  <c r="AP18" i="18"/>
  <c r="BA24" i="18"/>
  <c r="AP28" i="18"/>
  <c r="AP18" i="15"/>
  <c r="BA20" i="15"/>
  <c r="BA29" i="15"/>
  <c r="AP35" i="15"/>
  <c r="AP36" i="15"/>
  <c r="BA40" i="15"/>
  <c r="AP20" i="17"/>
  <c r="AP23" i="17"/>
  <c r="BA23" i="17"/>
  <c r="AD30" i="15"/>
  <c r="W37" i="15"/>
  <c r="W26" i="15"/>
  <c r="W38" i="15"/>
  <c r="W47" i="15"/>
  <c r="AD43" i="15"/>
  <c r="AD49" i="15"/>
  <c r="AD55" i="15"/>
  <c r="AD61" i="15"/>
  <c r="AD37" i="16"/>
  <c r="AD44" i="16"/>
  <c r="AF12" i="17"/>
  <c r="AG12" i="17" s="1"/>
  <c r="AD17" i="16"/>
  <c r="AD26" i="16"/>
  <c r="AD32" i="16"/>
  <c r="AD50" i="16"/>
  <c r="AD62" i="16"/>
  <c r="AD48" i="17"/>
  <c r="BA30" i="18"/>
  <c r="BA38" i="18"/>
  <c r="AP43" i="18"/>
  <c r="AR43" i="18" s="1"/>
  <c r="AP45" i="18"/>
  <c r="AR45" i="18" s="1"/>
  <c r="AT45" i="18" s="1"/>
  <c r="BA45" i="18"/>
  <c r="AP49" i="18"/>
  <c r="BA50" i="18"/>
  <c r="AP60" i="18"/>
  <c r="AR60" i="18" s="1"/>
  <c r="X18" i="18"/>
  <c r="Y18" i="18" s="1"/>
  <c r="AS15" i="18"/>
  <c r="AT15" i="18" s="1"/>
  <c r="AV15" i="18" s="1"/>
  <c r="AX15" i="18"/>
  <c r="BB15" i="18" s="1"/>
  <c r="BC15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AT18" i="18" s="1"/>
  <c r="BB19" i="18"/>
  <c r="BC19" i="18" s="1"/>
  <c r="AS19" i="18"/>
  <c r="AX19" i="18"/>
  <c r="AT17" i="18"/>
  <c r="AU17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F17" i="18" s="1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O25" i="18" s="1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15" i="16" s="1"/>
  <c r="AS15" i="16" s="1"/>
  <c r="AT15" i="16" s="1"/>
  <c r="AU1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 s="1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O37" i="16" s="1"/>
  <c r="AL38" i="16"/>
  <c r="AL39" i="16"/>
  <c r="AO39" i="16" s="1"/>
  <c r="AL40" i="16"/>
  <c r="AO40" i="16" s="1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BA33" i="16"/>
  <c r="AT48" i="16"/>
  <c r="AT52" i="16"/>
  <c r="AT59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O55" i="16" s="1"/>
  <c r="AU55" i="16" s="1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33" i="16" s="1"/>
  <c r="AO47" i="16"/>
  <c r="AV47" i="16" s="1"/>
  <c r="AT49" i="16"/>
  <c r="BA47" i="16"/>
  <c r="AO51" i="16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O48" i="17" s="1"/>
  <c r="AU48" i="17" s="1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V18" i="18"/>
  <c r="AW18" i="18" s="1"/>
  <c r="AU18" i="18"/>
  <c r="AU60" i="15"/>
  <c r="AF17" i="17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F54" i="18"/>
  <c r="AE54" i="18"/>
  <c r="AE60" i="18"/>
  <c r="AF60" i="18" s="1"/>
  <c r="AW53" i="18"/>
  <c r="AW62" i="18"/>
  <c r="X54" i="18"/>
  <c r="Y54" i="18" s="1"/>
  <c r="AV40" i="18"/>
  <c r="AU40" i="18"/>
  <c r="AT40" i="18"/>
  <c r="AE30" i="18"/>
  <c r="AF30" i="18" s="1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X26" i="18"/>
  <c r="Y26" i="18" s="1"/>
  <c r="Y61" i="18"/>
  <c r="X61" i="18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F42" i="18"/>
  <c r="AE42" i="18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 s="1"/>
  <c r="X23" i="18"/>
  <c r="Y23" i="18" s="1"/>
  <c r="Y49" i="18"/>
  <c r="X49" i="18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 s="1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X62" i="18"/>
  <c r="Y62" i="18" s="1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 s="1"/>
  <c r="AW58" i="18"/>
  <c r="X50" i="18"/>
  <c r="Y50" i="18" s="1"/>
  <c r="AF35" i="18"/>
  <c r="AE35" i="18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 s="1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 s="1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 s="1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 s="1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7" i="5" l="1"/>
  <c r="BI17" i="5" s="1"/>
  <c r="W17" i="5" s="1"/>
  <c r="BH16" i="5"/>
  <c r="BI16" i="5" s="1"/>
  <c r="W16" i="5" s="1"/>
  <c r="BH15" i="5"/>
  <c r="BI15" i="5" s="1"/>
  <c r="W15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6" i="5" l="1"/>
  <c r="BA16" i="5" s="1"/>
  <c r="AZ17" i="5"/>
  <c r="BA17" i="5" s="1"/>
  <c r="AZ15" i="5"/>
  <c r="BA15" i="5" s="1"/>
  <c r="BF27" i="22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D15" i="5" l="1"/>
  <c r="BE15" i="5" s="1"/>
  <c r="BD16" i="5"/>
  <c r="BE16" i="5" s="1"/>
  <c r="BD17" i="5"/>
  <c r="BE17" i="5" s="1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BB15" i="5" l="1"/>
  <c r="BC15" i="5" s="1"/>
  <c r="BF15" i="5" s="1"/>
  <c r="BB16" i="5"/>
  <c r="BC16" i="5" s="1"/>
  <c r="BF16" i="5" s="1"/>
  <c r="BB17" i="5"/>
  <c r="BC17" i="5" s="1"/>
  <c r="BF17" i="5" s="1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BJ17" i="5" l="1"/>
  <c r="T17" i="5"/>
  <c r="BJ16" i="5"/>
  <c r="T16" i="5"/>
  <c r="T15" i="5"/>
  <c r="BJ15" i="5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16" i="5" l="1"/>
  <c r="AA16" i="5" s="1"/>
  <c r="AB16" i="5"/>
  <c r="AC16" i="5" s="1"/>
  <c r="Z17" i="5"/>
  <c r="AA17" i="5" s="1"/>
  <c r="AB17" i="5"/>
  <c r="AC17" i="5" s="1"/>
  <c r="Z15" i="5"/>
  <c r="AA15" i="5" s="1"/>
  <c r="AB15" i="5"/>
  <c r="AC15" i="5" s="1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69" i="5" l="1"/>
  <c r="AC71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AC70" i="5" l="1"/>
  <c r="AC73" i="5"/>
  <c r="T32" i="6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U63" i="8" l="1"/>
  <c r="V63" i="8" s="1"/>
  <c r="I47" i="8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 s="1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K36" i="8" l="1"/>
  <c r="C33" i="9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 s="1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S24" i="8" s="1"/>
  <c r="U24" i="8" s="1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52" i="8"/>
  <c r="S52" i="8"/>
  <c r="K53" i="8"/>
  <c r="S53" i="8"/>
  <c r="K24" i="8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A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A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A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A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A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A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A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A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A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A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A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A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A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A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A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A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A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A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A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A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A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A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A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A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A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A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A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A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A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A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A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A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A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A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A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A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A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A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A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A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A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A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A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A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A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A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A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A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A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A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A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A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A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A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A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A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A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A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A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A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A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A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A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A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A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A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A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A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A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A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A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A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A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A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A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A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A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A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A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A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A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A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A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A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A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A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A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A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A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A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A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A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A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A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A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A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A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A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A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A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A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A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A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A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A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A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A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A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A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A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A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A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A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A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A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A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A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A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A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A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A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A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A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A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A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A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A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A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A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A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A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A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A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A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B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B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B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B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B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B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B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B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B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B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B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B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B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B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B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B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B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B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B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B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B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B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B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B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B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B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B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B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B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B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B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B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B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B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B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B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B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B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B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B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B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B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B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B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B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B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B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B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B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B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B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B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B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B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B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B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B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B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B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B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B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B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B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B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B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B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B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B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B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B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B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B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B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B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B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B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B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D043A00F-6486-4F00-A19B-B33779701C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78D7E9B5-9FD2-4F69-A2BD-6BEB760AE3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CFEFA03-458C-43C2-B9DF-FE2289D9A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999BB0B-8C00-4B4E-BF02-7E197E3C4A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6936C58F-466C-4A0A-A1A8-26079F5D64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724065C3-1C7A-4B7F-A4DF-66FA70E7BB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933F7581-C141-42BA-9046-121246C274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35D2CDF4-BBB7-4731-9061-8CE00E2BE4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E9311357-6C9A-40EF-86D0-FFFE4CBA3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549D5FD0-7043-44AE-A1C0-1C799CECA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A0903B19-6E09-4C2F-BCEC-C309F057B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79239B4D-0DFF-45AE-919E-8FB0E75541F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7994900F-047E-498D-BFA4-6CAAC70356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FB3BB8D0-7764-4F10-B36B-DD0FEAB209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8D855AD4-41FB-4AA7-93B3-A7FC8142AF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FF476E51-DDB4-41C0-AACF-D3BA7318B2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74BAFE4-2A9B-461B-A04C-455A3147BE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1B79A2C6-E07F-4D4B-B8BA-F010280423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768FB028-CD83-467D-8EE6-6C306A5FCFF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61AB90D-F9EB-4C8A-8200-A3049D7854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5BD63C-315B-4AA4-86A3-377B351180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6FE0B275-F074-44F5-81A1-CA7DE2046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9B1263E2-16AB-4D8F-A745-90DB6D7A29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2C5DF6D-1892-414A-98FA-E03C4273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B82CF8AE-0EDA-4544-88D8-D2A831B2DA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1D7338A-6EFC-4C13-8F68-33B408FF5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13EEF0A3-2D87-4998-ADA0-5A9EBE29A9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332A0099-87DE-4A67-9E2E-7953120194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232CD8B-6D96-41F7-B48C-B6823E365B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B95AECA-7C52-44E9-93F4-3E641E117F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FE14C584-58B4-4713-947E-4B78067C4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1362C9B-7A40-4996-8895-6CD36B34CC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F42C9E5-C958-4BE8-B058-86C45F4B82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E756A010-D702-43E0-A808-FC98711EB3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9EB3BB67-ECFB-474F-A4F8-F6621DF25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F5FDD68E-D9CA-43D5-AA32-584D386152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9501831-590F-4B81-8DC1-F5AE610C1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7B5C6CCB-16EB-4345-BD04-08224CBBB8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4E3AFE74-B0DA-4FDD-A88E-627D3E7DF0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9F8E2238-78A3-4766-8079-C41DCD56A1F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1A8961-8989-4CCC-894D-50918A6048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30AB9A6D-BEBD-44F9-A66A-9E3FEC24E0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00000000-0006-0000-01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5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5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5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5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5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5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5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5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5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5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5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5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5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5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5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5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5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5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5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5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5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5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5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5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5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5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5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5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5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5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5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5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5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5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5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5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5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5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5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5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5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500-00009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500-00009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500-00009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500-00009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500-00009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500-00009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500-00009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500-00009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500-00009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500-00009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500-00009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500-00009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500-00009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500-00009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500-00009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500-0000A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500-0000A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500-0000A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500-0000A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500-0000A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500-0000A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00000000-0006-0000-0500-0000A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00000000-0006-0000-0500-0000A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00000000-0006-0000-0500-0000A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00000000-0006-0000-0500-0000A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00000000-0006-0000-0500-0000A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00000000-0006-0000-0500-0000A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00000000-0006-0000-0500-0000A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00000000-0006-0000-0500-0000A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00000000-0006-0000-0500-0000A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00000000-0006-0000-0500-0000A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00000000-0006-0000-0500-0000B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00000000-0006-0000-0500-0000B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00000000-0006-0000-0500-0000B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00000000-0006-0000-0500-0000B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00000000-0006-0000-0500-0000B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00000000-0006-0000-0500-0000B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00000000-0006-0000-0500-0000B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00000000-0006-0000-0500-0000B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00000000-0006-0000-0500-0000B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00000000-0006-0000-0500-0000B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00000000-0006-0000-0500-0000B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00000000-0006-0000-0500-0000B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00000000-0006-0000-0500-0000B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0000000-0006-0000-0500-0000B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00000000-0006-0000-0500-0000B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00000000-0006-0000-0500-0000B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00000000-0006-0000-0500-0000C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00000000-0006-0000-0500-0000C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00000000-0006-0000-0500-0000C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00000000-0006-0000-0500-0000C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00000000-0006-0000-0500-0000C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00000000-0006-0000-0500-0000C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0000000-0006-0000-0500-0000C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00000000-0006-0000-0500-0000C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00000000-0006-0000-0500-0000C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00000000-0006-0000-0500-0000C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00000000-0006-0000-0500-0000C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00000000-0006-0000-0500-0000C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0000000-0006-0000-0500-0000C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00000000-0006-0000-0500-0000C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00000000-0006-0000-0500-0000C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00000000-0006-0000-0500-0000C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00000000-0006-0000-0500-0000D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00000000-0006-0000-0500-0000D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00000000-0006-0000-0500-0000D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00000000-0006-0000-0500-0000D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00000000-0006-0000-0500-0000D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00000000-0006-0000-0500-0000D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00000000-0006-0000-0500-0000D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00000000-0006-0000-0500-0000D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00000000-0006-0000-0500-0000D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00000000-0006-0000-0500-0000D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00000000-0006-0000-0500-0000D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00000000-0006-0000-0500-0000D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00000000-0006-0000-0500-0000D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00000000-0006-0000-0500-0000D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00000000-0006-0000-0500-0000D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00000000-0006-0000-0500-0000D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00000000-0006-0000-0500-0000E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00000000-0006-0000-0500-0000E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00000000-0006-0000-0500-0000E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0000000-0006-0000-0500-0000E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00000000-0006-0000-0500-0000E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0000000-0006-0000-0500-0000E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00000000-0006-0000-0500-0000E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0000000-0006-0000-0500-0000E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00000000-0006-0000-0500-0000E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00000000-0006-0000-0500-0000E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00000000-0006-0000-0500-0000E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00000000-0006-0000-0500-0000E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00000000-0006-0000-0500-0000E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00000000-0006-0000-0500-0000E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00000000-0006-0000-0500-0000E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00000000-0006-0000-0500-0000E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00000000-0006-0000-0500-0000F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00000000-0006-0000-0500-0000F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00000000-0006-0000-0500-0000F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00000000-0006-0000-0500-0000F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00000000-0006-0000-0500-0000F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00000000-0006-0000-0500-0000F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00000000-0006-0000-0500-0000F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00000000-0006-0000-0500-0000F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00000000-0006-0000-0500-0000F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00000000-0006-0000-0500-0000F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00000000-0006-0000-0500-0000F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0000000-0006-0000-0500-0000F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00000000-0006-0000-0500-0000F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00000000-0006-0000-0500-0000F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00000000-0006-0000-0500-0000F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00000000-0006-0000-0500-0000F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00000000-0006-0000-0500-00000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00000000-0006-0000-0500-00000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00000000-0006-0000-0500-00000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00000000-0006-0000-0500-00000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00000000-0006-0000-0500-00000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0000000-0006-0000-0500-00000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00000000-0006-0000-0500-00000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00000000-0006-0000-0500-00000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0000000-0006-0000-0500-00000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00000000-0006-0000-0500-00000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00000000-0006-0000-0500-00000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00000000-0006-0000-0500-00000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00000000-0006-0000-0500-00000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00000000-0006-0000-0500-00000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00000000-0006-0000-0500-00000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00000000-0006-0000-0500-00000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00000000-0006-0000-0500-00001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00000000-0006-0000-0500-00001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00000000-0006-0000-0500-00001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0000000-0006-0000-0500-00001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00000000-0006-0000-0500-00001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00000000-0006-0000-0500-00001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00000000-0006-0000-0500-00001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00000000-0006-0000-0500-00001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00000000-0006-0000-0500-00001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00000000-0006-0000-0500-00001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00000000-0006-0000-0500-00001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00000000-0006-0000-0500-00001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00000000-0006-0000-0500-00001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00000000-0006-0000-0500-00001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00000000-0006-0000-0500-00001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00000000-0006-0000-0500-00001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00000000-0006-0000-0500-00002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00000000-0006-0000-0500-00002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00000000-0006-0000-0500-00002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00000000-0006-0000-0500-00002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00000000-0006-0000-0500-00002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00000000-0006-0000-0500-00002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00000000-0006-0000-0500-00002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00000000-0006-0000-0500-00002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00000000-0006-0000-0500-00002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00000000-0006-0000-0500-00002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00000000-0006-0000-0500-00002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00000000-0006-0000-0500-00002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00000000-0006-0000-0500-00002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00000000-0006-0000-0500-00002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00000000-0006-0000-0500-00002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00000000-0006-0000-0500-00002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00000000-0006-0000-0500-00003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00000000-0006-0000-0500-00003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00000000-0006-0000-0500-00003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00000000-0006-0000-0500-00003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00000000-0006-0000-0500-00003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00000000-0006-0000-0500-00003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00000000-0006-0000-0500-00003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00000000-0006-0000-0500-00003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00000000-0006-0000-0500-00003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00000000-0006-0000-0500-00003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00000000-0006-0000-0500-00003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00000000-0006-0000-0500-00003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00000000-0006-0000-0500-00003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00000000-0006-0000-0500-00003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00000000-0006-0000-0500-00003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00000000-0006-0000-0500-00003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00000000-0006-0000-0500-00004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00000000-0006-0000-0500-00004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00000000-0006-0000-0500-00004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00000000-0006-0000-0500-00004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00000000-0006-0000-0500-00004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00000000-0006-0000-0500-00004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00000000-0006-0000-0500-00004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00000000-0006-0000-0500-00004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00000000-0006-0000-0500-00004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00000000-0006-0000-0500-00004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00000000-0006-0000-0500-00004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00000000-0006-0000-0500-00004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00000000-0006-0000-0500-00004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00000000-0006-0000-0500-00004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00000000-0006-0000-0500-00004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00000000-0006-0000-0500-00004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00000000-0006-0000-0500-00005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00000000-0006-0000-0500-00005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00000000-0006-0000-0500-00005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00000000-0006-0000-0500-00005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00000000-0006-0000-0500-00005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00000000-0006-0000-0500-00005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00000000-0006-0000-0500-00005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00000000-0006-0000-0500-00005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00000000-0006-0000-0500-00005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0000000-0006-0000-0500-00005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00000000-0006-0000-0500-00005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0000000-0006-0000-0500-00005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00000000-0006-0000-0500-00005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00000000-0006-0000-0500-00005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00000000-0006-0000-0500-00005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00000000-0006-0000-0500-00005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00000000-0006-0000-0500-00006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00000000-0006-0000-0500-00006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00000000-0006-0000-0500-00006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00000000-0006-0000-0500-00006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00000000-0006-0000-0500-00006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00000000-0006-0000-0500-00006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00000000-0006-0000-0500-00006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00000000-0006-0000-0500-00006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00000000-0006-0000-0500-00006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00000000-0006-0000-0500-00006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00000000-0006-0000-0500-00006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00000000-0006-0000-0500-00006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00000000-0006-0000-0500-00006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00000000-0006-0000-0500-00006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00000000-0006-0000-0500-00006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00000000-0006-0000-0500-00006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00000000-0006-0000-0500-00007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00000000-0006-0000-0500-00007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00000000-0006-0000-0500-00007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00000000-0006-0000-0500-00007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00000000-0006-0000-0500-00007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00000000-0006-0000-0500-00007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00000000-0006-0000-0500-00007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00000000-0006-0000-0500-00007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00000000-0006-0000-0500-00007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00000000-0006-0000-0500-00007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00000000-0006-0000-0500-00007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00000000-0006-0000-0500-00007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00000000-0006-0000-0500-00007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00000000-0006-0000-0500-00007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0000000-0006-0000-0500-00007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00000000-0006-0000-0500-00007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0000000-0006-0000-0500-00008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00000000-0006-0000-0500-00008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00000000-0006-0000-0500-00008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00000000-0006-0000-0500-00008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00000000-0006-0000-0500-00008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00000000-0006-0000-0500-00008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00000000-0006-0000-0500-00008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00000000-0006-0000-0500-00008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00000000-0006-0000-0500-00008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00000000-0006-0000-0500-00008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00000000-0006-0000-0500-00008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00000000-0006-0000-0500-00008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00000000-0006-0000-0500-00008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00000000-0006-0000-0500-00008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00000000-0006-0000-0500-00008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0000000-0006-0000-0500-00008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00000000-0006-0000-0500-00009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00000000-0006-0000-0500-00009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00000000-0006-0000-0500-00009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00000000-0006-0000-0500-00009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00000000-0006-0000-0500-00009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00000000-0006-0000-0500-00009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00000000-0006-0000-0500-00009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00000000-0006-0000-0500-00009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00000000-0006-0000-0500-00009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00000000-0006-0000-0500-00009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00000000-0006-0000-0500-00009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00000000-0006-0000-0500-00009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00000000-0006-0000-0500-00009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00000000-0006-0000-0500-00009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00000000-0006-0000-0500-00009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00000000-0006-0000-0500-00009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00000000-0006-0000-0500-0000A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00000000-0006-0000-0500-0000A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00000000-0006-0000-0500-0000A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0000000-0006-0000-0500-0000A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00000000-0006-0000-0500-0000A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00000000-0006-0000-0500-0000A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00000000-0006-0000-0500-0000A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00000000-0006-0000-0500-0000A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0000000-0006-0000-0500-0000A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00000000-0006-0000-0500-0000A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00000000-0006-0000-0500-0000A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0000000-0006-0000-0500-0000A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00000000-0006-0000-0500-0000A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00000000-0006-0000-0500-0000A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00000000-0006-0000-0500-0000A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00000000-0006-0000-0500-0000A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00000000-0006-0000-0500-0000B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00000000-0006-0000-0500-0000B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00000000-0006-0000-0500-0000B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00000000-0006-0000-0500-0000B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00000000-0006-0000-0500-0000B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00000000-0006-0000-0500-0000B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00000000-0006-0000-0500-0000B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00000000-0006-0000-0500-0000B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00000000-0006-0000-0500-0000B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00000000-0006-0000-0500-0000B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00000000-0006-0000-0500-0000B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00000000-0006-0000-0500-0000B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00000000-0006-0000-0500-0000B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00000000-0006-0000-0500-0000B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00000000-0006-0000-0500-0000B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00000000-0006-0000-0500-0000B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00000000-0006-0000-0500-0000C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00000000-0006-0000-0500-0000C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00000000-0006-0000-0500-0000C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00000000-0006-0000-0500-0000C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00000000-0006-0000-0500-0000C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00000000-0006-0000-0500-0000C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00000000-0006-0000-0500-0000C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00000000-0006-0000-0500-0000C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00000000-0006-0000-0500-0000C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00000000-0006-0000-0500-0000C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00000000-0006-0000-0500-0000C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00000000-0006-0000-0500-0000C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00000000-0006-0000-0500-0000C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00000000-0006-0000-0500-0000C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00000000-0006-0000-0500-0000C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00000000-0006-0000-0500-0000C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00000000-0006-0000-0500-0000D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00000000-0006-0000-0500-0000D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00000000-0006-0000-0500-0000D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00000000-0006-0000-0500-0000D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00000000-0006-0000-0500-0000D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00000000-0006-0000-0500-0000D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00000000-0006-0000-0500-0000D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00000000-0006-0000-0500-0000D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00000000-0006-0000-0500-0000D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00000000-0006-0000-0500-0000D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00000000-0006-0000-0500-0000D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00000000-0006-0000-0500-0000D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00000000-0006-0000-0500-0000D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00000000-0006-0000-0500-0000D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00000000-0006-0000-0500-0000D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00000000-0006-0000-0500-0000D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00000000-0006-0000-0500-0000E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00000000-0006-0000-0500-0000E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00000000-0006-0000-0500-0000E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00000000-0006-0000-0500-0000E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00000000-0006-0000-0500-0000E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00000000-0006-0000-0500-0000E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00000000-0006-0000-0500-0000E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00000000-0006-0000-0500-0000E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00000000-0006-0000-0500-0000E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00000000-0006-0000-0500-0000E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00000000-0006-0000-0500-0000E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00000000-0006-0000-0500-0000E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00000000-0006-0000-0500-0000E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00000000-0006-0000-0500-0000E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00000000-0006-0000-0500-0000E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00000000-0006-0000-0500-0000E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00000000-0006-0000-0500-0000F0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00000000-0006-0000-0500-0000F1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00000000-0006-0000-0500-0000F2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00000000-0006-0000-0500-0000F3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00000000-0006-0000-0500-0000F4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00000000-0006-0000-0500-0000F5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00000000-0006-0000-0500-0000F6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00000000-0006-0000-0500-0000F7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00000000-0006-0000-0500-0000F8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00000000-0006-0000-0500-0000F9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00000000-0006-0000-0500-0000FA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00000000-0006-0000-0500-0000FB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00000000-0006-0000-0500-0000FC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0000000-0006-0000-0500-0000FD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00000000-0006-0000-0500-0000FE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00000000-0006-0000-0500-0000FF01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00000000-0006-0000-0500-00000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00000000-0006-0000-0500-00000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00000000-0006-0000-0500-00000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00000000-0006-0000-0500-00000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00000000-0006-0000-0500-00000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00000000-0006-0000-0500-00000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00000000-0006-0000-0500-00000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00000000-0006-0000-0500-00000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00000000-0006-0000-0500-00000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00000000-0006-0000-0500-00000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00000000-0006-0000-0500-00000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00000000-0006-0000-0500-00000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00000000-0006-0000-0500-00000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00000000-0006-0000-0500-00000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00000000-0006-0000-0500-00000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00000000-0006-0000-0500-00000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00000000-0006-0000-0500-00001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00000000-0006-0000-0500-00001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00000000-0006-0000-0500-00001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00000000-0006-0000-0500-00001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00000000-0006-0000-0500-00001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00000000-0006-0000-0500-00001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00000000-0006-0000-0500-00001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00000000-0006-0000-0500-00001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00000000-0006-0000-0500-00001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00000000-0006-0000-0500-00001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00000000-0006-0000-0500-00001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00000000-0006-0000-0500-00001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00000000-0006-0000-0500-00001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00000000-0006-0000-0500-00001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0000000-0006-0000-0500-00001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00000000-0006-0000-0500-00001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00000000-0006-0000-0500-00002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00000000-0006-0000-0500-00002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0000000-0006-0000-0500-00002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00000000-0006-0000-0500-00002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00000000-0006-0000-0500-00002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00000000-0006-0000-0500-00002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00000000-0006-0000-0500-00002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00000000-0006-0000-0500-00002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00000000-0006-0000-0500-00002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00000000-0006-0000-0500-00002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00000000-0006-0000-0500-00002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00000000-0006-0000-0500-00002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00000000-0006-0000-0500-00002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00000000-0006-0000-0500-00002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000000-0006-0000-0500-00002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00000000-0006-0000-0500-00002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00000000-0006-0000-0500-00003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00000000-0006-0000-0500-00003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00000000-0006-0000-0500-00003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0000000-0006-0000-0500-00003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0000000-0006-0000-0500-00003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00000000-0006-0000-0500-00003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00000000-0006-0000-0500-00003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00000000-0006-0000-0500-00003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00000000-0006-0000-0500-00003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0000000-0006-0000-0500-00003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00000000-0006-0000-0500-00003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00000000-0006-0000-0500-00003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00000000-0006-0000-0500-00003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00000000-0006-0000-0500-00003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00000000-0006-0000-0500-00003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0000000-0006-0000-0500-00003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00000000-0006-0000-0500-00004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00000000-0006-0000-0500-00004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00000000-0006-0000-0500-00004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00000000-0006-0000-0500-00004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00000000-0006-0000-0500-00004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00000000-0006-0000-0500-00004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00000000-0006-0000-0500-00004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00000000-0006-0000-0500-00004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00000000-0006-0000-0500-00004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00000000-0006-0000-0500-00004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0000000-0006-0000-0500-00004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00000000-0006-0000-0500-00004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00000000-0006-0000-0500-00004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00000000-0006-0000-0500-00004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00000000-0006-0000-0500-00004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0000000-0006-0000-0500-00004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00000000-0006-0000-0500-00005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00000000-0006-0000-0500-00005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00000000-0006-0000-0500-00005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00000000-0006-0000-0500-00005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00000000-0006-0000-0500-00005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00000000-0006-0000-0500-00005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00000000-0006-0000-0500-00005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00000000-0006-0000-0500-00005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00000000-0006-0000-0500-00005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00000000-0006-0000-0500-00005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00000000-0006-0000-0500-00005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00000000-0006-0000-0500-00005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00000000-0006-0000-0500-00005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00000000-0006-0000-0500-00005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00000000-0006-0000-0500-00005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0000000-0006-0000-0500-00005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00000000-0006-0000-0500-00006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00000000-0006-0000-0500-00006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00000000-0006-0000-0500-00006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00000000-0006-0000-0500-00006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00000000-0006-0000-0500-00006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00000000-0006-0000-0500-00006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00000000-0006-0000-0500-00006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00000000-0006-0000-0500-00006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0000000-0006-0000-0500-00006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00000000-0006-0000-0500-00006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00000000-0006-0000-0500-00006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00000000-0006-0000-0500-00006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00000000-0006-0000-0500-00006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00000000-0006-0000-0500-00006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00000000-0006-0000-0500-00006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00000000-0006-0000-0500-00006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0000000-0006-0000-0500-00007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00000000-0006-0000-0500-00007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00000000-0006-0000-0500-00007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00000000-0006-0000-0500-00007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00000000-0006-0000-0500-00007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00000000-0006-0000-0500-00007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00000000-0006-0000-0500-00007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00000000-0006-0000-0500-00007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00000000-0006-0000-0500-00007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00000000-0006-0000-0500-00007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00000000-0006-0000-0500-00007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00000000-0006-0000-0500-00007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00000000-0006-0000-0500-00007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00000000-0006-0000-0500-00007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00000000-0006-0000-0500-00007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00000000-0006-0000-0500-00007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00000000-0006-0000-0500-00008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0000000-0006-0000-0500-00008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00000000-0006-0000-0500-00008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00000000-0006-0000-0500-00008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00000000-0006-0000-0500-00008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00000000-0006-0000-0500-00008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00000000-0006-0000-0500-00008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00000000-0006-0000-0500-00008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00000000-0006-0000-0500-00008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00000000-0006-0000-0500-00008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00000000-0006-0000-0500-00008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0000000-0006-0000-0500-00008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00000000-0006-0000-0500-00008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00000000-0006-0000-0500-00008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00000000-0006-0000-0500-00008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00000000-0006-0000-0500-00008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00000000-0006-0000-0500-00009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0000000-0006-0000-0500-00009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00000000-0006-0000-0500-00009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00000000-0006-0000-0500-00009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00000000-0006-0000-0500-00009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00000000-0006-0000-0500-00009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00000000-0006-0000-0500-00009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00000000-0006-0000-0500-00009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00000000-0006-0000-0500-00009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0000000-0006-0000-0500-00009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00000000-0006-0000-0500-00009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00000000-0006-0000-0500-00009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00000000-0006-0000-0500-00009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00000000-0006-0000-0500-00009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00000000-0006-0000-0500-00009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0000000-0006-0000-0500-00009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00000000-0006-0000-0500-0000A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00000000-0006-0000-0500-0000A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00000000-0006-0000-0500-0000A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00000000-0006-0000-0500-0000A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0000000-0006-0000-0500-0000A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00000000-0006-0000-0500-0000A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00000000-0006-0000-0500-0000A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00000000-0006-0000-0500-0000A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00000000-0006-0000-0500-0000A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00000000-0006-0000-0500-0000A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0000000-0006-0000-0500-0000A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00000000-0006-0000-0500-0000A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00000000-0006-0000-0500-0000A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00000000-0006-0000-0500-0000A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00000000-0006-0000-0500-0000A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00000000-0006-0000-0500-0000A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00000000-0006-0000-0500-0000B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00000000-0006-0000-0500-0000B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00000000-0006-0000-0500-0000B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00000000-0006-0000-0500-0000B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00000000-0006-0000-0500-0000B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00000000-0006-0000-0500-0000B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00000000-0006-0000-0500-0000B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00000000-0006-0000-0500-0000B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00000000-0006-0000-0500-0000B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00000000-0006-0000-0500-0000B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00000000-0006-0000-0500-0000B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00000000-0006-0000-0500-0000B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00000000-0006-0000-0500-0000B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00000000-0006-0000-0500-0000B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00000000-0006-0000-0500-0000B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00000000-0006-0000-0500-0000B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00000000-0006-0000-0500-0000C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00000000-0006-0000-0500-0000C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00000000-0006-0000-0500-0000C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00000000-0006-0000-0500-0000C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00000000-0006-0000-0500-0000C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00000000-0006-0000-0500-0000C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0000000-0006-0000-0500-0000C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00000000-0006-0000-0500-0000C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00000000-0006-0000-0500-0000C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00000000-0006-0000-0500-0000C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00000000-0006-0000-0500-0000C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00000000-0006-0000-0500-0000C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00000000-0006-0000-0500-0000C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00000000-0006-0000-0500-0000C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00000000-0006-0000-0500-0000C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00000000-0006-0000-0500-0000C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00000000-0006-0000-0500-0000D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00000000-0006-0000-0500-0000D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00000000-0006-0000-0500-0000D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00000000-0006-0000-0500-0000D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00000000-0006-0000-0500-0000D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00000000-0006-0000-0500-0000D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00000000-0006-0000-0500-0000D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00000000-0006-0000-0500-0000D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00000000-0006-0000-0500-0000D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00000000-0006-0000-0500-0000D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00000000-0006-0000-0500-0000D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00000000-0006-0000-0500-0000D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00000000-0006-0000-0500-0000D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00000000-0006-0000-0500-0000D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0000000-0006-0000-0500-0000D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00000000-0006-0000-0500-0000D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00000000-0006-0000-0500-0000E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00000000-0006-0000-0500-0000E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00000000-0006-0000-0500-0000E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00000000-0006-0000-0500-0000E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00000000-0006-0000-0500-0000E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00000000-0006-0000-0500-0000E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00000000-0006-0000-0500-0000E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00000000-0006-0000-0500-0000E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00000000-0006-0000-0500-0000E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00000000-0006-0000-0500-0000E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00000000-0006-0000-0500-0000E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00000000-0006-0000-0500-0000E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00000000-0006-0000-0500-0000E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00000000-0006-0000-0500-0000E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00000000-0006-0000-0500-0000E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0000000-0006-0000-0500-0000E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00000000-0006-0000-0500-0000F0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00000000-0006-0000-0500-0000F1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00000000-0006-0000-0500-0000F2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0000000-0006-0000-0500-0000F3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00000000-0006-0000-0500-0000F4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00000000-0006-0000-0500-0000F5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00000000-0006-0000-0500-0000F6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00000000-0006-0000-0500-0000F7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00000000-0006-0000-0500-0000F8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00000000-0006-0000-0500-0000F9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00000000-0006-0000-0500-0000FA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00000000-0006-0000-0500-0000FB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0000000-0006-0000-0500-0000FC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00000000-0006-0000-0500-0000FD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0000000-0006-0000-0500-0000FE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00000000-0006-0000-0500-0000FF02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00000000-0006-0000-0500-00000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00000000-0006-0000-0500-00000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00000000-0006-0000-0500-00000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00000000-0006-0000-0500-00000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00000000-0006-0000-0500-00000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00000000-0006-0000-0500-00000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00000000-0006-0000-0500-00000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00000000-0006-0000-0500-00000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00000000-0006-0000-0500-00000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00000000-0006-0000-0500-00000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00000000-0006-0000-0500-00000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00000000-0006-0000-0500-00000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00000000-0006-0000-0500-00000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00000000-0006-0000-0500-00000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00000000-0006-0000-0500-00000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00000000-0006-0000-0500-00000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00000000-0006-0000-0500-00001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00000000-0006-0000-0500-00001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00000000-0006-0000-0500-00001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00000000-0006-0000-0500-00001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00000000-0006-0000-0500-00001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00000000-0006-0000-0500-00001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00000000-0006-0000-0500-00001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00000000-0006-0000-0500-00001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00000000-0006-0000-0500-00001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00000000-0006-0000-0500-00001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00000000-0006-0000-0500-00001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00000000-0006-0000-0500-00001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00000000-0006-0000-0500-00001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00000000-0006-0000-0500-00001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00000000-0006-0000-0500-00001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00000000-0006-0000-0500-00001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00000000-0006-0000-0500-00002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00000000-0006-0000-0500-00002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00000000-0006-0000-0500-00002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00000000-0006-0000-0500-00002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00000000-0006-0000-0500-00002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00000000-0006-0000-0500-00002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00000000-0006-0000-0500-00002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00000000-0006-0000-0500-00002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00000000-0006-0000-0500-00002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00000000-0006-0000-0500-00002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00000000-0006-0000-0500-00002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00000000-0006-0000-0500-00002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00000000-0006-0000-0500-00002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00000000-0006-0000-0500-00002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00000000-0006-0000-0500-00002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00000000-0006-0000-0500-00002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00000000-0006-0000-0500-00003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00000000-0006-0000-0500-00003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00000000-0006-0000-0500-00003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00000000-0006-0000-0500-00003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00000000-0006-0000-0500-00003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00000000-0006-0000-0500-00003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00000000-0006-0000-0500-00003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00000000-0006-0000-0500-00003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00000000-0006-0000-0500-00003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00000000-0006-0000-0500-00003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00000000-0006-0000-0500-00003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00000000-0006-0000-0500-00003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00000000-0006-0000-0500-00003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00000000-0006-0000-0500-00003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00000000-0006-0000-0500-00003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00000000-0006-0000-0500-00003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00000000-0006-0000-0500-00004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00000000-0006-0000-0500-00004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00000000-0006-0000-0500-00004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00000000-0006-0000-0500-00004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00000000-0006-0000-0500-00004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00000000-0006-0000-0500-00004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00000000-0006-0000-0500-00004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00000000-0006-0000-0500-00004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00000000-0006-0000-0500-00004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00000000-0006-0000-0500-00004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00000000-0006-0000-0500-00004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00000000-0006-0000-0500-00004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00000000-0006-0000-0500-00004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00000000-0006-0000-0500-00004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00000000-0006-0000-0500-00004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0000000-0006-0000-0500-00004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00000000-0006-0000-0500-00005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0000000-0006-0000-0500-000051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00000000-0006-0000-0500-000052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00000000-0006-0000-0500-000053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00000000-0006-0000-0500-000054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00000000-0006-0000-0500-000055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00000000-0006-0000-0500-000056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00000000-0006-0000-0500-000057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00000000-0006-0000-0500-000058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00000000-0006-0000-0500-000059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00000000-0006-0000-0500-00005A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00000000-0006-0000-0500-00005B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00000000-0006-0000-0500-00005C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00000000-0006-0000-0500-00005D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00000000-0006-0000-0500-00005E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00000000-0006-0000-0500-00005F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00000000-0006-0000-0500-00006003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6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6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6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6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6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6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6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6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6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6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6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6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6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6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6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6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6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6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6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6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6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6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6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6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6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6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6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6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6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6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6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6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6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6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6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6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6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6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6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6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6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6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6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6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6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6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6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6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6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6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6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6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6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6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6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6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6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6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6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6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6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6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6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6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6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6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6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6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6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6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6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6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6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6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6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6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6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6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6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6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6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6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6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6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6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6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6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6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6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6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6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6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6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6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6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6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6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6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6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6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6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6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6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6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6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6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6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6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6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6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6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6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6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6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6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7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7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7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7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7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7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7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7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7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7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7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7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7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7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7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7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7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7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7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7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7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7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7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7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7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7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7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7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7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7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7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7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7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7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7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7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7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7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7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7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7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7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7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7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7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7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7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7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7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7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7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7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7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7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7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7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7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7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7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7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7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7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7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7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7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7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7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7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7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7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7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7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7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7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7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7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7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7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7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7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7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7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7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7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7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7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7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7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7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7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7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7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7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7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7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7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7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7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7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7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7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7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7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7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7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7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8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8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8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8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8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8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8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8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8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8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8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8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8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8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8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8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8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8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8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8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8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8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8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8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8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8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8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8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8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8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8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8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8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8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8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8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8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8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8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8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8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8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8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8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8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8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8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8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8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8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8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8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8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8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8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8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8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8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8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8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8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8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8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8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8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8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8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8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8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8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8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8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8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8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8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8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8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8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8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8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8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8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8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8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8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8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8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8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8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8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8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8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8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8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8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8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8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8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8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8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8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8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8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8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8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8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8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8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8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8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8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8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8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8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8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8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8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8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8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8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8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9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9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9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9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9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9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9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9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9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9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9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9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9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9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9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9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9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9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9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9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9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9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9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9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9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9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9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9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9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9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9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9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9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9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9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9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9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9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9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9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9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9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9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9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9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9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9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9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9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9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9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9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9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9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9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9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9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9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9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9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9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9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9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9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9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9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9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9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9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9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9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9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9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9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9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9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9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9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9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9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9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9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9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9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9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9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9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9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9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9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9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9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9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9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9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9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9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9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9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9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9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9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9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9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9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9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9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9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9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9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9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9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9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9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9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9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9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9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9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9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9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9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9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9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9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9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9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9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9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9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<sst xmlns="http://schemas.openxmlformats.org/spreadsheetml/2006/main" count="9485" uniqueCount="763">
  <si>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</si>
  <si>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</si>
  <si>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</si>
  <si>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</si>
  <si>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</si>
  <si>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</si>
  <si>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</si>
  <si>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</si>
  <si>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</si>
  <si>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</si>
  <si>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</si>
  <si>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</si>
  <si>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</si>
  <si>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</si>
  <si>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</si>
  <si>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</si>
  <si>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</si>
  <si>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</si>
  <si>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</si>
  <si>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</si>
  <si>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</si>
  <si>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</si>
  <si>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</si>
  <si>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</si>
  <si>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</si>
  <si>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</si>
  <si>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</si>
  <si>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</si>
  <si>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</si>
  <si>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</si>
  <si>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</si>
  <si>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</si>
  <si>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</si>
  <si>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</si>
  <si>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</si>
  <si>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</si>
  <si>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</si>
  <si>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</si>
  <si>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</si>
  <si>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</si>
  <si>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</si>
  <si>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</si>
  <si>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</si>
  <si>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</si>
  <si>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</si>
  <si>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</si>
  <si>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</si>
  <si>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</si>
  <si>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</si>
  <si>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</si>
  <si>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</si>
  <si>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</si>
  <si>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</si>
  <si>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</si>
  <si>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</si>
  <si>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</si>
  <si>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</si>
  <si>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</si>
  <si>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</si>
  <si>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</si>
  <si>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</si>
  <si>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</si>
  <si>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</si>
  <si>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</si>
  <si>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</si>
  <si>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</si>
  <si>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</si>
  <si>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</si>
  <si>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</si>
  <si>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</si>
  <si>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</si>
  <si>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</si>
  <si>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</si>
  <si>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</si>
  <si>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</si>
  <si>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</si>
  <si>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</si>
  <si>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</si>
  <si>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</si>
  <si>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</si>
  <si>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</si>
  <si>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</si>
  <si>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</si>
  <si>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</si>
  <si>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</si>
  <si>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</si>
  <si>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</si>
  <si>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</si>
  <si>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</si>
  <si>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</si>
  <si>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</si>
  <si>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</si>
  <si>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</si>
  <si>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</si>
  <si>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</si>
  <si>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</si>
  <si>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</si>
  <si>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</si>
  <si>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</si>
  <si>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</si>
  <si>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</si>
  <si>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</si>
  <si>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</si>
  <si>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</si>
  <si>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</si>
  <si>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</si>
  <si>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</si>
  <si>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</si>
  <si>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</si>
  <si>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</si>
  <si>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</si>
  <si>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</si>
  <si>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</si>
  <si>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</si>
  <si>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</si>
  <si>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</si>
  <si>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</si>
  <si>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</si>
  <si>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</si>
  <si>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</si>
  <si>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</si>
  <si>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</si>
  <si>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</si>
  <si>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</si>
  <si>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</si>
  <si>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</si>
  <si>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</si>
  <si>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</si>
  <si>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</si>
  <si>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</si>
  <si>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</si>
  <si>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</si>
  <si>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</si>
  <si>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</si>
  <si>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</si>
  <si>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</si>
  <si>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</si>
  <si>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</si>
  <si>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</si>
  <si>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</si>
  <si>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</si>
  <si>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</si>
  <si>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</si>
  <si>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</si>
  <si>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</si>
  <si>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</si>
  <si>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</si>
  <si>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</si>
  <si>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</si>
  <si>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</si>
  <si>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</si>
  <si>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</si>
  <si>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</si>
  <si>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</si>
  <si>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</si>
  <si>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</si>
  <si>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</si>
  <si>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</si>
  <si>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</si>
  <si>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</si>
  <si>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</si>
  <si>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</si>
  <si>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</si>
  <si>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</si>
  <si>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</si>
  <si>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</si>
  <si>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</si>
  <si>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</si>
  <si>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</si>
  <si>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</si>
  <si>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</si>
  <si>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</si>
  <si>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</si>
  <si>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</si>
  <si>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</si>
  <si>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</si>
  <si>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</si>
  <si>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</si>
  <si>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</si>
  <si>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</si>
  <si>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</si>
  <si>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</si>
  <si>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</si>
  <si>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</si>
  <si>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</si>
  <si>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</si>
  <si>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</si>
  <si>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</si>
  <si>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</si>
  <si>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</si>
  <si>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</si>
  <si>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</si>
  <si>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</si>
  <si>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</si>
  <si>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</si>
  <si>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</si>
  <si>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</si>
  <si>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</si>
  <si>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</si>
  <si>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</si>
  <si>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</si>
  <si>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</si>
  <si>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</si>
  <si>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</si>
  <si>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</si>
  <si>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</si>
  <si>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</si>
  <si>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</si>
  <si>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</si>
  <si>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</si>
  <si>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</si>
  <si>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</si>
  <si>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</si>
  <si>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</si>
  <si>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</si>
  <si>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</si>
  <si>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</si>
  <si>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</si>
  <si>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</si>
  <si>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</si>
  <si>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</si>
  <si>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</si>
  <si>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</si>
  <si>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</si>
  <si>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</si>
  <si>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</si>
  <si>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</si>
  <si>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</si>
  <si>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</si>
  <si>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</si>
  <si>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</si>
  <si>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</si>
  <si>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</si>
  <si>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</si>
  <si>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</si>
  <si>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</si>
  <si>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</si>
  <si>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</si>
  <si>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</si>
  <si>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</si>
  <si>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</si>
  <si>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</si>
  <si>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</si>
  <si>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</si>
  <si>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</si>
  <si>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</si>
  <si>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</si>
  <si>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</si>
  <si>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</si>
  <si>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</si>
  <si>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</si>
  <si>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</si>
  <si>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</si>
  <si>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</si>
  <si>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</si>
  <si>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</si>
  <si>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</si>
  <si>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</si>
  <si>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</si>
  <si>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</si>
  <si>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</si>
  <si>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</si>
  <si>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</si>
  <si>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</si>
  <si>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</si>
  <si>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</si>
  <si>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</si>
  <si>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</si>
  <si>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</si>
  <si>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</si>
  <si>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</si>
  <si>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</si>
  <si>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</si>
  <si>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</si>
  <si>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</si>
  <si>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</si>
  <si>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</si>
  <si>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</si>
  <si>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</si>
  <si>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</si>
  <si>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</si>
  <si>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</si>
  <si>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</si>
  <si>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</si>
  <si>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</si>
  <si>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</si>
  <si>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</si>
  <si>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</si>
  <si>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</si>
  <si>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</si>
  <si>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</si>
  <si>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</si>
  <si>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</si>
  <si>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</si>
  <si>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</si>
  <si>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</si>
  <si>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</si>
  <si>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</si>
  <si>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</si>
  <si>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</si>
  <si>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</si>
  <si>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</si>
  <si>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</si>
  <si>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</si>
  <si>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</si>
  <si>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</si>
  <si>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</si>
  <si>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</si>
  <si>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</si>
  <si>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</si>
  <si>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</si>
  <si>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</si>
  <si>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</si>
  <si>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</si>
  <si>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</si>
  <si>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</si>
  <si>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</si>
  <si>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</si>
  <si>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</si>
  <si>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</si>
  <si>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</si>
  <si>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</si>
  <si>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</si>
  <si>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</si>
  <si>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</si>
  <si>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</si>
  <si>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</si>
  <si>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</si>
  <si>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</si>
  <si>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</si>
  <si>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</si>
  <si>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</si>
  <si>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</si>
  <si>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</si>
  <si>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</si>
  <si>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</si>
  <si>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</si>
  <si>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</si>
  <si>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</si>
  <si>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</si>
  <si>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</si>
  <si>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</si>
  <si>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</si>
  <si>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</si>
  <si>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</si>
  <si>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</si>
  <si>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</si>
  <si>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</si>
  <si>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</si>
  <si>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</si>
  <si>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</si>
  <si>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</si>
  <si>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</si>
  <si>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</si>
  <si>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</si>
  <si>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</si>
  <si>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</si>
  <si>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</si>
  <si>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</si>
  <si>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</si>
  <si>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</si>
  <si>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</si>
  <si>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</si>
  <si>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</si>
  <si>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</si>
  <si>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</si>
  <si>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</si>
  <si>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</si>
  <si>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</si>
  <si>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</si>
  <si>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</si>
  <si>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</si>
  <si>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</si>
  <si>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</si>
  <si>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</si>
  <si>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</si>
  <si>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</si>
  <si>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</si>
  <si>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</si>
  <si>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</si>
  <si>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</si>
  <si>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</si>
  <si>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</si>
  <si>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</si>
  <si>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</si>
  <si>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</si>
  <si>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</si>
  <si>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</si>
  <si>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</si>
  <si>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</si>
  <si>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</si>
  <si>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</si>
  <si>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</si>
  <si>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</si>
  <si>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</si>
  <si>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</si>
  <si>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</si>
  <si>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</si>
  <si>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</si>
  <si>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</si>
  <si>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</si>
  <si>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</si>
  <si>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</si>
  <si>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</si>
  <si>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</si>
  <si>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</si>
  <si>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</si>
  <si>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</si>
  <si>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</si>
  <si>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</si>
  <si>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</si>
  <si>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</si>
  <si>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</si>
  <si>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</si>
  <si>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</si>
  <si>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</si>
  <si>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</si>
  <si>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</si>
  <si>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</si>
  <si>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</si>
  <si>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</si>
  <si>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</si>
  <si>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</si>
  <si>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</si>
  <si>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</si>
  <si>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</si>
  <si>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</si>
  <si>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</si>
  <si>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</si>
  <si>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</si>
  <si>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</si>
  <si>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</si>
  <si>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</si>
  <si>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</si>
  <si>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</si>
  <si>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</si>
  <si>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</si>
  <si>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</si>
  <si>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</si>
  <si>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</si>
  <si>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</si>
  <si>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</si>
  <si>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</si>
  <si>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</si>
  <si>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</si>
  <si>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</si>
  <si>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</si>
  <si>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</si>
  <si>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</si>
  <si>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</si>
  <si>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</si>
  <si>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</si>
  <si>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</si>
  <si>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</si>
  <si>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</si>
  <si>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</si>
  <si>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</si>
  <si>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</si>
  <si>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</si>
  <si>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</si>
  <si>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</si>
  <si>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</si>
  <si>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</si>
  <si>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</si>
  <si>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</si>
  <si>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</si>
  <si>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</si>
  <si>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</si>
  <si>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</si>
  <si>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</si>
  <si>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</si>
  <si>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</si>
  <si>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</si>
  <si>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</si>
  <si>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</si>
  <si>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</si>
  <si>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</si>
  <si>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</si>
  <si>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</si>
  <si>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</si>
  <si>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</si>
  <si>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</si>
  <si>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</si>
  <si>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</si>
  <si>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</si>
  <si>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</si>
  <si>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</si>
  <si>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</si>
  <si>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</si>
  <si>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</si>
  <si>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</si>
  <si>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</si>
  <si>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</si>
  <si>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</si>
  <si>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</si>
  <si>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</si>
  <si>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</si>
  <si>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</si>
  <si>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</si>
  <si>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</si>
  <si>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</si>
  <si>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</si>
  <si>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</si>
  <si>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</si>
  <si>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</si>
  <si>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</si>
  <si>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</si>
  <si>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</si>
  <si>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</si>
  <si>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</si>
  <si>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</si>
  <si>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</si>
  <si>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</si>
  <si>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</si>
  <si>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</si>
  <si>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</si>
  <si>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</si>
  <si>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</si>
  <si>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</si>
  <si>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</si>
  <si>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</si>
  <si>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</si>
  <si>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</si>
  <si>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</si>
  <si>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</si>
  <si>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</si>
  <si>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</si>
  <si>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</si>
  <si>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</si>
  <si>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</si>
  <si>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</si>
  <si>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</si>
  <si>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</si>
  <si>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</si>
  <si>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</si>
  <si>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</si>
  <si>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</si>
  <si>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</si>
  <si>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</si>
  <si>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</si>
  <si>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</si>
  <si>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</si>
  <si>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</si>
  <si>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</si>
  <si>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</si>
  <si>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</si>
  <si>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</si>
  <si>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</si>
  <si>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</si>
  <si>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</si>
  <si>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</si>
  <si>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</si>
  <si>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</si>
  <si>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</si>
  <si>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</si>
  <si>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</si>
  <si>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</si>
  <si>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</si>
  <si>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</si>
  <si>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</si>
  <si>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</si>
  <si>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</si>
  <si>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</si>
  <si>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</si>
  <si>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</si>
  <si>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</si>
  <si>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</si>
  <si>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</si>
  <si>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</si>
  <si>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</si>
  <si>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</si>
  <si>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</si>
  <si>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</si>
  <si>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</si>
  <si>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</si>
  <si>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</si>
  <si>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</si>
  <si>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</si>
  <si>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</si>
  <si>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</si>
  <si>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</si>
  <si>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</si>
  <si>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</si>
  <si>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</si>
  <si>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</si>
  <si>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</si>
  <si>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</si>
  <si>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</si>
  <si>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</si>
  <si>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</si>
  <si>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</si>
  <si>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</si>
  <si>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</si>
  <si>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</si>
  <si>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</si>
  <si>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</si>
  <si>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</si>
  <si>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</si>
  <si>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</si>
  <si>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</si>
  <si>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</si>
  <si>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</si>
  <si>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</si>
  <si>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</si>
  <si>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</si>
  <si>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</si>
  <si>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</si>
  <si>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</si>
  <si>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</si>
  <si>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</si>
  <si>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</si>
  <si>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</si>
  <si>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</si>
  <si>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</si>
  <si>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</si>
  <si>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</si>
  <si>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</si>
  <si>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</si>
  <si>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</si>
  <si>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</si>
  <si>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</si>
  <si>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</si>
  <si>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</si>
  <si>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</si>
  <si>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</si>
  <si>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</si>
  <si>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</si>
  <si>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</si>
  <si>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</si>
  <si>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</si>
  <si>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</si>
  <si>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</si>
  <si>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</si>
  <si>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</si>
  <si>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</si>
  <si>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</si>
  <si>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</si>
  <si>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</si>
  <si>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</si>
  <si>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</si>
  <si>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</si>
  <si>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</si>
  <si>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</si>
  <si>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</si>
  <si>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</si>
  <si>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</si>
  <si>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</si>
  <si>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</si>
  <si>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</si>
  <si>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</si>
  <si>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</si>
  <si>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</si>
  <si>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</si>
  <si>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</si>
  <si>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</si>
  <si>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</si>
  <si>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</si>
  <si>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</si>
  <si>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</si>
  <si>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</si>
  <si>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</si>
  <si>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</si>
  <si>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</si>
  <si>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</si>
  <si>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</si>
  <si>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</si>
  <si>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</si>
  <si>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</si>
  <si>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</si>
  <si>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</si>
  <si>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</si>
  <si>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</si>
  <si>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</si>
  <si>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</si>
  <si>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</si>
  <si>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</si>
  <si>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</si>
  <si>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</si>
  <si>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</si>
  <si>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</si>
  <si>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</si>
  <si>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</si>
  <si>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</si>
  <si>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</si>
  <si>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</si>
  <si>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</si>
  <si>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</si>
  <si>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</si>
  <si>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</si>
  <si>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</si>
  <si>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</si>
  <si>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</si>
  <si>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</si>
  <si>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</si>
  <si>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</si>
  <si>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</si>
  <si>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</si>
  <si>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</si>
  <si>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</si>
  <si>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</si>
  <si>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</si>
  <si>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</si>
  <si>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</si>
  <si>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</si>
  <si>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</si>
  <si>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</si>
  <si>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</si>
  <si>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</si>
  <si>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</si>
  <si>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</si>
  <si>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</si>
  <si>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</si>
  <si>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</si>
  <si>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</si>
  <si>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</si>
  <si>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</si>
  <si>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</si>
  <si>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</si>
  <si>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</si>
  <si>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</si>
  <si>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</si>
  <si>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</si>
  <si>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</si>
  <si>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</si>
  <si>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</si>
  <si>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</si>
  <si>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</si>
  <si>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</si>
  <si>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</si>
  <si>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</si>
  <si>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</si>
  <si>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</si>
  <si>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</si>
  <si>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</si>
  <si>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</si>
  <si>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</si>
  <si>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</si>
  <si>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</si>
  <si>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</si>
  <si>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</si>
  <si>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</si>
  <si>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</si>
  <si>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</si>
  <si>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</si>
  <si>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</si>
  <si>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</si>
  <si>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</si>
  <si>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</si>
  <si>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</si>
  <si>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ESAU GOMEZ</t>
  </si>
  <si>
    <t>BLACK OUT</t>
  </si>
  <si>
    <t>TERGAL</t>
  </si>
  <si>
    <t>ENTRADA</t>
  </si>
  <si>
    <t>SALA</t>
  </si>
  <si>
    <t>FRENTE PUERTA</t>
  </si>
  <si>
    <t>YURI C.O</t>
  </si>
  <si>
    <t>TIJUANA</t>
  </si>
  <si>
    <t>REC PRINCIPAL</t>
  </si>
  <si>
    <t>BEBE</t>
  </si>
  <si>
    <t>NIÑA</t>
  </si>
  <si>
    <t>YURI C.O COM</t>
  </si>
  <si>
    <t>BS 082725EG-1REV4</t>
  </si>
  <si>
    <t>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</si>
</sst>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8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2" borderId="73" xfId="4" applyFill="1" applyBorder="1" applyAlignment="1" applyProtection="1">
      <protection locked="0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 2" xfId="3" xr:uid="{00000000-0005-0000-0000-000001000000}"/>
    <cellStyle name="Hipervínculo" xfId="4" builtinId="8"/>
    <cellStyle name="Moneda" xfId="1" builtinId="4"/>
    <cellStyle name="Normal" xfId="0" builtinId="0"/>
    <cellStyle name="Normal 2" xfId="5" xr:uid="{00000000-0005-0000-0000-000004000000}"/>
    <cellStyle name="Normal 2 2" xfId="6" xr:uid="{00000000-0005-0000-0000-000005000000}"/>
    <cellStyle name="Porcentaje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70" zoomScaleNormal="70" workbookViewId="0">
      <selection activeCell="O12" sqref="O12"/>
    </sheetView>
  </sheetViews>
  <sheetFormatPr baseColWidth="10" defaultColWidth="9.140625"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BS 082725EG-1REV4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>YURI C.O COM</v>
      </c>
      <c r="L4" s="340"/>
      <c r="N4" s="340" t="str">
        <f>'FILL QUOTE-CALCULATIONS'!O6</f>
        <v>TIJUANA</v>
      </c>
      <c r="O4" s="340"/>
      <c r="P4" s="340"/>
      <c r="R4" s="340">
        <f>'FILL QUOTE-CALCULATIONS'!S6</f>
        <v>0</v>
      </c>
      <c r="S4" s="340"/>
      <c r="W4" s="341">
        <f>'FILL QUOTE-CALCULATIONS'!AC6</f>
        <v>0</v>
      </c>
      <c r="Y4" s="327"/>
    </row>
    <row r="5" spans="2:27" ht="17.25" thickTop="1" x14ac:dyDescent="0.25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>YURI C.O</v>
      </c>
      <c r="L7" s="340"/>
      <c r="N7" s="347">
        <f>'FILL QUOTE-CALCULATIONS'!O9</f>
        <v>0</v>
      </c>
      <c r="O7" s="340"/>
      <c r="P7" s="340"/>
      <c r="R7" s="340" t="str">
        <f>'FILL QUOTE-CALCULATIONS'!S9</f>
        <v>ESAU GOMEZ</v>
      </c>
      <c r="S7" s="340"/>
      <c r="W7" s="348">
        <f>'FILL QUOTE-CALCULATIONS'!AC9</f>
        <v>45896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>SALESPERSON</v>
      </c>
      <c r="S8" s="342"/>
      <c r="V8" s="350"/>
      <c r="W8" s="344" t="str">
        <f>'FILL QUOTE-CALCULATIONS'!AC10</f>
        <v>DATE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8" t="str">
        <f>'FILL QUOTE-CALCULATIONS'!P12:S12</f>
        <v>HARDWARE</v>
      </c>
      <c r="Q10" s="908"/>
      <c r="R10" s="908"/>
      <c r="S10" s="908"/>
      <c r="T10" s="352" t="str">
        <f>'FILL QUOTE-CALCULATIONS'!T12</f>
        <v>DRAPERIES</v>
      </c>
      <c r="U10" s="352" t="str">
        <f>'FILL QUOTE-CALCULATIONS'!W12</f>
        <v>HARDWARE</v>
      </c>
      <c r="V10" s="908" t="str">
        <f>'FILL QUOTE-CALCULATIONS'!AB12</f>
        <v>TOTALS</v>
      </c>
      <c r="W10" s="908"/>
      <c r="Y10" s="354"/>
    </row>
    <row r="11" spans="2:27" s="353" customFormat="1" ht="45" customHeight="1" thickBot="1" x14ac:dyDescent="0.3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PAIR</v>
      </c>
      <c r="E12" s="360" t="str">
        <f>IF(OR(C12&lt;1,C12=""),"",IF('FILL QUOTE-CALCULATIONS'!$S$4="INGLES",'FILL QUOTE-CALCULATIONS'!E15,VLOOKUP('FILL QUOTE-CALCULATIONS'!E15,'DROP LIST'!$E$7:$F$15,2,0)))</f>
        <v>PINCH PLEATED</v>
      </c>
      <c r="F12" s="360" t="str">
        <f>IF(OR(C12&lt;1,C12=""),"",IF('FILL QUOTE-CALCULATIONS'!$S$4="INGLES",'FILL QUOTE-CALCULATIONS'!F15,VLOOKUP('FILL QUOTE-CALCULATIONS'!F15,'DROP LIST'!$H$7:$I$19,2,0)))</f>
        <v>SHEER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STOCK</v>
      </c>
      <c r="I12" s="360" t="str">
        <f>IF(OR(C12&lt;1,C12=""),"",IF('FILL QUOTE-CALCULATIONS'!$S$4="INGLES",'FILL QUOTE-CALCULATIONS'!I15,VLOOKUP('FILL QUOTE-CALCULATIONS'!I15,'DROP LIST'!$M$15:$N$18,2,0)))</f>
        <v>DECORATIVE SHEER</v>
      </c>
      <c r="J12" s="360" t="str">
        <f>'FILL QUOTE-CALCULATIONS'!J15</f>
        <v/>
      </c>
      <c r="K12" s="360" t="str">
        <f>IF(OR(C12&lt;1,C12=""),"",'FILL QUOTE-CALCULATIONS'!K15)</f>
        <v>TERGAL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ENTRADA</v>
      </c>
      <c r="N12" s="362">
        <f>IF(OR(C12&lt;1,C12=""),"",'FILL QUOTE-CALCULATIONS'!N15)</f>
        <v>250</v>
      </c>
      <c r="O12" s="362">
        <f>IF(OR(C12&lt;1,C12=""),"",'FILL QUOTE-CALCULATIONS'!O15)</f>
        <v>100</v>
      </c>
      <c r="P12" s="360" t="str">
        <f>IF(OR(C12&lt;1,C12=""),"",IF('FILL QUOTE-CALCULATIONS'!$S$4="INGLES",'FILL QUOTE-CALCULATIONS'!P15, VLOOKUP('FILL QUOTE-CALCULATIONS'!P15,'DROP LIST'!$E$25:$F$27,2,0)))</f>
        <v>TO WALL</v>
      </c>
      <c r="Q12" s="360" t="str">
        <f>IF(OR(C12&lt;1,C12=""),"",IF('FILL QUOTE-CALCULATIONS'!$S$4="INGLES",'FILL QUOTE-CALCULATIONS'!Q15,VLOOKUP('FILL QUOTE-CALCULATIONS'!Q15,'DROP LIST'!$H$25:$I$36,2,0)))</f>
        <v>STD. TRACK -P.P.- BATON</v>
      </c>
      <c r="R12" s="362" t="str">
        <f>IF('FILL QUOTE-CALCULATIONS'!R15="","",'FILL QUOTE-CALCULATIONS'!R15)</f>
        <v>WHITE</v>
      </c>
      <c r="S12" s="360" t="str">
        <f>IF(OR(C12&lt;1,C12=""),"",IF('FILL QUOTE-CALCULATIONS'!$S$4="INGLES",'FILL QUOTE-CALCULATIONS'!S15,VLOOKUP('FILL QUOTE-CALCULATIONS'!S15,'DROP LIST'!$H$43:$I$46,2,0)))</f>
        <v>WHITE</v>
      </c>
      <c r="T12" s="363">
        <f>IF(OR(C12&lt;1,C12=""),"",'FILL QUOTE-CALCULATIONS'!T15)</f>
        <v>663.35</v>
      </c>
      <c r="U12" s="364">
        <f>IF(OR(C12&lt;1,C12=""),"",'FILL QUOTE-CALCULATIONS'!W15)</f>
        <v>201.75</v>
      </c>
      <c r="V12" s="365">
        <f>IF(OR(C12&lt;1,C12=""),"",IF('FILL QUOTE-CALCULATIONS'!$S$3="DOLLARS",'FILL QUOTE-CALCULATIONS'!AB15,'FILL QUOTE-CALCULATIONS'!AB15*'FILL QUOTE-CALCULATIONS'!$AC$4))</f>
        <v>865.1</v>
      </c>
      <c r="W12" s="366">
        <f>IF(OR(C12&lt;1,C12=""),"",IF('FILL QUOTE-CALCULATIONS'!$S$3="DOLLARS",'FILL QUOTE-CALCULATIONS'!AC15,'FILL QUOTE-CALCULATIONS'!AC15*'FILL QUOTE-CALCULATIONS'!$AC$4))</f>
        <v>865.1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PAIR</v>
      </c>
      <c r="E13" s="360" t="str">
        <f>IF(OR(C13&lt;1,C13=""),"",IF('FILL QUOTE-CALCULATIONS'!$S$4="INGLES",'FILL QUOTE-CALCULATIONS'!E16,VLOOKUP('FILL QUOTE-CALCULATIONS'!E16,'DROP LIST'!$E$7:$F$15,2,0)))</f>
        <v>PINCH PLEATED</v>
      </c>
      <c r="F13" s="360" t="str">
        <f>IF(OR(C13&lt;1,C13=""),"",IF('FILL QUOTE-CALCULATIONS'!$S$4="INGLES",'FILL QUOTE-CALCULATIONS'!F16,VLOOKUP('FILL QUOTE-CALCULATIONS'!F16,'DROP LIST'!$H$7:$I$19,2,0)))</f>
        <v>SHEER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STOCK</v>
      </c>
      <c r="I13" s="360" t="str">
        <f>IF(OR(C13&lt;1,C13=""),"",IF('FILL QUOTE-CALCULATIONS'!$S$4="INGLES",'FILL QUOTE-CALCULATIONS'!I16,VLOOKUP('FILL QUOTE-CALCULATIONS'!I16,'DROP LIST'!$M$15:$N$18,2,0)))</f>
        <v>DECORATIVE SHEER</v>
      </c>
      <c r="J13" s="360" t="str">
        <f>'FILL QUOTE-CALCULATIONS'!J16</f>
        <v/>
      </c>
      <c r="K13" s="360" t="str">
        <f>IF(OR(C13&lt;1,C13=""),"",'FILL QUOTE-CALCULATIONS'!K16)</f>
        <v>TERGAL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SALA</v>
      </c>
      <c r="N13" s="362">
        <f>IF(OR(C13&lt;1,C13=""),"",'FILL QUOTE-CALCULATIONS'!N16)</f>
        <v>190</v>
      </c>
      <c r="O13" s="362">
        <f>IF(OR(C13&lt;1,C13=""),"",'FILL QUOTE-CALCULATIONS'!O16)</f>
        <v>109</v>
      </c>
      <c r="P13" s="360" t="str">
        <f>IF(OR(C13&lt;1,C13=""),"",IF('FILL QUOTE-CALCULATIONS'!$S$4="INGLES",'FILL QUOTE-CALCULATIONS'!P16, VLOOKUP('FILL QUOTE-CALCULATIONS'!P16,'DROP LIST'!$E$25:$F$27,2,0)))</f>
        <v>TO WALL</v>
      </c>
      <c r="Q13" s="360" t="str">
        <f>IF(OR(C13&lt;1,C13=""),"",IF('FILL QUOTE-CALCULATIONS'!$S$4="INGLES",'FILL QUOTE-CALCULATIONS'!Q16,VLOOKUP('FILL QUOTE-CALCULATIONS'!Q16,'DROP LIST'!$H$25:$I$36,2,0)))</f>
        <v>STD. TRACK -P.P.- BATON</v>
      </c>
      <c r="R13" s="362" t="str">
        <f>IF('FILL QUOTE-CALCULATIONS'!R16="","",'FILL QUOTE-CALCULATIONS'!R16)</f>
        <v>WHITE</v>
      </c>
      <c r="S13" s="360" t="str">
        <f>IF(OR(C13&lt;1,C13=""),"",IF('FILL QUOTE-CALCULATIONS'!$S$4="INGLES",'FILL QUOTE-CALCULATIONS'!S16,VLOOKUP('FILL QUOTE-CALCULATIONS'!S16,'DROP LIST'!$H$43:$I$46,2,0)))</f>
        <v>WHITE</v>
      </c>
      <c r="T13" s="363">
        <f>IF(OR(C13&lt;1,C13=""),"",'FILL QUOTE-CALCULATIONS'!T16)</f>
        <v>545.65</v>
      </c>
      <c r="U13" s="364">
        <f>IF(OR(C13&lt;1,C13=""),"",'FILL QUOTE-CALCULATIONS'!W16)</f>
        <v>158.10000000000002</v>
      </c>
      <c r="V13" s="365">
        <f>IF(OR(C13&lt;1,C13=""),"",IF('FILL QUOTE-CALCULATIONS'!$S$3="DOLLARS",'FILL QUOTE-CALCULATIONS'!AB16,'FILL QUOTE-CALCULATIONS'!AB16*'FILL QUOTE-CALCULATIONS'!$AC$4))</f>
        <v>703.75</v>
      </c>
      <c r="W13" s="366">
        <f>IF(OR(C13&lt;1,C13=""),"",IF('FILL QUOTE-CALCULATIONS'!$S$3="DOLLARS",'FILL QUOTE-CALCULATIONS'!AC16,'FILL QUOTE-CALCULATIONS'!AC16*'FILL QUOTE-CALCULATIONS'!$AC$4))</f>
        <v>703.75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PAIR</v>
      </c>
      <c r="E14" s="360" t="str">
        <f>IF(OR(C14&lt;1,C14=""),"",IF('FILL QUOTE-CALCULATIONS'!$S$4="INGLES",'FILL QUOTE-CALCULATIONS'!E17,VLOOKUP('FILL QUOTE-CALCULATIONS'!E17,'DROP LIST'!$E$7:$F$15,2,0)))</f>
        <v>PINCH PLEATED</v>
      </c>
      <c r="F14" s="360" t="str">
        <f>IF(OR(C14&lt;1,C14=""),"",IF('FILL QUOTE-CALCULATIONS'!$S$4="INGLES",'FILL QUOTE-CALCULATIONS'!F17,VLOOKUP('FILL QUOTE-CALCULATIONS'!F17,'DROP LIST'!$H$7:$I$19,2,0)))</f>
        <v>SHEER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STOCK</v>
      </c>
      <c r="I14" s="360" t="str">
        <f>IF(OR(C14&lt;1,C14=""),"",IF('FILL QUOTE-CALCULATIONS'!$S$4="INGLES",'FILL QUOTE-CALCULATIONS'!I17,VLOOKUP('FILL QUOTE-CALCULATIONS'!I17,'DROP LIST'!$M$15:$N$18,2,0)))</f>
        <v>DECORATIVE SHEER</v>
      </c>
      <c r="J14" s="360" t="str">
        <f>'FILL QUOTE-CALCULATIONS'!J17</f>
        <v/>
      </c>
      <c r="K14" s="360" t="str">
        <f>IF(OR(C14&lt;1,C14=""),"",'FILL QUOTE-CALCULATIONS'!K17)</f>
        <v>TERGAL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>FRENTE PUERTA</v>
      </c>
      <c r="N14" s="362">
        <f>IF(OR(C14&lt;1,C14=""),"",'FILL QUOTE-CALCULATIONS'!N17)</f>
        <v>73.5</v>
      </c>
      <c r="O14" s="362">
        <f>IF(OR(C14&lt;1,C14=""),"",'FILL QUOTE-CALCULATIONS'!O17)</f>
        <v>100</v>
      </c>
      <c r="P14" s="360" t="str">
        <f>IF(OR(C14&lt;1,C14=""),"",IF('FILL QUOTE-CALCULATIONS'!$S$4="INGLES",'FILL QUOTE-CALCULATIONS'!P17, VLOOKUP('FILL QUOTE-CALCULATIONS'!P17,'DROP LIST'!$E$25:$F$27,2,0)))</f>
        <v>TO WALL</v>
      </c>
      <c r="Q14" s="360" t="str">
        <f>IF(OR(C14&lt;1,C14=""),"",IF('FILL QUOTE-CALCULATIONS'!$S$4="INGLES",'FILL QUOTE-CALCULATIONS'!Q17,VLOOKUP('FILL QUOTE-CALCULATIONS'!Q17,'DROP LIST'!$H$25:$I$36,2,0)))</f>
        <v>STD. TRACK -P.P.- BATON</v>
      </c>
      <c r="R14" s="362" t="str">
        <f>IF('FILL QUOTE-CALCULATIONS'!R17="","",'FILL QUOTE-CALCULATIONS'!R17)</f>
        <v>WHITE</v>
      </c>
      <c r="S14" s="360" t="str">
        <f>IF(OR(C14&lt;1,C14=""),"",IF('FILL QUOTE-CALCULATIONS'!$S$4="INGLES",'FILL QUOTE-CALCULATIONS'!S17,VLOOKUP('FILL QUOTE-CALCULATIONS'!S17,'DROP LIST'!$H$43:$I$46,2,0)))</f>
        <v>WHITE</v>
      </c>
      <c r="T14" s="363">
        <f>IF(OR(C14&lt;1,C14=""),"",'FILL QUOTE-CALCULATIONS'!T17)</f>
        <v>215.9</v>
      </c>
      <c r="U14" s="364">
        <f>IF(OR(C14&lt;1,C14=""),"",'FILL QUOTE-CALCULATIONS'!W17)</f>
        <v>65.850000000000009</v>
      </c>
      <c r="V14" s="365">
        <f>IF(OR(C14&lt;1,C14=""),"",IF('FILL QUOTE-CALCULATIONS'!$S$3="DOLLARS",'FILL QUOTE-CALCULATIONS'!AB17,'FILL QUOTE-CALCULATIONS'!AB17*'FILL QUOTE-CALCULATIONS'!$AC$4))</f>
        <v>281.75</v>
      </c>
      <c r="W14" s="366">
        <f>IF(OR(C14&lt;1,C14=""),"",IF('FILL QUOTE-CALCULATIONS'!$S$3="DOLLARS",'FILL QUOTE-CALCULATIONS'!AC17,'FILL QUOTE-CALCULATIONS'!AC17*'FILL QUOTE-CALCULATIONS'!$AC$4))</f>
        <v>281.75</v>
      </c>
      <c r="Y14" s="354"/>
      <c r="AA14" s="695" t="s">
        <v>746</v>
      </c>
    </row>
    <row r="15" spans="2:27" s="353" customFormat="1" ht="30" customHeight="1" x14ac:dyDescent="0.25"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PNL-L</v>
      </c>
      <c r="E15" s="360" t="str">
        <f>IF(OR(C15&lt;1,C15=""),"",IF('FILL QUOTE-CALCULATIONS'!$S$4="INGLES",'FILL QUOTE-CALCULATIONS'!E18,VLOOKUP('FILL QUOTE-CALCULATIONS'!E18,'DROP LIST'!$E$7:$F$15,2,0)))</f>
        <v>PINCH PLEATED</v>
      </c>
      <c r="F15" s="360" t="str">
        <f>IF(OR(C15&lt;1,C15=""),"",IF('FILL QUOTE-CALCULATIONS'!$S$4="INGLES",'FILL QUOTE-CALCULATIONS'!F18,VLOOKUP('FILL QUOTE-CALCULATIONS'!F18,'DROP LIST'!$H$7:$I$19,2,0)))</f>
        <v>BOD</v>
      </c>
      <c r="G15" s="361">
        <f>IF(OR(C15&lt;1,C15=""),"",'FILL QUOTE-CALCULATIONS'!G18)</f>
        <v>2</v>
      </c>
      <c r="H15" s="360" t="str">
        <f>IF(OR(C15&lt;1,C15=""),"",IF('FILL QUOTE-CALCULATIONS'!$S$4="INGLES",'FILL QUOTE-CALCULATIONS'!H18,VLOOKUP('FILL QUOTE-CALCULATIONS'!H18,'DROP LIST'!$M$7:$N$10,2,0)))</f>
        <v>STOCK</v>
      </c>
      <c r="I15" s="360" t="str">
        <f>IF(OR(C15&lt;1,C15=""),"",IF('FILL QUOTE-CALCULATIONS'!$S$4="INGLES",'FILL QUOTE-CALCULATIONS'!I18,VLOOKUP('FILL QUOTE-CALCULATIONS'!I18,'DROP LIST'!$M$15:$N$18,2,0)))</f>
        <v>DECORATIVE SHEER</v>
      </c>
      <c r="J15" s="360" t="str">
        <f>'FILL QUOTE-CALCULATIONS'!J18</f>
        <v/>
      </c>
      <c r="K15" s="360" t="str">
        <f>IF(OR(C15&lt;1,C15=""),"",'FILL QUOTE-CALCULATIONS'!K18)</f>
        <v>BLACK OUT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>REC PRINCIPAL</v>
      </c>
      <c r="N15" s="362">
        <f>IF(OR(C15&lt;1,C15=""),"",'FILL QUOTE-CALCULATIONS'!N18)</f>
        <v>185</v>
      </c>
      <c r="O15" s="362">
        <f>IF(OR(C15&lt;1,C15=""),"",'FILL QUOTE-CALCULATIONS'!O18)</f>
        <v>104.75</v>
      </c>
      <c r="P15" s="360" t="str">
        <f>IF(OR(C15&lt;1,C15=""),"",IF('FILL QUOTE-CALCULATIONS'!$S$4="INGLES",'FILL QUOTE-CALCULATIONS'!P18, VLOOKUP('FILL QUOTE-CALCULATIONS'!P18,'DROP LIST'!$E$25:$F$27,2,0)))</f>
        <v>TO WALL</v>
      </c>
      <c r="Q15" s="360" t="str">
        <f>IF(OR(C15&lt;1,C15=""),"",IF('FILL QUOTE-CALCULATIONS'!$S$4="INGLES",'FILL QUOTE-CALCULATIONS'!Q18,VLOOKUP('FILL QUOTE-CALCULATIONS'!Q18,'DROP LIST'!$H$25:$I$36,2,0)))</f>
        <v>STD. TRACK -P.P.- BATON</v>
      </c>
      <c r="R15" s="362" t="str">
        <f>IF('FILL QUOTE-CALCULATIONS'!R18="","",'FILL QUOTE-CALCULATIONS'!R18)</f>
        <v>WHITE</v>
      </c>
      <c r="S15" s="360" t="str">
        <f>IF(OR(C15&lt;1,C15=""),"",IF('FILL QUOTE-CALCULATIONS'!$S$4="INGLES",'FILL QUOTE-CALCULATIONS'!S18,VLOOKUP('FILL QUOTE-CALCULATIONS'!S18,'DROP LIST'!$H$43:$I$46,2,0)))</f>
        <v>WHITE</v>
      </c>
      <c r="T15" s="363">
        <f>IF(OR(C15&lt;1,C15=""),"",'FILL QUOTE-CALCULATIONS'!T18)</f>
        <v>1016.25</v>
      </c>
      <c r="U15" s="364">
        <f>IF(OR(C15&lt;1,C15=""),"",'FILL QUOTE-CALCULATIONS'!W18)</f>
        <v>154.25</v>
      </c>
      <c r="V15" s="365">
        <f>IF(OR(C15&lt;1,C15=""),"",IF('FILL QUOTE-CALCULATIONS'!$S$3="DOLLARS",'FILL QUOTE-CALCULATIONS'!AB18,'FILL QUOTE-CALCULATIONS'!AB18*'FILL QUOTE-CALCULATIONS'!$AC$4))</f>
        <v>1170.5</v>
      </c>
      <c r="W15" s="366">
        <f>IF(OR(C15&lt;1,C15=""),"",IF('FILL QUOTE-CALCULATIONS'!$S$3="DOLLARS",'FILL QUOTE-CALCULATIONS'!AC18,'FILL QUOTE-CALCULATIONS'!AC18*'FILL QUOTE-CALCULATIONS'!$AC$4))</f>
        <v>1170.5</v>
      </c>
      <c r="Y15" s="354"/>
      <c r="AA15" s="695" t="s">
        <v>746</v>
      </c>
    </row>
    <row r="16" spans="2:27" s="353" customFormat="1" ht="30" customHeight="1" x14ac:dyDescent="0.25">
      <c r="B16" s="359">
        <f>IF(OR('FILL QUOTE-CALCULATIONS'!C19=0,'FILL QUOTE-CALCULATIONS'!C19=""),"",'FILL QUOTE-CALCULATIONS'!B19)</f>
        <v>5</v>
      </c>
      <c r="C16" s="360">
        <f>IF(OR('FILL QUOTE-CALCULATIONS'!C19&lt;1,'FILL QUOTE-CALCULATIONS'!C19=""),"",'FILL QUOTE-CALCULATIONS'!C19)</f>
        <v>1</v>
      </c>
      <c r="D16" s="360" t="str">
        <f>IF(OR(C16&lt;1,C16=""),"",IF('FILL QUOTE-CALCULATIONS'!$S$4="INGLES",'FILL QUOTE-CALCULATIONS'!D19,VLOOKUP('FILL QUOTE-CALCULATIONS'!D19,'DROP LIST'!$B$7:$C$13,2,0)))</f>
        <v>PNL-L</v>
      </c>
      <c r="E16" s="360" t="str">
        <f>IF(OR(C16&lt;1,C16=""),"",IF('FILL QUOTE-CALCULATIONS'!$S$4="INGLES",'FILL QUOTE-CALCULATIONS'!E19,VLOOKUP('FILL QUOTE-CALCULATIONS'!E19,'DROP LIST'!$E$7:$F$15,2,0)))</f>
        <v>PINCH PLEATED</v>
      </c>
      <c r="F16" s="360" t="str">
        <f>IF(OR(C16&lt;1,C16=""),"",IF('FILL QUOTE-CALCULATIONS'!$S$4="INGLES",'FILL QUOTE-CALCULATIONS'!F19,VLOOKUP('FILL QUOTE-CALCULATIONS'!F19,'DROP LIST'!$H$7:$I$19,2,0)))</f>
        <v>SHEER</v>
      </c>
      <c r="G16" s="361">
        <f>IF(OR(C16&lt;1,C16=""),"",'FILL QUOTE-CALCULATIONS'!G19)</f>
        <v>2</v>
      </c>
      <c r="H16" s="360" t="str">
        <f>IF(OR(C16&lt;1,C16=""),"",IF('FILL QUOTE-CALCULATIONS'!$S$4="INGLES",'FILL QUOTE-CALCULATIONS'!H19,VLOOKUP('FILL QUOTE-CALCULATIONS'!H19,'DROP LIST'!$M$7:$N$10,2,0)))</f>
        <v>STOCK</v>
      </c>
      <c r="I16" s="360" t="str">
        <f>IF(OR(C16&lt;1,C16=""),"",IF('FILL QUOTE-CALCULATIONS'!$S$4="INGLES",'FILL QUOTE-CALCULATIONS'!I19,VLOOKUP('FILL QUOTE-CALCULATIONS'!I19,'DROP LIST'!$M$15:$N$18,2,0)))</f>
        <v>DECORATIVE SHEER</v>
      </c>
      <c r="J16" s="360" t="str">
        <f>'FILL QUOTE-CALCULATIONS'!J19</f>
        <v/>
      </c>
      <c r="K16" s="360" t="str">
        <f>IF(OR(C16&lt;1,C16=""),"",'FILL QUOTE-CALCULATIONS'!K19)</f>
        <v>TERGAL</v>
      </c>
      <c r="L16" s="360" t="str">
        <f>IF(OR(C16&lt;1,C16=""),"",IF('FILL QUOTE-CALCULATIONS'!$S$4="INGLES",'FILL QUOTE-CALCULATIONS'!L19,VLOOKUP('FILL QUOTE-CALCULATIONS'!L19,'DROP LIST'!$B$25:$C$31,2,0)))</f>
        <v>N/A</v>
      </c>
      <c r="M16" s="360" t="str">
        <f>IF(OR(E16&lt;1,E16=""),"",'FILL QUOTE-CALCULATIONS'!M19)</f>
        <v>REC PRINCIPAL</v>
      </c>
      <c r="N16" s="362">
        <f>IF(OR(C16&lt;1,C16=""),"",'FILL QUOTE-CALCULATIONS'!N19)</f>
        <v>185</v>
      </c>
      <c r="O16" s="362">
        <f>IF(OR(C16&lt;1,C16=""),"",'FILL QUOTE-CALCULATIONS'!O19)</f>
        <v>104.75</v>
      </c>
      <c r="P16" s="360" t="str">
        <f>IF(OR(C16&lt;1,C16=""),"",IF('FILL QUOTE-CALCULATIONS'!$S$4="INGLES",'FILL QUOTE-CALCULATIONS'!P19, VLOOKUP('FILL QUOTE-CALCULATIONS'!P19,'DROP LIST'!$E$25:$F$27,2,0)))</f>
        <v>TO WALL</v>
      </c>
      <c r="Q16" s="360" t="str">
        <f>IF(OR(C16&lt;1,C16=""),"",IF('FILL QUOTE-CALCULATIONS'!$S$4="INGLES",'FILL QUOTE-CALCULATIONS'!Q19,VLOOKUP('FILL QUOTE-CALCULATIONS'!Q19,'DROP LIST'!$H$25:$I$36,2,0)))</f>
        <v>STD. TRACK -P.P.- BATON</v>
      </c>
      <c r="R16" s="362" t="str">
        <f>IF('FILL QUOTE-CALCULATIONS'!R19="","",'FILL QUOTE-CALCULATIONS'!R19)</f>
        <v>WHITE</v>
      </c>
      <c r="S16" s="360" t="str">
        <f>IF(OR(C16&lt;1,C16=""),"",IF('FILL QUOTE-CALCULATIONS'!$S$4="INGLES",'FILL QUOTE-CALCULATIONS'!S19,VLOOKUP('FILL QUOTE-CALCULATIONS'!S19,'DROP LIST'!$H$43:$I$46,2,0)))</f>
        <v>WHITE</v>
      </c>
      <c r="T16" s="363">
        <f>IF(OR(C16&lt;1,C16=""),"",'FILL QUOTE-CALCULATIONS'!T19)</f>
        <v>529.75</v>
      </c>
      <c r="U16" s="364">
        <f>IF(OR(C16&lt;1,C16=""),"",'FILL QUOTE-CALCULATIONS'!W19)</f>
        <v>154.25</v>
      </c>
      <c r="V16" s="365">
        <f>IF(OR(C16&lt;1,C16=""),"",IF('FILL QUOTE-CALCULATIONS'!$S$3="DOLLARS",'FILL QUOTE-CALCULATIONS'!AB19,'FILL QUOTE-CALCULATIONS'!AB19*'FILL QUOTE-CALCULATIONS'!$AC$4))</f>
        <v>684</v>
      </c>
      <c r="W16" s="366">
        <f>IF(OR(C16&lt;1,C16=""),"",IF('FILL QUOTE-CALCULATIONS'!$S$3="DOLLARS",'FILL QUOTE-CALCULATIONS'!AC19,'FILL QUOTE-CALCULATIONS'!AC19*'FILL QUOTE-CALCULATIONS'!$AC$4))</f>
        <v>684</v>
      </c>
      <c r="Y16" s="354"/>
      <c r="AA16" s="695" t="s">
        <v>746</v>
      </c>
    </row>
    <row r="17" spans="2:27" s="353" customFormat="1" ht="30" customHeight="1" x14ac:dyDescent="0.25">
      <c r="B17" s="359">
        <f>IF(OR('FILL QUOTE-CALCULATIONS'!C20=0,'FILL QUOTE-CALCULATIONS'!C20=""),"",'FILL QUOTE-CALCULATIONS'!B20)</f>
        <v>6</v>
      </c>
      <c r="C17" s="360">
        <f>IF(OR('FILL QUOTE-CALCULATIONS'!C20&lt;1,'FILL QUOTE-CALCULATIONS'!C20=""),"",'FILL QUOTE-CALCULATIONS'!C20)</f>
        <v>1</v>
      </c>
      <c r="D17" s="360" t="str">
        <f>IF(OR(C17&lt;1,C17=""),"",IF('FILL QUOTE-CALCULATIONS'!$S$4="INGLES",'FILL QUOTE-CALCULATIONS'!D20,VLOOKUP('FILL QUOTE-CALCULATIONS'!D20,'DROP LIST'!$B$7:$C$13,2,0)))</f>
        <v>PAIR</v>
      </c>
      <c r="E17" s="360" t="str">
        <f>IF(OR(C17&lt;1,C17=""),"",IF('FILL QUOTE-CALCULATIONS'!$S$4="INGLES",'FILL QUOTE-CALCULATIONS'!E20,VLOOKUP('FILL QUOTE-CALCULATIONS'!E20,'DROP LIST'!$E$7:$F$15,2,0)))</f>
        <v>PINCH PLEATED</v>
      </c>
      <c r="F17" s="360" t="str">
        <f>IF(OR(C17&lt;1,C17=""),"",IF('FILL QUOTE-CALCULATIONS'!$S$4="INGLES",'FILL QUOTE-CALCULATIONS'!F20,VLOOKUP('FILL QUOTE-CALCULATIONS'!F20,'DROP LIST'!$H$7:$I$19,2,0)))</f>
        <v>SHEER</v>
      </c>
      <c r="G17" s="361">
        <f>IF(OR(C17&lt;1,C17=""),"",'FILL QUOTE-CALCULATIONS'!G20)</f>
        <v>2</v>
      </c>
      <c r="H17" s="360" t="str">
        <f>IF(OR(C17&lt;1,C17=""),"",IF('FILL QUOTE-CALCULATIONS'!$S$4="INGLES",'FILL QUOTE-CALCULATIONS'!H20,VLOOKUP('FILL QUOTE-CALCULATIONS'!H20,'DROP LIST'!$M$7:$N$10,2,0)))</f>
        <v>STOCK</v>
      </c>
      <c r="I17" s="360" t="str">
        <f>IF(OR(C17&lt;1,C17=""),"",IF('FILL QUOTE-CALCULATIONS'!$S$4="INGLES",'FILL QUOTE-CALCULATIONS'!I20,VLOOKUP('FILL QUOTE-CALCULATIONS'!I20,'DROP LIST'!$M$15:$N$18,2,0)))</f>
        <v>DECORATIVE SHEER</v>
      </c>
      <c r="J17" s="360" t="str">
        <f>'FILL QUOTE-CALCULATIONS'!J20</f>
        <v/>
      </c>
      <c r="K17" s="360" t="str">
        <f>IF(OR(C17&lt;1,C17=""),"",'FILL QUOTE-CALCULATIONS'!K20)</f>
        <v>TERGAL</v>
      </c>
      <c r="L17" s="360" t="str">
        <f>IF(OR(C17&lt;1,C17=""),"",IF('FILL QUOTE-CALCULATIONS'!$S$4="INGLES",'FILL QUOTE-CALCULATIONS'!L20,VLOOKUP('FILL QUOTE-CALCULATIONS'!L20,'DROP LIST'!$B$25:$C$31,2,0)))</f>
        <v>N/A</v>
      </c>
      <c r="M17" s="360" t="str">
        <f>IF(OR(E17&lt;1,E17=""),"",'FILL QUOTE-CALCULATIONS'!M20)</f>
        <v>CLOSET</v>
      </c>
      <c r="N17" s="362">
        <f>IF(OR(C17&lt;1,C17=""),"",'FILL QUOTE-CALCULATIONS'!N20)</f>
        <v>120</v>
      </c>
      <c r="O17" s="362">
        <f>IF(OR(C17&lt;1,C17=""),"",'FILL QUOTE-CALCULATIONS'!O20)</f>
        <v>104.75</v>
      </c>
      <c r="P17" s="360" t="str">
        <f>IF(OR(C17&lt;1,C17=""),"",IF('FILL QUOTE-CALCULATIONS'!$S$4="INGLES",'FILL QUOTE-CALCULATIONS'!P20, VLOOKUP('FILL QUOTE-CALCULATIONS'!P20,'DROP LIST'!$E$25:$F$27,2,0)))</f>
        <v>TO WALL</v>
      </c>
      <c r="Q17" s="360" t="str">
        <f>IF(OR(C17&lt;1,C17=""),"",IF('FILL QUOTE-CALCULATIONS'!$S$4="INGLES",'FILL QUOTE-CALCULATIONS'!Q20,VLOOKUP('FILL QUOTE-CALCULATIONS'!Q20,'DROP LIST'!$H$25:$I$36,2,0)))</f>
        <v>STD. TRACK -P.P.- BATON</v>
      </c>
      <c r="R17" s="362" t="str">
        <f>IF('FILL QUOTE-CALCULATIONS'!R20="","",'FILL QUOTE-CALCULATIONS'!R20)</f>
        <v>WHITE</v>
      </c>
      <c r="S17" s="360" t="str">
        <f>IF(OR(C17&lt;1,C17=""),"",IF('FILL QUOTE-CALCULATIONS'!$S$4="INGLES",'FILL QUOTE-CALCULATIONS'!S20,VLOOKUP('FILL QUOTE-CALCULATIONS'!S20,'DROP LIST'!$H$43:$I$46,2,0)))</f>
        <v>WHITE</v>
      </c>
      <c r="T17" s="363">
        <f>IF(OR(C17&lt;1,C17=""),"",'FILL QUOTE-CALCULATIONS'!T20)</f>
        <v>342.25</v>
      </c>
      <c r="U17" s="364">
        <f>IF(OR(C17&lt;1,C17=""),"",'FILL QUOTE-CALCULATIONS'!W20)</f>
        <v>104.2</v>
      </c>
      <c r="V17" s="365">
        <f>IF(OR(C17&lt;1,C17=""),"",IF('FILL QUOTE-CALCULATIONS'!$S$3="DOLLARS",'FILL QUOTE-CALCULATIONS'!AB20,'FILL QUOTE-CALCULATIONS'!AB20*'FILL QUOTE-CALCULATIONS'!$AC$4))</f>
        <v>446.45</v>
      </c>
      <c r="W17" s="366">
        <f>IF(OR(C17&lt;1,C17=""),"",IF('FILL QUOTE-CALCULATIONS'!$S$3="DOLLARS",'FILL QUOTE-CALCULATIONS'!AC20,'FILL QUOTE-CALCULATIONS'!AC20*'FILL QUOTE-CALCULATIONS'!$AC$4))</f>
        <v>446.45</v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>
        <f>IF(OR('FILL QUOTE-CALCULATIONS'!C22=0,'FILL QUOTE-CALCULATIONS'!C22=""),"",'FILL QUOTE-CALCULATIONS'!B22)</f>
        <v>8</v>
      </c>
      <c r="C19" s="360">
        <f>IF(OR('FILL QUOTE-CALCULATIONS'!C22&lt;1,'FILL QUOTE-CALCULATIONS'!C22=""),"",'FILL QUOTE-CALCULATIONS'!C22)</f>
        <v>1</v>
      </c>
      <c r="D19" s="360" t="str">
        <f>IF(OR(C19&lt;1,C19=""),"",IF('FILL QUOTE-CALCULATIONS'!$S$4="INGLES",'FILL QUOTE-CALCULATIONS'!D22,VLOOKUP('FILL QUOTE-CALCULATIONS'!D22,'DROP LIST'!$B$7:$C$13,2,0)))</f>
        <v>PAIR</v>
      </c>
      <c r="E19" s="360" t="str">
        <f>IF(OR(C19&lt;1,C19=""),"",IF('FILL QUOTE-CALCULATIONS'!$S$4="INGLES",'FILL QUOTE-CALCULATIONS'!E22,VLOOKUP('FILL QUOTE-CALCULATIONS'!E22,'DROP LIST'!$E$7:$F$15,2,0)))</f>
        <v>PINCH PLEATED</v>
      </c>
      <c r="F19" s="360" t="str">
        <f>IF(OR(C19&lt;1,C19=""),"",IF('FILL QUOTE-CALCULATIONS'!$S$4="INGLES",'FILL QUOTE-CALCULATIONS'!F22,VLOOKUP('FILL QUOTE-CALCULATIONS'!F22,'DROP LIST'!$H$7:$I$19,2,0)))</f>
        <v>BOD</v>
      </c>
      <c r="G19" s="361">
        <f>IF(OR(C19&lt;1,C19=""),"",'FILL QUOTE-CALCULATIONS'!G22)</f>
        <v>2</v>
      </c>
      <c r="H19" s="360" t="str">
        <f>IF(OR(C19&lt;1,C19=""),"",IF('FILL QUOTE-CALCULATIONS'!$S$4="INGLES",'FILL QUOTE-CALCULATIONS'!H22,VLOOKUP('FILL QUOTE-CALCULATIONS'!H22,'DROP LIST'!$M$7:$N$10,2,0)))</f>
        <v>C.O.M.</v>
      </c>
      <c r="I19" s="360" t="str">
        <f>IF(OR(C19&lt;1,C19=""),"",IF('FILL QUOTE-CALCULATIONS'!$S$4="INGLES",'FILL QUOTE-CALCULATIONS'!I22,VLOOKUP('FILL QUOTE-CALCULATIONS'!I22,'DROP LIST'!$M$15:$N$18,2,0)))</f>
        <v>DECORATIVE SHEER</v>
      </c>
      <c r="J19" s="360">
        <f>'FILL QUOTE-CALCULATIONS'!J22</f>
        <v>18.5</v>
      </c>
      <c r="K19" s="360" t="str">
        <f>IF(OR(C19&lt;1,C19=""),"",'FILL QUOTE-CALCULATIONS'!K22)</f>
        <v>BLACK OUT</v>
      </c>
      <c r="L19" s="360" t="str">
        <f>IF(OR(C19&lt;1,C19=""),"",IF('FILL QUOTE-CALCULATIONS'!$S$4="INGLES",'FILL QUOTE-CALCULATIONS'!L22,VLOOKUP('FILL QUOTE-CALCULATIONS'!L22,'DROP LIST'!$B$25:$C$31,2,0)))</f>
        <v>N/A</v>
      </c>
      <c r="M19" s="360" t="str">
        <f>IF(OR(E19&lt;1,E19=""),"",'FILL QUOTE-CALCULATIONS'!M22)</f>
        <v>BEBE</v>
      </c>
      <c r="N19" s="362">
        <f>IF(OR(C19&lt;1,C19=""),"",'FILL QUOTE-CALCULATIONS'!N22)</f>
        <v>115</v>
      </c>
      <c r="O19" s="362">
        <f>IF(OR(C19&lt;1,C19=""),"",'FILL QUOTE-CALCULATIONS'!O22)</f>
        <v>105.5</v>
      </c>
      <c r="P19" s="360" t="str">
        <f>IF(OR(C19&lt;1,C19=""),"",IF('FILL QUOTE-CALCULATIONS'!$S$4="INGLES",'FILL QUOTE-CALCULATIONS'!P22, VLOOKUP('FILL QUOTE-CALCULATIONS'!P22,'DROP LIST'!$E$25:$F$27,2,0)))</f>
        <v>TO CEILING</v>
      </c>
      <c r="Q19" s="360" t="str">
        <f>IF(OR(C19&lt;1,C19=""),"",IF('FILL QUOTE-CALCULATIONS'!$S$4="INGLES",'FILL QUOTE-CALCULATIONS'!Q22,VLOOKUP('FILL QUOTE-CALCULATIONS'!Q22,'DROP LIST'!$H$25:$I$36,2,0)))</f>
        <v>STD. TRACK -P.P.- BATON</v>
      </c>
      <c r="R19" s="362" t="str">
        <f>IF('FILL QUOTE-CALCULATIONS'!R22="","",'FILL QUOTE-CALCULATIONS'!R22)</f>
        <v>WHITE</v>
      </c>
      <c r="S19" s="360" t="str">
        <f>IF(OR(C19&lt;1,C19=""),"",IF('FILL QUOTE-CALCULATIONS'!$S$4="INGLES",'FILL QUOTE-CALCULATIONS'!S22,VLOOKUP('FILL QUOTE-CALCULATIONS'!S22,'DROP LIST'!$H$43:$I$46,2,0)))</f>
        <v>WHITE</v>
      </c>
      <c r="T19" s="363">
        <f>IF(OR(C19&lt;1,C19=""),"",'FILL QUOTE-CALCULATIONS'!T22)</f>
        <v>187.25</v>
      </c>
      <c r="U19" s="364">
        <f>IF(OR(C19&lt;1,C19=""),"",'FILL QUOTE-CALCULATIONS'!W22)</f>
        <v>100.35000000000001</v>
      </c>
      <c r="V19" s="365">
        <f>IF(OR(C19&lt;1,C19=""),"",IF('FILL QUOTE-CALCULATIONS'!$S$3="DOLLARS",'FILL QUOTE-CALCULATIONS'!AB22,'FILL QUOTE-CALCULATIONS'!AB22*'FILL QUOTE-CALCULATIONS'!$AC$4))</f>
        <v>287.60000000000002</v>
      </c>
      <c r="W19" s="366">
        <f>IF(OR(C19&lt;1,C19=""),"",IF('FILL QUOTE-CALCULATIONS'!$S$3="DOLLARS",'FILL QUOTE-CALCULATIONS'!AC22,'FILL QUOTE-CALCULATIONS'!AC22*'FILL QUOTE-CALCULATIONS'!$AC$4))</f>
        <v>287.60000000000002</v>
      </c>
      <c r="Y19" s="354"/>
      <c r="AA19" s="695" t="s">
        <v>746</v>
      </c>
    </row>
    <row r="20" spans="2:27" s="353" customFormat="1" ht="30" customHeight="1" x14ac:dyDescent="0.25">
      <c r="B20" s="359">
        <f>IF(OR('FILL QUOTE-CALCULATIONS'!C23=0,'FILL QUOTE-CALCULATIONS'!C23=""),"",'FILL QUOTE-CALCULATIONS'!B23)</f>
        <v>9</v>
      </c>
      <c r="C20" s="360">
        <f>IF(OR('FILL QUOTE-CALCULATIONS'!C23&lt;1,'FILL QUOTE-CALCULATIONS'!C23=""),"",'FILL QUOTE-CALCULATIONS'!C23)</f>
        <v>1</v>
      </c>
      <c r="D20" s="360" t="str">
        <f>IF(OR(C20&lt;1,C20=""),"",IF('FILL QUOTE-CALCULATIONS'!$S$4="INGLES",'FILL QUOTE-CALCULATIONS'!D23,VLOOKUP('FILL QUOTE-CALCULATIONS'!D23,'DROP LIST'!$B$7:$C$13,2,0)))</f>
        <v>PAIR</v>
      </c>
      <c r="E20" s="360" t="str">
        <f>IF(OR(C20&lt;1,C20=""),"",IF('FILL QUOTE-CALCULATIONS'!$S$4="INGLES",'FILL QUOTE-CALCULATIONS'!E23,VLOOKUP('FILL QUOTE-CALCULATIONS'!E23,'DROP LIST'!$E$7:$F$15,2,0)))</f>
        <v>PINCH PLEATED</v>
      </c>
      <c r="F20" s="360" t="str">
        <f>IF(OR(C20&lt;1,C20=""),"",IF('FILL QUOTE-CALCULATIONS'!$S$4="INGLES",'FILL QUOTE-CALCULATIONS'!F23,VLOOKUP('FILL QUOTE-CALCULATIONS'!F23,'DROP LIST'!$H$7:$I$19,2,0)))</f>
        <v>SHEER</v>
      </c>
      <c r="G20" s="361">
        <f>IF(OR(C20&lt;1,C20=""),"",'FILL QUOTE-CALCULATIONS'!G23)</f>
        <v>2</v>
      </c>
      <c r="H20" s="360" t="str">
        <f>IF(OR(C20&lt;1,C20=""),"",IF('FILL QUOTE-CALCULATIONS'!$S$4="INGLES",'FILL QUOTE-CALCULATIONS'!H23,VLOOKUP('FILL QUOTE-CALCULATIONS'!H23,'DROP LIST'!$M$7:$N$10,2,0)))</f>
        <v>STOCK</v>
      </c>
      <c r="I20" s="360" t="str">
        <f>IF(OR(C20&lt;1,C20=""),"",IF('FILL QUOTE-CALCULATIONS'!$S$4="INGLES",'FILL QUOTE-CALCULATIONS'!I23,VLOOKUP('FILL QUOTE-CALCULATIONS'!I23,'DROP LIST'!$M$15:$N$18,2,0)))</f>
        <v>DECORATIVE SHEER</v>
      </c>
      <c r="J20" s="360" t="str">
        <f>'FILL QUOTE-CALCULATIONS'!J23</f>
        <v/>
      </c>
      <c r="K20" s="360" t="str">
        <f>IF(OR(C20&lt;1,C20=""),"",'FILL QUOTE-CALCULATIONS'!K23)</f>
        <v>TERGAL</v>
      </c>
      <c r="L20" s="360" t="str">
        <f>IF(OR(C20&lt;1,C20=""),"",IF('FILL QUOTE-CALCULATIONS'!$S$4="INGLES",'FILL QUOTE-CALCULATIONS'!L23,VLOOKUP('FILL QUOTE-CALCULATIONS'!L23,'DROP LIST'!$B$25:$C$31,2,0)))</f>
        <v>N/A</v>
      </c>
      <c r="M20" s="360" t="str">
        <f>IF(OR(E20&lt;1,E20=""),"",'FILL QUOTE-CALCULATIONS'!M23)</f>
        <v>BEBE</v>
      </c>
      <c r="N20" s="362">
        <f>IF(OR(C20&lt;1,C20=""),"",'FILL QUOTE-CALCULATIONS'!N23)</f>
        <v>115</v>
      </c>
      <c r="O20" s="362">
        <f>IF(OR(C20&lt;1,C20=""),"",'FILL QUOTE-CALCULATIONS'!O23)</f>
        <v>105.5</v>
      </c>
      <c r="P20" s="360" t="str">
        <f>IF(OR(C20&lt;1,C20=""),"",IF('FILL QUOTE-CALCULATIONS'!$S$4="INGLES",'FILL QUOTE-CALCULATIONS'!P23, VLOOKUP('FILL QUOTE-CALCULATIONS'!P23,'DROP LIST'!$E$25:$F$27,2,0)))</f>
        <v>TO CEILING</v>
      </c>
      <c r="Q20" s="360" t="str">
        <f>IF(OR(C20&lt;1,C20=""),"",IF('FILL QUOTE-CALCULATIONS'!$S$4="INGLES",'FILL QUOTE-CALCULATIONS'!Q23,VLOOKUP('FILL QUOTE-CALCULATIONS'!Q23,'DROP LIST'!$H$25:$I$36,2,0)))</f>
        <v>STD. TRACK -P.P.- BATON</v>
      </c>
      <c r="R20" s="362" t="str">
        <f>IF('FILL QUOTE-CALCULATIONS'!R23="","",'FILL QUOTE-CALCULATIONS'!R23)</f>
        <v>WHITE</v>
      </c>
      <c r="S20" s="360" t="str">
        <f>IF(OR(C20&lt;1,C20=""),"",IF('FILL QUOTE-CALCULATIONS'!$S$4="INGLES",'FILL QUOTE-CALCULATIONS'!S23,VLOOKUP('FILL QUOTE-CALCULATIONS'!S23,'DROP LIST'!$H$43:$I$46,2,0)))</f>
        <v>WHITE</v>
      </c>
      <c r="T20" s="363">
        <f>IF(OR(C20&lt;1,C20=""),"",'FILL QUOTE-CALCULATIONS'!T23)</f>
        <v>342.25</v>
      </c>
      <c r="U20" s="364">
        <f>IF(OR(C20&lt;1,C20=""),"",'FILL QUOTE-CALCULATIONS'!W23)</f>
        <v>100.35000000000001</v>
      </c>
      <c r="V20" s="365">
        <f>IF(OR(C20&lt;1,C20=""),"",IF('FILL QUOTE-CALCULATIONS'!$S$3="DOLLARS",'FILL QUOTE-CALCULATIONS'!AB23,'FILL QUOTE-CALCULATIONS'!AB23*'FILL QUOTE-CALCULATIONS'!$AC$4))</f>
        <v>442.6</v>
      </c>
      <c r="W20" s="366">
        <f>IF(OR(C20&lt;1,C20=""),"",IF('FILL QUOTE-CALCULATIONS'!$S$3="DOLLARS",'FILL QUOTE-CALCULATIONS'!AC23,'FILL QUOTE-CALCULATIONS'!AC23*'FILL QUOTE-CALCULATIONS'!$AC$4))</f>
        <v>442.6</v>
      </c>
      <c r="Y20" s="354"/>
      <c r="AA20" s="695" t="s">
        <v>746</v>
      </c>
    </row>
    <row r="21" spans="2:27" s="353" customFormat="1" ht="30" customHeight="1" x14ac:dyDescent="0.25">
      <c r="B21" s="359">
        <f>IF(OR('FILL QUOTE-CALCULATIONS'!C24=0,'FILL QUOTE-CALCULATIONS'!C24=""),"",'FILL QUOTE-CALCULATIONS'!B24)</f>
        <v>10</v>
      </c>
      <c r="C21" s="360">
        <f>IF(OR('FILL QUOTE-CALCULATIONS'!C24&lt;1,'FILL QUOTE-CALCULATIONS'!C24=""),"",'FILL QUOTE-CALCULATIONS'!C24)</f>
        <v>1</v>
      </c>
      <c r="D21" s="360" t="str">
        <f>IF(OR(C21&lt;1,C21=""),"",IF('FILL QUOTE-CALCULATIONS'!$S$4="INGLES",'FILL QUOTE-CALCULATIONS'!D24,VLOOKUP('FILL QUOTE-CALCULATIONS'!D24,'DROP LIST'!$B$7:$C$13,2,0)))</f>
        <v>PAIR</v>
      </c>
      <c r="E21" s="360" t="str">
        <f>IF(OR(C21&lt;1,C21=""),"",IF('FILL QUOTE-CALCULATIONS'!$S$4="INGLES",'FILL QUOTE-CALCULATIONS'!E24,VLOOKUP('FILL QUOTE-CALCULATIONS'!E24,'DROP LIST'!$E$7:$F$15,2,0)))</f>
        <v>PINCH PLEATED</v>
      </c>
      <c r="F21" s="360" t="str">
        <f>IF(OR(C21&lt;1,C21=""),"",IF('FILL QUOTE-CALCULATIONS'!$S$4="INGLES",'FILL QUOTE-CALCULATIONS'!F24,VLOOKUP('FILL QUOTE-CALCULATIONS'!F24,'DROP LIST'!$H$7:$I$19,2,0)))</f>
        <v>BOD</v>
      </c>
      <c r="G21" s="361">
        <f>IF(OR(C21&lt;1,C21=""),"",'FILL QUOTE-CALCULATIONS'!G24)</f>
        <v>2</v>
      </c>
      <c r="H21" s="360" t="str">
        <f>IF(OR(C21&lt;1,C21=""),"",IF('FILL QUOTE-CALCULATIONS'!$S$4="INGLES",'FILL QUOTE-CALCULATIONS'!H24,VLOOKUP('FILL QUOTE-CALCULATIONS'!H24,'DROP LIST'!$M$7:$N$10,2,0)))</f>
        <v>C.O.M.</v>
      </c>
      <c r="I21" s="360" t="str">
        <f>IF(OR(C21&lt;1,C21=""),"",IF('FILL QUOTE-CALCULATIONS'!$S$4="INGLES",'FILL QUOTE-CALCULATIONS'!I24,VLOOKUP('FILL QUOTE-CALCULATIONS'!I24,'DROP LIST'!$M$15:$N$18,2,0)))</f>
        <v>DECORATIVE SHEER</v>
      </c>
      <c r="J21" s="360">
        <f>'FILL QUOTE-CALCULATIONS'!J24</f>
        <v>16.5</v>
      </c>
      <c r="K21" s="360" t="str">
        <f>IF(OR(C21&lt;1,C21=""),"",'FILL QUOTE-CALCULATIONS'!K24)</f>
        <v>BLACK OUT</v>
      </c>
      <c r="L21" s="360" t="str">
        <f>IF(OR(C21&lt;1,C21=""),"",IF('FILL QUOTE-CALCULATIONS'!$S$4="INGLES",'FILL QUOTE-CALCULATIONS'!L24,VLOOKUP('FILL QUOTE-CALCULATIONS'!L24,'DROP LIST'!$B$25:$C$31,2,0)))</f>
        <v>N/A</v>
      </c>
      <c r="M21" s="360" t="str">
        <f>IF(OR(E21&lt;1,E21=""),"",'FILL QUOTE-CALCULATIONS'!M24)</f>
        <v>NIÑA</v>
      </c>
      <c r="N21" s="362">
        <f>IF(OR(C21&lt;1,C21=""),"",'FILL QUOTE-CALCULATIONS'!N24)</f>
        <v>107</v>
      </c>
      <c r="O21" s="362">
        <f>IF(OR(C21&lt;1,C21=""),"",'FILL QUOTE-CALCULATIONS'!O24)</f>
        <v>104.5</v>
      </c>
      <c r="P21" s="360" t="str">
        <f>IF(OR(C21&lt;1,C21=""),"",IF('FILL QUOTE-CALCULATIONS'!$S$4="INGLES",'FILL QUOTE-CALCULATIONS'!P24, VLOOKUP('FILL QUOTE-CALCULATIONS'!P24,'DROP LIST'!$E$25:$F$27,2,0)))</f>
        <v>TO CEILING</v>
      </c>
      <c r="Q21" s="360" t="str">
        <f>IF(OR(C21&lt;1,C21=""),"",IF('FILL QUOTE-CALCULATIONS'!$S$4="INGLES",'FILL QUOTE-CALCULATIONS'!Q24,VLOOKUP('FILL QUOTE-CALCULATIONS'!Q24,'DROP LIST'!$H$25:$I$36,2,0)))</f>
        <v>STD. TRACK -P.P.- BATON</v>
      </c>
      <c r="R21" s="362" t="str">
        <f>IF('FILL QUOTE-CALCULATIONS'!R24="","",'FILL QUOTE-CALCULATIONS'!R24)</f>
        <v>WHITE</v>
      </c>
      <c r="S21" s="360" t="str">
        <f>IF(OR(C21&lt;1,C21=""),"",IF('FILL QUOTE-CALCULATIONS'!$S$4="INGLES",'FILL QUOTE-CALCULATIONS'!S24,VLOOKUP('FILL QUOTE-CALCULATIONS'!S24,'DROP LIST'!$H$43:$I$46,2,0)))</f>
        <v>WHITE</v>
      </c>
      <c r="T21" s="363">
        <f>IF(OR(C21&lt;1,C21=""),"",'FILL QUOTE-CALCULATIONS'!T24)</f>
        <v>168.55</v>
      </c>
      <c r="U21" s="364">
        <f>IF(OR(C21&lt;1,C21=""),"",'FILL QUOTE-CALCULATIONS'!W24)</f>
        <v>94.2</v>
      </c>
      <c r="V21" s="365">
        <f>IF(OR(C21&lt;1,C21=""),"",IF('FILL QUOTE-CALCULATIONS'!$S$3="DOLLARS",'FILL QUOTE-CALCULATIONS'!AB24,'FILL QUOTE-CALCULATIONS'!AB24*'FILL QUOTE-CALCULATIONS'!$AC$4))</f>
        <v>262.75</v>
      </c>
      <c r="W21" s="366">
        <f>IF(OR(C21&lt;1,C21=""),"",IF('FILL QUOTE-CALCULATIONS'!$S$3="DOLLARS",'FILL QUOTE-CALCULATIONS'!AC24,'FILL QUOTE-CALCULATIONS'!AC24*'FILL QUOTE-CALCULATIONS'!$AC$4))</f>
        <v>262.75</v>
      </c>
      <c r="Y21" s="354"/>
      <c r="AA21" s="695" t="s">
        <v>746</v>
      </c>
    </row>
    <row r="22" spans="2:27" s="353" customFormat="1" ht="30" customHeight="1" x14ac:dyDescent="0.25">
      <c r="B22" s="359">
        <f>IF(OR('FILL QUOTE-CALCULATIONS'!C25=0,'FILL QUOTE-CALCULATIONS'!C25=""),"",'FILL QUOTE-CALCULATIONS'!B25)</f>
        <v>11</v>
      </c>
      <c r="C22" s="360">
        <f>IF(OR('FILL QUOTE-CALCULATIONS'!C25&lt;1,'FILL QUOTE-CALCULATIONS'!C25=""),"",'FILL QUOTE-CALCULATIONS'!C25)</f>
        <v>1</v>
      </c>
      <c r="D22" s="360" t="str">
        <f>IF(OR(C22&lt;1,C22=""),"",IF('FILL QUOTE-CALCULATIONS'!$S$4="INGLES",'FILL QUOTE-CALCULATIONS'!D25,VLOOKUP('FILL QUOTE-CALCULATIONS'!D25,'DROP LIST'!$B$7:$C$13,2,0)))</f>
        <v>PAIR</v>
      </c>
      <c r="E22" s="360" t="str">
        <f>IF(OR(C22&lt;1,C22=""),"",IF('FILL QUOTE-CALCULATIONS'!$S$4="INGLES",'FILL QUOTE-CALCULATIONS'!E25,VLOOKUP('FILL QUOTE-CALCULATIONS'!E25,'DROP LIST'!$E$7:$F$15,2,0)))</f>
        <v>PINCH PLEATED</v>
      </c>
      <c r="F22" s="360" t="str">
        <f>IF(OR(C22&lt;1,C22=""),"",IF('FILL QUOTE-CALCULATIONS'!$S$4="INGLES",'FILL QUOTE-CALCULATIONS'!F25,VLOOKUP('FILL QUOTE-CALCULATIONS'!F25,'DROP LIST'!$H$7:$I$19,2,0)))</f>
        <v>SHEER</v>
      </c>
      <c r="G22" s="361">
        <f>IF(OR(C22&lt;1,C22=""),"",'FILL QUOTE-CALCULATIONS'!G25)</f>
        <v>2</v>
      </c>
      <c r="H22" s="360" t="str">
        <f>IF(OR(C22&lt;1,C22=""),"",IF('FILL QUOTE-CALCULATIONS'!$S$4="INGLES",'FILL QUOTE-CALCULATIONS'!H25,VLOOKUP('FILL QUOTE-CALCULATIONS'!H25,'DROP LIST'!$M$7:$N$10,2,0)))</f>
        <v>STOCK</v>
      </c>
      <c r="I22" s="360" t="str">
        <f>IF(OR(C22&lt;1,C22=""),"",IF('FILL QUOTE-CALCULATIONS'!$S$4="INGLES",'FILL QUOTE-CALCULATIONS'!I25,VLOOKUP('FILL QUOTE-CALCULATIONS'!I25,'DROP LIST'!$M$15:$N$18,2,0)))</f>
        <v>DECORATIVE SHEER</v>
      </c>
      <c r="J22" s="360" t="str">
        <f>'FILL QUOTE-CALCULATIONS'!J25</f>
        <v/>
      </c>
      <c r="K22" s="360" t="str">
        <f>IF(OR(C22&lt;1,C22=""),"",'FILL QUOTE-CALCULATIONS'!K25)</f>
        <v>TERGAL</v>
      </c>
      <c r="L22" s="360" t="str">
        <f>IF(OR(C22&lt;1,C22=""),"",IF('FILL QUOTE-CALCULATIONS'!$S$4="INGLES",'FILL QUOTE-CALCULATIONS'!L25,VLOOKUP('FILL QUOTE-CALCULATIONS'!L25,'DROP LIST'!$B$25:$C$31,2,0)))</f>
        <v>N/A</v>
      </c>
      <c r="M22" s="360" t="str">
        <f>IF(OR(E22&lt;1,E22=""),"",'FILL QUOTE-CALCULATIONS'!M25)</f>
        <v>NIÑA</v>
      </c>
      <c r="N22" s="362">
        <f>IF(OR(C22&lt;1,C22=""),"",'FILL QUOTE-CALCULATIONS'!N25)</f>
        <v>107</v>
      </c>
      <c r="O22" s="362">
        <f>IF(OR(C22&lt;1,C22=""),"",'FILL QUOTE-CALCULATIONS'!O25)</f>
        <v>104.5</v>
      </c>
      <c r="P22" s="360" t="str">
        <f>IF(OR(C22&lt;1,C22=""),"",IF('FILL QUOTE-CALCULATIONS'!$S$4="INGLES",'FILL QUOTE-CALCULATIONS'!P25, VLOOKUP('FILL QUOTE-CALCULATIONS'!P25,'DROP LIST'!$E$25:$F$27,2,0)))</f>
        <v>TO CEILING</v>
      </c>
      <c r="Q22" s="360" t="str">
        <f>IF(OR(C22&lt;1,C22=""),"",IF('FILL QUOTE-CALCULATIONS'!$S$4="INGLES",'FILL QUOTE-CALCULATIONS'!Q25,VLOOKUP('FILL QUOTE-CALCULATIONS'!Q25,'DROP LIST'!$H$25:$I$36,2,0)))</f>
        <v>STD. TRACK -P.P.- BATON</v>
      </c>
      <c r="R22" s="362" t="str">
        <f>IF('FILL QUOTE-CALCULATIONS'!R25="","",'FILL QUOTE-CALCULATIONS'!R25)</f>
        <v>WHITE</v>
      </c>
      <c r="S22" s="360" t="str">
        <f>IF(OR(C22&lt;1,C22=""),"",IF('FILL QUOTE-CALCULATIONS'!$S$4="INGLES",'FILL QUOTE-CALCULATIONS'!S25,VLOOKUP('FILL QUOTE-CALCULATIONS'!S25,'DROP LIST'!$H$43:$I$46,2,0)))</f>
        <v>WHITE</v>
      </c>
      <c r="T22" s="363">
        <f>IF(OR(C22&lt;1,C22=""),"",'FILL QUOTE-CALCULATIONS'!T25)</f>
        <v>309.55</v>
      </c>
      <c r="U22" s="364">
        <f>IF(OR(C22&lt;1,C22=""),"",'FILL QUOTE-CALCULATIONS'!W25)</f>
        <v>94.2</v>
      </c>
      <c r="V22" s="365">
        <f>IF(OR(C22&lt;1,C22=""),"",IF('FILL QUOTE-CALCULATIONS'!$S$3="DOLLARS",'FILL QUOTE-CALCULATIONS'!AB25,'FILL QUOTE-CALCULATIONS'!AB25*'FILL QUOTE-CALCULATIONS'!$AC$4))</f>
        <v>403.75</v>
      </c>
      <c r="W22" s="366">
        <f>IF(OR(C22&lt;1,C22=""),"",IF('FILL QUOTE-CALCULATIONS'!$S$3="DOLLARS",'FILL QUOTE-CALCULATIONS'!AC25,'FILL QUOTE-CALCULATIONS'!AC25*'FILL QUOTE-CALCULATIONS'!$AC$4))</f>
        <v>403.75</v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5548.2500000000009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0.40000000000000013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2219.3000000000011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3328.95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09" t="str">
        <f>'FILL QUOTE-CALCULATIONS'!AB76</f>
        <v>ESAU GOMEZ</v>
      </c>
      <c r="W76" s="909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9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3" t="str">
        <f>IF('CALC -P.P. - H-RAIL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9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9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9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9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9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9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9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9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9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9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900-000009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9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9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9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3" t="str">
        <f>IF('CALC -RIPP- MOT.PLUG IN'!S4="INGLES","DESCRIPTION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A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A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A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A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A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A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A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A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A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A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A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A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A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A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3" t="str">
        <f>IF('CALC -P.P.- MOT.PLUG IN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B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B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B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B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B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B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B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B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B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B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B00-000009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B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B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B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0" t="s">
        <v>348</v>
      </c>
      <c r="R3" s="971"/>
      <c r="S3" s="971"/>
      <c r="T3" s="972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C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18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663.35</v>
      </c>
      <c r="D19" s="109">
        <f>'FILL QUOTE-CALCULATIONS'!BF16</f>
        <v>545.65</v>
      </c>
      <c r="E19" s="109">
        <f>'FILL QUOTE-CALCULATIONS'!BF17</f>
        <v>215.9</v>
      </c>
      <c r="F19" s="109">
        <f>'FILL QUOTE-CALCULATIONS'!BF18</f>
        <v>1016.25</v>
      </c>
      <c r="G19" s="109">
        <f>'FILL QUOTE-CALCULATIONS'!BF19</f>
        <v>529.75</v>
      </c>
      <c r="H19" s="109">
        <f>'FILL QUOTE-CALCULATIONS'!BF20</f>
        <v>342.25</v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 t="str">
        <f>'FILL QUOTE-CALCULATIONS'!AN15</f>
        <v>N/A</v>
      </c>
      <c r="D24" s="73">
        <f>'FILL QUOTE-CALCULATIONS'!AN16</f>
        <v>3.5</v>
      </c>
      <c r="E24" s="73" t="str">
        <f>'FILL QUOTE-CALCULATIONS'!AN17</f>
        <v>N/A</v>
      </c>
      <c r="F24" s="73">
        <f>'FILL QUOTE-CALCULATIONS'!AN18</f>
        <v>7.5</v>
      </c>
      <c r="G24" s="73">
        <f>'FILL QUOTE-CALCULATIONS'!AN19</f>
        <v>3.5</v>
      </c>
      <c r="H24" s="73">
        <f>'FILL QUOTE-CALCULATIONS'!AN20</f>
        <v>2.25</v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1326.7</v>
      </c>
      <c r="D29" s="119">
        <f>E19</f>
        <v>215.9</v>
      </c>
      <c r="E29" s="119">
        <f>E19</f>
        <v>215.9</v>
      </c>
      <c r="F29" s="119">
        <f>D19*2</f>
        <v>1091.3</v>
      </c>
      <c r="G29" s="119">
        <f>G19</f>
        <v>529.75</v>
      </c>
      <c r="H29" s="119">
        <f>E19*2</f>
        <v>431.8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3" t="s">
        <v>17</v>
      </c>
      <c r="C4" s="979" t="s">
        <v>106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 t="str">
        <f>'FILL QUOTE-CALCULATIONS'!AN15</f>
        <v>N/A</v>
      </c>
      <c r="D24" s="73">
        <f>'FILL QUOTE-CALCULATIONS'!AN16</f>
        <v>3.5</v>
      </c>
      <c r="E24" s="73" t="str">
        <f>'FILL QUOTE-CALCULATIONS'!AN17</f>
        <v>N/A</v>
      </c>
      <c r="F24" s="73">
        <f>'FILL QUOTE-CALCULATIONS'!AN18</f>
        <v>7.5</v>
      </c>
      <c r="G24" s="73">
        <f>'FILL QUOTE-CALCULATIONS'!AN19</f>
        <v>3.5</v>
      </c>
      <c r="H24" s="73">
        <f>'FILL QUOTE-CALCULATIONS'!AN20</f>
        <v>2.25</v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4" t="s">
        <v>91</v>
      </c>
      <c r="D38" s="975"/>
      <c r="F38" s="974" t="s">
        <v>92</v>
      </c>
      <c r="G38" s="975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9.140625"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0" t="s">
        <v>17</v>
      </c>
      <c r="C4" s="980"/>
      <c r="D4" s="981" t="s">
        <v>106</v>
      </c>
      <c r="E4" s="981"/>
      <c r="F4" s="981"/>
      <c r="G4" s="981"/>
      <c r="H4" s="981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0"/>
      <c r="C5" s="980"/>
      <c r="D5" s="981"/>
      <c r="E5" s="981"/>
      <c r="F5" s="981"/>
      <c r="G5" s="981"/>
      <c r="H5" s="981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2" t="s">
        <v>48</v>
      </c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  <c r="P15" s="983"/>
      <c r="Q15" s="984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5" t="s">
        <v>83</v>
      </c>
      <c r="C56" s="986"/>
      <c r="D56" s="986"/>
      <c r="E56" s="986"/>
      <c r="F56" s="986"/>
      <c r="G56" s="986"/>
      <c r="H56" s="986"/>
      <c r="I56" s="986"/>
      <c r="J56" s="986"/>
      <c r="K56" s="986"/>
      <c r="L56" s="986"/>
      <c r="M56" s="986"/>
      <c r="N56" s="986"/>
      <c r="O56" s="986"/>
      <c r="P56" s="986"/>
      <c r="Q56" s="986"/>
      <c r="R56" s="986"/>
      <c r="S56" s="986"/>
      <c r="T56" s="986"/>
      <c r="U56" s="986"/>
      <c r="V56" s="987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zoomScaleNormal="100" workbookViewId="0">
      <pane ySplit="14" topLeftCell="A15" activePane="bottomLeft" state="frozen"/>
      <selection pane="bottomLeft" activeCell="B2" sqref="B2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761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SALE TYPE:</v>
      </c>
      <c r="L4" s="657" t="s">
        <v>723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/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760</v>
      </c>
      <c r="L6" s="214"/>
      <c r="O6" s="907" t="s">
        <v>756</v>
      </c>
      <c r="P6" s="214"/>
      <c r="Q6" s="214"/>
      <c r="R6" s="211"/>
      <c r="S6" s="213"/>
      <c r="T6" s="214"/>
      <c r="AC6" s="215"/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755</v>
      </c>
      <c r="L9" s="214"/>
      <c r="O9" s="907"/>
      <c r="P9" s="214"/>
      <c r="Q9" s="214"/>
      <c r="R9" s="211"/>
      <c r="S9" s="213" t="s">
        <v>749</v>
      </c>
      <c r="T9" s="214"/>
      <c r="AC9" s="221">
        <v>45896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tr">
        <f>IF(S4="INGLES","SALESPERSON","VENDEDOR(A)")</f>
        <v>SALESPERSON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4" t="str">
        <f>IF(S4="INGLES","DRAPERIES","CORTINAS")</f>
        <v>DRAPERIES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HARDWARE</v>
      </c>
      <c r="Q12" s="915"/>
      <c r="R12" s="915"/>
      <c r="S12" s="916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19" t="str">
        <f>IF(S4="INGLES","TOTALS","TOTALES")</f>
        <v>TOTALS</v>
      </c>
      <c r="AC12" s="920"/>
      <c r="AD12" s="181"/>
      <c r="AE12" s="917" t="s">
        <v>256</v>
      </c>
      <c r="AF12" s="917"/>
      <c r="AG12" s="917"/>
      <c r="AH12" s="918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0" t="s">
        <v>258</v>
      </c>
      <c r="AS12" s="912"/>
      <c r="AT12" s="912"/>
      <c r="AU12" s="912"/>
      <c r="AV12" s="912"/>
      <c r="AW12" s="911"/>
      <c r="AX12" s="910" t="s">
        <v>189</v>
      </c>
      <c r="AY12" s="911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0.75" thickBot="1" x14ac:dyDescent="0.3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131</v>
      </c>
      <c r="F15" s="179" t="s">
        <v>116</v>
      </c>
      <c r="G15" s="671">
        <v>2</v>
      </c>
      <c r="H15" s="906" t="s">
        <v>187</v>
      </c>
      <c r="I15" s="906" t="s">
        <v>323</v>
      </c>
      <c r="J15" s="179" t="str">
        <f t="shared" ref="J15:J24" si="0">IF(OR(C15="",C15&lt;1),"",IF(H15="C.O.M.",CEILING(AQ15,0.5),""))</f>
        <v/>
      </c>
      <c r="K15" s="672" t="s">
        <v>751</v>
      </c>
      <c r="L15" s="179" t="s">
        <v>122</v>
      </c>
      <c r="M15" s="672" t="s">
        <v>752</v>
      </c>
      <c r="N15" s="673">
        <v>250</v>
      </c>
      <c r="O15" s="673">
        <v>100</v>
      </c>
      <c r="P15" s="197" t="s">
        <v>266</v>
      </c>
      <c r="Q15" s="178" t="s">
        <v>736</v>
      </c>
      <c r="R15" s="176" t="s">
        <v>289</v>
      </c>
      <c r="S15" s="179" t="s">
        <v>289</v>
      </c>
      <c r="T15" s="895">
        <f t="shared" ref="T15:T62" si="1">IF(E15="",0,IF(OR(C15&lt;1,C15=""),"",BF15))</f>
        <v>663.35</v>
      </c>
      <c r="U15" s="668">
        <v>0.4</v>
      </c>
      <c r="V15" s="669">
        <v>0.5</v>
      </c>
      <c r="W15" s="896">
        <f t="shared" ref="W15:W62" si="2">IF(OR(C15&lt;1,C15=""),"",BI15)</f>
        <v>201.75</v>
      </c>
      <c r="X15" s="694">
        <v>0.4</v>
      </c>
      <c r="Y15" s="690">
        <v>0.3</v>
      </c>
      <c r="Z15" s="667">
        <f>T15*IF($L$4="RESIDENCIAL",1-U15,1-V15)+W15*IF($L$4="RESIDENCIAL",1-X15,1-Y15)</f>
        <v>519.05999999999995</v>
      </c>
      <c r="AA15" s="659">
        <f>IF(E15="",0,IF(OR(C15&lt;1,C15=""),"",IF($S$3="PESOS",Z15*C15*$AC$4,Z15*C15)))</f>
        <v>519.05999999999995</v>
      </c>
      <c r="AB15" s="895">
        <f t="shared" ref="AB15:AB62" si="3">IF(E15="",0,IF(OR(C15&lt;1,C15=""),"",T15+W15))</f>
        <v>865.1</v>
      </c>
      <c r="AC15" s="896">
        <f>IF(E15="",0,IF(OR(C15&lt;1,C15=""),"",IF($S$3="PESOS",AB15*C15*$AC$4, AB15*C15)))</f>
        <v>865.1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12.5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525</v>
      </c>
      <c r="AJ15" s="307">
        <f t="shared" ref="AJ15:AJ62" si="9">IF(C15="","",O15+AG15+AH15)</f>
        <v>117</v>
      </c>
      <c r="AK15" s="307">
        <f t="shared" ref="AK15:AK62" si="10">IF(C15="","",IF(OR(F15="SHEER",F15="STAT. SHEER"),118,54))</f>
        <v>118</v>
      </c>
      <c r="AL15" s="308" t="str">
        <f t="shared" ref="AL15:AL62" si="11">IF(C15="","",IF(AK15&lt;65,"VERTICAL",IF(AJ15&gt;AK15,"VERTICAL","RAILROAD")))</f>
        <v>RAILROAD</v>
      </c>
      <c r="AM15" s="308">
        <f t="shared" ref="AM15:AM62" si="12">IF(C15="","",AI15/AK15)</f>
        <v>4.4491525423728815</v>
      </c>
      <c r="AN15" s="309" t="str">
        <f t="shared" ref="AN15:AN62" si="13">IF(C15="","",IF(AL15="RAILROAD","N/A",IF(AK15&lt;60,CEILING(AM15,0.5),CEILING(AM15,0.25))))</f>
        <v>N/A</v>
      </c>
      <c r="AO15" s="309">
        <f t="shared" ref="AO15:AO62" si="14">IF(C15="","",IF(AL15="VERTICAL",AN15*AK15/54,CEILING(AI15/54,0.5)))</f>
        <v>10</v>
      </c>
      <c r="AP15" s="308">
        <f t="shared" ref="AP15:AP62" si="15">IF(C15="","",IF(AL15="VERTICAL",CEILING(AN15*AJ15/36/0.93,0.25),CEILING(AI15/36/0.93,0.25)))</f>
        <v>15.75</v>
      </c>
      <c r="AQ15" s="310">
        <f t="shared" ref="AQ15:AQ62" si="16">IF(C15="","",AP15*C15)</f>
        <v>15.75</v>
      </c>
      <c r="AR15" s="306">
        <f t="shared" ref="AR15:AR62" si="17">IF(C15="","",CEILING(AI15,1))</f>
        <v>525</v>
      </c>
      <c r="AS15" s="308">
        <f t="shared" ref="AS15:AS62" si="18">IF(C15="","",O15+(2*$AG$3)+2+1)</f>
        <v>111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32</v>
      </c>
      <c r="AW15" s="310">
        <f t="shared" ref="AW15:AW62" si="22">IF(C15="","",AV15*C15)</f>
        <v>32</v>
      </c>
      <c r="AX15" s="311">
        <f t="shared" ref="AX15:AX62" si="23">IF(C15="","",N15/12/(1-$AX$13))</f>
        <v>22.644927536231883</v>
      </c>
      <c r="AY15" s="308">
        <f t="shared" ref="AY15:AY24" si="24">IF(C15="","",IF(S15="N/A","N/A",IF(O15&lt;100.01,36,IF(O15&gt;136.01,"N/A",IF(AND(O15&gt;100.011,O15&lt;112.01),48,IF(AND(O15&gt;112.011,O15&lt;124.01),60,72))))))</f>
        <v>36</v>
      </c>
      <c r="AZ15" s="312">
        <f>IF(C15="","",IF(H15="STOCK",VLOOKUP(I15,'COST - SELL'!$B$26:$G$29,6,0),IF(H15="LINE-ATELIER",VLOOKUP(I15,'COST - SELL'!$J$26:$Q$29,8,0),IF(H15="LINE-VTLUX",VLOOKUP(I15,'COST - SELL'!$B$36:$I$51,8,0),0))))</f>
        <v>31.8</v>
      </c>
      <c r="BA15" s="313">
        <f t="shared" ref="BA15:BA62" si="25">IF(C15="","",AP15*AZ15)</f>
        <v>500.85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16.25</v>
      </c>
      <c r="BE15" s="315">
        <f t="shared" ref="BE15:BE62" si="27">IF(C15="","",BD15*AO15)</f>
        <v>162.5</v>
      </c>
      <c r="BF15" s="313">
        <f>IF(C15="","",CEILING(BA15+BC15+BE15,0.05))</f>
        <v>663.35</v>
      </c>
      <c r="BG15" s="316">
        <f>IF(C15="","",IF(Q15="N/A",0,VLOOKUP(Q15,'COST - SELL'!$B$80:$I$91,8,0)*'FILL QUOTE-CALCULATIONS'!AX15))</f>
        <v>192.481884057971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9.25</v>
      </c>
      <c r="BI15" s="316">
        <f t="shared" ref="BI15:BI62" si="28">IF(C15="","",CEILING(BG15+BH15,0.05))</f>
        <v>201.75</v>
      </c>
      <c r="BJ15" s="316">
        <f t="shared" ref="BJ15:BJ62" si="29">IF(C15="","",BF15+BI15)</f>
        <v>865.1</v>
      </c>
      <c r="BL15" s="222">
        <f>BG15/AX15</f>
        <v>8.5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131</v>
      </c>
      <c r="F16" s="179" t="s">
        <v>116</v>
      </c>
      <c r="G16" s="671">
        <v>2</v>
      </c>
      <c r="H16" s="906" t="s">
        <v>187</v>
      </c>
      <c r="I16" s="906" t="s">
        <v>323</v>
      </c>
      <c r="J16" s="179" t="str">
        <f t="shared" si="0"/>
        <v/>
      </c>
      <c r="K16" s="672" t="s">
        <v>751</v>
      </c>
      <c r="L16" s="179" t="s">
        <v>122</v>
      </c>
      <c r="M16" s="672" t="s">
        <v>753</v>
      </c>
      <c r="N16" s="673">
        <v>190</v>
      </c>
      <c r="O16" s="673">
        <v>109</v>
      </c>
      <c r="P16" s="197" t="s">
        <v>266</v>
      </c>
      <c r="Q16" s="178" t="s">
        <v>736</v>
      </c>
      <c r="R16" s="176" t="s">
        <v>289</v>
      </c>
      <c r="S16" s="179" t="s">
        <v>289</v>
      </c>
      <c r="T16" s="895">
        <f t="shared" si="1"/>
        <v>545.65</v>
      </c>
      <c r="U16" s="668">
        <v>0.4</v>
      </c>
      <c r="V16" s="669">
        <v>0.5</v>
      </c>
      <c r="W16" s="896">
        <f t="shared" si="2"/>
        <v>158.10000000000002</v>
      </c>
      <c r="X16" s="694">
        <v>0.4</v>
      </c>
      <c r="Y16" s="690">
        <v>0.3</v>
      </c>
      <c r="Z16" s="667">
        <f>IF(E16="",0,T16*IF($L$4="RESIDENCIAL",1-U16,1-V16)+W16*IF($L$4="RESIDENCIAL",1-X16,1-Y16))</f>
        <v>422.25</v>
      </c>
      <c r="AA16" s="659">
        <f>IF(E16="",0,IF(OR(C16&lt;1,C16=""),"",IF($S$3="PESOS",Z16*C16*$AC$4, Z16*C16)))</f>
        <v>422.25</v>
      </c>
      <c r="AB16" s="895">
        <f t="shared" si="3"/>
        <v>703.75</v>
      </c>
      <c r="AC16" s="896">
        <f>IF(E16="",0,IF(OR(C16&lt;1,C16=""),"",IF($S$3="PESOS",AB16*C16*$AC$4, AB16*C16)))</f>
        <v>703.75</v>
      </c>
      <c r="AD16" s="181"/>
      <c r="AE16" s="883">
        <f t="shared" si="4"/>
        <v>12.5</v>
      </c>
      <c r="AF16" s="883">
        <f t="shared" si="5"/>
        <v>9.5</v>
      </c>
      <c r="AG16" s="883">
        <f t="shared" si="6"/>
        <v>9</v>
      </c>
      <c r="AH16" s="884">
        <f t="shared" si="7"/>
        <v>8</v>
      </c>
      <c r="AI16" s="317">
        <f t="shared" si="8"/>
        <v>402</v>
      </c>
      <c r="AJ16" s="304">
        <f t="shared" si="9"/>
        <v>126</v>
      </c>
      <c r="AK16" s="304">
        <f t="shared" si="10"/>
        <v>118</v>
      </c>
      <c r="AL16" s="318" t="str">
        <f t="shared" si="11"/>
        <v>VERTICAL</v>
      </c>
      <c r="AM16" s="318">
        <f t="shared" si="12"/>
        <v>3.406779661016949</v>
      </c>
      <c r="AN16" s="319">
        <f t="shared" si="13"/>
        <v>3.5</v>
      </c>
      <c r="AO16" s="319">
        <f t="shared" si="14"/>
        <v>7.6481481481481479</v>
      </c>
      <c r="AP16" s="318">
        <f t="shared" si="15"/>
        <v>13.25</v>
      </c>
      <c r="AQ16" s="320">
        <f t="shared" si="16"/>
        <v>13.25</v>
      </c>
      <c r="AR16" s="306">
        <f t="shared" si="17"/>
        <v>402</v>
      </c>
      <c r="AS16" s="308">
        <f t="shared" si="18"/>
        <v>120</v>
      </c>
      <c r="AT16" s="308">
        <f t="shared" si="19"/>
        <v>54</v>
      </c>
      <c r="AU16" s="308" t="str">
        <f t="shared" si="20"/>
        <v>VERTICAL</v>
      </c>
      <c r="AV16" s="308">
        <f t="shared" si="21"/>
        <v>26.6</v>
      </c>
      <c r="AW16" s="310">
        <f t="shared" si="22"/>
        <v>26.6</v>
      </c>
      <c r="AX16" s="321">
        <f t="shared" si="23"/>
        <v>17.210144927536231</v>
      </c>
      <c r="AY16" s="308">
        <f t="shared" si="24"/>
        <v>48</v>
      </c>
      <c r="AZ16" s="312">
        <f>IF(C16="","",IF(H16="STOCK",VLOOKUP(I16,'COST - SELL'!$B$26:$G$29,6,0),IF(H16="LINE-ATELIER",VLOOKUP(I16,'COST - SELL'!$J$26:$Q$29,8,0),IF(H16="LINE-VTLUX",VLOOKUP(I16,'COST - SELL'!$B$36:$I$51,8,0),0))))</f>
        <v>31.8</v>
      </c>
      <c r="BA16" s="313">
        <f t="shared" si="25"/>
        <v>421.35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124.2824074074074</v>
      </c>
      <c r="BF16" s="313">
        <f t="shared" ref="BF16:BF62" si="30">IF(C16="","",CEILING(BA16+BC16+BE16,0.05))</f>
        <v>545.65</v>
      </c>
      <c r="BG16" s="316">
        <f>IF(C16="","",IF(Q16="N/A",0,VLOOKUP(Q16,'COST - SELL'!$B$80:$I$91,8,0)*'FILL QUOTE-CALCULATIONS'!AX16))</f>
        <v>146.28623188405797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11.8</v>
      </c>
      <c r="BI16" s="316">
        <f t="shared" si="28"/>
        <v>158.10000000000002</v>
      </c>
      <c r="BJ16" s="316">
        <f t="shared" si="29"/>
        <v>703.75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298</v>
      </c>
      <c r="E17" s="179" t="s">
        <v>131</v>
      </c>
      <c r="F17" s="179" t="s">
        <v>116</v>
      </c>
      <c r="G17" s="671">
        <v>2</v>
      </c>
      <c r="H17" s="906" t="s">
        <v>187</v>
      </c>
      <c r="I17" s="906" t="s">
        <v>323</v>
      </c>
      <c r="J17" s="179" t="str">
        <f t="shared" si="0"/>
        <v/>
      </c>
      <c r="K17" s="672" t="s">
        <v>751</v>
      </c>
      <c r="L17" s="179" t="s">
        <v>122</v>
      </c>
      <c r="M17" s="672" t="s">
        <v>754</v>
      </c>
      <c r="N17" s="673">
        <v>73.5</v>
      </c>
      <c r="O17" s="673">
        <v>100</v>
      </c>
      <c r="P17" s="197" t="s">
        <v>266</v>
      </c>
      <c r="Q17" s="178" t="s">
        <v>736</v>
      </c>
      <c r="R17" s="176" t="s">
        <v>289</v>
      </c>
      <c r="S17" s="179" t="s">
        <v>289</v>
      </c>
      <c r="T17" s="895">
        <f t="shared" si="1"/>
        <v>215.9</v>
      </c>
      <c r="U17" s="668">
        <v>0.4</v>
      </c>
      <c r="V17" s="669">
        <v>0.5</v>
      </c>
      <c r="W17" s="896">
        <f t="shared" si="2"/>
        <v>65.850000000000009</v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169.05</v>
      </c>
      <c r="AA17" s="659">
        <f t="shared" ref="AA17:AA62" si="33">IF(E17="",0,IF(OR(C17&lt;1,C17=""),"",IF($S$3="PESOS",Z17*C17*$AC$4, Z17*C17)))</f>
        <v>169.05</v>
      </c>
      <c r="AB17" s="895">
        <f t="shared" si="3"/>
        <v>281.75</v>
      </c>
      <c r="AC17" s="896">
        <f t="shared" ref="AC17:AC62" si="34">IF(E17="",0,IF(OR(C17&lt;1,C17=""),"",IF($S$3="PESOS",AB17*C17*$AC$4, AB17*C17)))</f>
        <v>281.75</v>
      </c>
      <c r="AD17" s="181"/>
      <c r="AE17" s="883">
        <f t="shared" si="4"/>
        <v>12.5</v>
      </c>
      <c r="AF17" s="883">
        <f t="shared" si="5"/>
        <v>3.6750000000000003</v>
      </c>
      <c r="AG17" s="883">
        <f t="shared" si="6"/>
        <v>9</v>
      </c>
      <c r="AH17" s="884">
        <f t="shared" si="7"/>
        <v>8</v>
      </c>
      <c r="AI17" s="317">
        <f t="shared" si="8"/>
        <v>163.17500000000001</v>
      </c>
      <c r="AJ17" s="304">
        <f t="shared" si="9"/>
        <v>117</v>
      </c>
      <c r="AK17" s="304">
        <f t="shared" si="10"/>
        <v>118</v>
      </c>
      <c r="AL17" s="318" t="str">
        <f t="shared" si="11"/>
        <v>RAILROAD</v>
      </c>
      <c r="AM17" s="318">
        <f t="shared" si="12"/>
        <v>1.3828389830508476</v>
      </c>
      <c r="AN17" s="319" t="str">
        <f t="shared" si="13"/>
        <v>N/A</v>
      </c>
      <c r="AO17" s="319">
        <f t="shared" si="14"/>
        <v>3.5</v>
      </c>
      <c r="AP17" s="318">
        <f t="shared" si="15"/>
        <v>5</v>
      </c>
      <c r="AQ17" s="320">
        <f t="shared" si="16"/>
        <v>5</v>
      </c>
      <c r="AR17" s="306">
        <f t="shared" si="17"/>
        <v>164</v>
      </c>
      <c r="AS17" s="308">
        <f t="shared" si="18"/>
        <v>111</v>
      </c>
      <c r="AT17" s="308">
        <f t="shared" si="19"/>
        <v>54</v>
      </c>
      <c r="AU17" s="308" t="str">
        <f t="shared" si="20"/>
        <v>VERTICAL</v>
      </c>
      <c r="AV17" s="308">
        <f t="shared" si="21"/>
        <v>10.700000000000001</v>
      </c>
      <c r="AW17" s="310">
        <f t="shared" si="22"/>
        <v>10.700000000000001</v>
      </c>
      <c r="AX17" s="321">
        <f t="shared" si="23"/>
        <v>6.6576086956521738</v>
      </c>
      <c r="AY17" s="308">
        <f t="shared" si="24"/>
        <v>36</v>
      </c>
      <c r="AZ17" s="312">
        <f>IF(C17="","",IF(H17="STOCK",VLOOKUP(I17,'COST - SELL'!$B$26:$G$29,6,0),IF(H17="LINE-ATELIER",VLOOKUP(I17,'COST - SELL'!$J$26:$Q$29,8,0),IF(H17="LINE-VTLUX",VLOOKUP(I17,'COST - SELL'!$B$36:$I$51,8,0),0))))</f>
        <v>31.8</v>
      </c>
      <c r="BA17" s="313">
        <f t="shared" si="25"/>
        <v>159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16.25</v>
      </c>
      <c r="BE17" s="315">
        <f t="shared" si="27"/>
        <v>56.875</v>
      </c>
      <c r="BF17" s="313">
        <f t="shared" si="30"/>
        <v>215.9</v>
      </c>
      <c r="BG17" s="316">
        <f>IF(C17="","",IF(Q17="N/A",0,VLOOKUP(Q17,'COST - SELL'!$B$80:$I$91,8,0)*'FILL QUOTE-CALCULATIONS'!AX17))</f>
        <v>56.589673913043477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9.25</v>
      </c>
      <c r="BI17" s="316">
        <f t="shared" si="28"/>
        <v>65.850000000000009</v>
      </c>
      <c r="BJ17" s="316">
        <f t="shared" si="29"/>
        <v>281.75</v>
      </c>
    </row>
    <row r="18" spans="2:62" x14ac:dyDescent="0.25">
      <c r="B18" s="231">
        <f t="shared" si="31"/>
        <v>4</v>
      </c>
      <c r="C18" s="180">
        <v>1</v>
      </c>
      <c r="D18" s="178" t="s">
        <v>273</v>
      </c>
      <c r="E18" s="179" t="s">
        <v>131</v>
      </c>
      <c r="F18" s="179" t="s">
        <v>136</v>
      </c>
      <c r="G18" s="671">
        <v>2</v>
      </c>
      <c r="H18" s="906" t="s">
        <v>187</v>
      </c>
      <c r="I18" s="906" t="s">
        <v>323</v>
      </c>
      <c r="J18" s="179" t="str">
        <f t="shared" si="0"/>
        <v/>
      </c>
      <c r="K18" s="672" t="s">
        <v>750</v>
      </c>
      <c r="L18" s="179" t="s">
        <v>122</v>
      </c>
      <c r="M18" s="672" t="s">
        <v>757</v>
      </c>
      <c r="N18" s="673">
        <v>185</v>
      </c>
      <c r="O18" s="673">
        <v>104.75</v>
      </c>
      <c r="P18" s="197" t="s">
        <v>266</v>
      </c>
      <c r="Q18" s="178" t="s">
        <v>736</v>
      </c>
      <c r="R18" s="176" t="s">
        <v>289</v>
      </c>
      <c r="S18" s="179" t="s">
        <v>289</v>
      </c>
      <c r="T18" s="895">
        <f t="shared" si="1"/>
        <v>1016.25</v>
      </c>
      <c r="U18" s="668">
        <v>0.4</v>
      </c>
      <c r="V18" s="669">
        <v>0.5</v>
      </c>
      <c r="W18" s="896">
        <f t="shared" si="2"/>
        <v>154.25</v>
      </c>
      <c r="X18" s="694">
        <v>0.4</v>
      </c>
      <c r="Y18" s="690">
        <v>0.3</v>
      </c>
      <c r="Z18" s="667">
        <f t="shared" si="32"/>
        <v>702.3</v>
      </c>
      <c r="AA18" s="659">
        <f t="shared" si="33"/>
        <v>702.3</v>
      </c>
      <c r="AB18" s="895">
        <f t="shared" si="3"/>
        <v>1170.5</v>
      </c>
      <c r="AC18" s="896">
        <f t="shared" si="34"/>
        <v>1170.5</v>
      </c>
      <c r="AD18" s="181"/>
      <c r="AE18" s="883">
        <f t="shared" si="4"/>
        <v>12.5</v>
      </c>
      <c r="AF18" s="883">
        <f t="shared" si="5"/>
        <v>9.25</v>
      </c>
      <c r="AG18" s="883">
        <f t="shared" si="6"/>
        <v>9</v>
      </c>
      <c r="AH18" s="884">
        <f t="shared" si="7"/>
        <v>8</v>
      </c>
      <c r="AI18" s="317">
        <f t="shared" si="8"/>
        <v>391.75</v>
      </c>
      <c r="AJ18" s="304">
        <f t="shared" si="9"/>
        <v>121.75</v>
      </c>
      <c r="AK18" s="304">
        <f t="shared" si="10"/>
        <v>54</v>
      </c>
      <c r="AL18" s="318" t="str">
        <f t="shared" si="11"/>
        <v>VERTICAL</v>
      </c>
      <c r="AM18" s="318">
        <f t="shared" si="12"/>
        <v>7.2546296296296298</v>
      </c>
      <c r="AN18" s="319">
        <f t="shared" si="13"/>
        <v>7.5</v>
      </c>
      <c r="AO18" s="319">
        <f t="shared" si="14"/>
        <v>7.5</v>
      </c>
      <c r="AP18" s="318">
        <f t="shared" si="15"/>
        <v>27.5</v>
      </c>
      <c r="AQ18" s="320">
        <f t="shared" si="16"/>
        <v>27.5</v>
      </c>
      <c r="AR18" s="306">
        <f t="shared" si="17"/>
        <v>392</v>
      </c>
      <c r="AS18" s="308">
        <f t="shared" si="18"/>
        <v>115.75</v>
      </c>
      <c r="AT18" s="308">
        <f t="shared" si="19"/>
        <v>54</v>
      </c>
      <c r="AU18" s="308" t="str">
        <f t="shared" si="20"/>
        <v>VERTICAL</v>
      </c>
      <c r="AV18" s="308">
        <f t="shared" si="21"/>
        <v>25.700000000000003</v>
      </c>
      <c r="AW18" s="310">
        <f t="shared" si="22"/>
        <v>25.700000000000003</v>
      </c>
      <c r="AX18" s="321">
        <f t="shared" si="23"/>
        <v>16.757246376811594</v>
      </c>
      <c r="AY18" s="308">
        <f t="shared" si="24"/>
        <v>48</v>
      </c>
      <c r="AZ18" s="312">
        <f>IF(C18="","",IF(H18="STOCK",VLOOKUP(I18,'COST - SELL'!$B$26:$G$29,6,0),IF(H18="LINE-ATELIER",VLOOKUP(I18,'COST - SELL'!$J$26:$Q$29,8,0),IF(H18="LINE-VTLUX",VLOOKUP(I18,'COST - SELL'!$B$36:$I$51,8,0),0))))</f>
        <v>31.8</v>
      </c>
      <c r="BA18" s="313">
        <f t="shared" si="25"/>
        <v>874.5</v>
      </c>
      <c r="BB18" s="314">
        <f>IF(C18="","",IF(L18="N/A",0,VLOOKUP(L18,'COST - SELL'!$B$60:$I$63,8,0)))</f>
        <v>0</v>
      </c>
      <c r="BC18" s="313">
        <f t="shared" si="26"/>
        <v>0</v>
      </c>
      <c r="BD18" s="315">
        <f>IF(C18="","",IF(H18="C.O.M.",VLOOKUP(F18,'COST - SELL'!$J$11:$N$19,5,0),VLOOKUP(F18,'COST - SELL'!$B$11:$H$19,7,0)))</f>
        <v>18.900000000000002</v>
      </c>
      <c r="BE18" s="315">
        <f t="shared" si="27"/>
        <v>141.75000000000003</v>
      </c>
      <c r="BF18" s="313">
        <f t="shared" si="30"/>
        <v>1016.25</v>
      </c>
      <c r="BG18" s="316">
        <f>IF(C18="","",IF(Q18="N/A",0,VLOOKUP(Q18,'COST - SELL'!$B$80:$I$91,8,0)*'FILL QUOTE-CALCULATIONS'!AX18))</f>
        <v>142.43659420289856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11.8</v>
      </c>
      <c r="BI18" s="316">
        <f t="shared" si="28"/>
        <v>154.25</v>
      </c>
      <c r="BJ18" s="316">
        <f t="shared" si="29"/>
        <v>1170.5</v>
      </c>
    </row>
    <row r="19" spans="2:62" x14ac:dyDescent="0.25">
      <c r="B19" s="231">
        <f t="shared" si="31"/>
        <v>5</v>
      </c>
      <c r="C19" s="180">
        <v>1</v>
      </c>
      <c r="D19" s="178" t="s">
        <v>273</v>
      </c>
      <c r="E19" s="179" t="s">
        <v>131</v>
      </c>
      <c r="F19" s="179" t="s">
        <v>116</v>
      </c>
      <c r="G19" s="671">
        <v>2</v>
      </c>
      <c r="H19" s="906" t="s">
        <v>187</v>
      </c>
      <c r="I19" s="906" t="s">
        <v>323</v>
      </c>
      <c r="J19" s="179" t="str">
        <f t="shared" si="0"/>
        <v/>
      </c>
      <c r="K19" s="672" t="s">
        <v>751</v>
      </c>
      <c r="L19" s="179" t="s">
        <v>122</v>
      </c>
      <c r="M19" s="672" t="s">
        <v>757</v>
      </c>
      <c r="N19" s="673">
        <v>185</v>
      </c>
      <c r="O19" s="673">
        <v>104.75</v>
      </c>
      <c r="P19" s="197" t="s">
        <v>266</v>
      </c>
      <c r="Q19" s="178" t="s">
        <v>736</v>
      </c>
      <c r="R19" s="176" t="s">
        <v>289</v>
      </c>
      <c r="S19" s="179" t="s">
        <v>289</v>
      </c>
      <c r="T19" s="895">
        <f t="shared" si="1"/>
        <v>529.75</v>
      </c>
      <c r="U19" s="668">
        <v>0.4</v>
      </c>
      <c r="V19" s="669">
        <v>0.5</v>
      </c>
      <c r="W19" s="896">
        <f t="shared" si="2"/>
        <v>154.25</v>
      </c>
      <c r="X19" s="694">
        <v>0.4</v>
      </c>
      <c r="Y19" s="690">
        <v>0.3</v>
      </c>
      <c r="Z19" s="667">
        <f t="shared" si="32"/>
        <v>410.4</v>
      </c>
      <c r="AA19" s="659">
        <f t="shared" si="33"/>
        <v>410.4</v>
      </c>
      <c r="AB19" s="895">
        <f t="shared" si="3"/>
        <v>684</v>
      </c>
      <c r="AC19" s="896">
        <f t="shared" si="34"/>
        <v>684</v>
      </c>
      <c r="AD19" s="181"/>
      <c r="AE19" s="883">
        <f t="shared" si="4"/>
        <v>12.5</v>
      </c>
      <c r="AF19" s="883">
        <f t="shared" si="5"/>
        <v>9.25</v>
      </c>
      <c r="AG19" s="883">
        <f t="shared" si="6"/>
        <v>9</v>
      </c>
      <c r="AH19" s="884">
        <f t="shared" si="7"/>
        <v>8</v>
      </c>
      <c r="AI19" s="317">
        <f t="shared" si="8"/>
        <v>391.75</v>
      </c>
      <c r="AJ19" s="304">
        <f t="shared" si="9"/>
        <v>121.75</v>
      </c>
      <c r="AK19" s="304">
        <f t="shared" si="10"/>
        <v>118</v>
      </c>
      <c r="AL19" s="318" t="str">
        <f t="shared" si="11"/>
        <v>VERTICAL</v>
      </c>
      <c r="AM19" s="318">
        <f t="shared" si="12"/>
        <v>3.3199152542372881</v>
      </c>
      <c r="AN19" s="319">
        <f t="shared" si="13"/>
        <v>3.5</v>
      </c>
      <c r="AO19" s="319">
        <f t="shared" si="14"/>
        <v>7.6481481481481479</v>
      </c>
      <c r="AP19" s="318">
        <f t="shared" si="15"/>
        <v>12.75</v>
      </c>
      <c r="AQ19" s="320">
        <f t="shared" si="16"/>
        <v>12.75</v>
      </c>
      <c r="AR19" s="306">
        <f t="shared" si="17"/>
        <v>392</v>
      </c>
      <c r="AS19" s="308">
        <f t="shared" si="18"/>
        <v>115.75</v>
      </c>
      <c r="AT19" s="308">
        <f t="shared" si="19"/>
        <v>54</v>
      </c>
      <c r="AU19" s="308" t="str">
        <f t="shared" si="20"/>
        <v>VERTICAL</v>
      </c>
      <c r="AV19" s="308">
        <f t="shared" si="21"/>
        <v>25.700000000000003</v>
      </c>
      <c r="AW19" s="310">
        <f t="shared" si="22"/>
        <v>25.700000000000003</v>
      </c>
      <c r="AX19" s="321">
        <f t="shared" si="23"/>
        <v>16.757246376811594</v>
      </c>
      <c r="AY19" s="308">
        <f t="shared" si="24"/>
        <v>48</v>
      </c>
      <c r="AZ19" s="312">
        <f>IF(C19="","",IF(H19="STOCK",VLOOKUP(I19,'COST - SELL'!$B$26:$G$29,6,0),IF(H19="LINE-ATELIER",VLOOKUP(I19,'COST - SELL'!$J$26:$Q$29,8,0),IF(H19="LINE-VTLUX",VLOOKUP(I19,'COST - SELL'!$B$36:$I$51,8,0),0))))</f>
        <v>31.8</v>
      </c>
      <c r="BA19" s="313">
        <f t="shared" si="25"/>
        <v>405.45</v>
      </c>
      <c r="BB19" s="314">
        <f>IF(C19="","",IF(L19="N/A",0,VLOOKUP(L19,'COST - SELL'!$B$60:$I$63,8,0)))</f>
        <v>0</v>
      </c>
      <c r="BC19" s="313">
        <f t="shared" si="26"/>
        <v>0</v>
      </c>
      <c r="BD19" s="315">
        <f>IF(C19="","",IF(H19="C.O.M.",VLOOKUP(F19,'COST - SELL'!$J$11:$N$19,5,0),VLOOKUP(F19,'COST - SELL'!$B$11:$H$19,7,0)))</f>
        <v>16.25</v>
      </c>
      <c r="BE19" s="315">
        <f t="shared" si="27"/>
        <v>124.2824074074074</v>
      </c>
      <c r="BF19" s="313">
        <f t="shared" si="30"/>
        <v>529.75</v>
      </c>
      <c r="BG19" s="316">
        <f>IF(C19="","",IF(Q19="N/A",0,VLOOKUP(Q19,'COST - SELL'!$B$80:$I$91,8,0)*'FILL QUOTE-CALCULATIONS'!AX19))</f>
        <v>142.43659420289856</v>
      </c>
      <c r="BH19" s="316">
        <f>IF(C19="","",IF(S19="N/A",0,IF(AY19="N/A",0,INDEX('COST - SELL'!$O$70:$S$73,MATCH('FILL QUOTE-CALCULATIONS'!S19,'COST - SELL'!$O$70:$O$73,0),MATCH('FILL QUOTE-CALCULATIONS'!AY19,'COST - SELL'!$O$70:$S$70,0)))))</f>
        <v>11.8</v>
      </c>
      <c r="BI19" s="316">
        <f t="shared" si="28"/>
        <v>154.25</v>
      </c>
      <c r="BJ19" s="316">
        <f t="shared" si="29"/>
        <v>684</v>
      </c>
    </row>
    <row r="20" spans="2:62" x14ac:dyDescent="0.25">
      <c r="B20" s="231">
        <f t="shared" si="31"/>
        <v>6</v>
      </c>
      <c r="C20" s="180">
        <v>1</v>
      </c>
      <c r="D20" s="178" t="s">
        <v>298</v>
      </c>
      <c r="E20" s="179" t="s">
        <v>131</v>
      </c>
      <c r="F20" s="179" t="s">
        <v>116</v>
      </c>
      <c r="G20" s="671">
        <v>2</v>
      </c>
      <c r="H20" s="906" t="s">
        <v>187</v>
      </c>
      <c r="I20" s="906" t="s">
        <v>323</v>
      </c>
      <c r="J20" s="179" t="str">
        <f t="shared" ref="J20" si="35">IF(OR(C20="",C20&lt;1),"",IF(H20="C.O.M.",CEILING(AQ20,0.5),""))</f>
        <v/>
      </c>
      <c r="K20" s="672" t="s">
        <v>751</v>
      </c>
      <c r="L20" s="179" t="s">
        <v>122</v>
      </c>
      <c r="M20" s="672" t="s">
        <v>762</v>
      </c>
      <c r="N20" s="673">
        <v>120</v>
      </c>
      <c r="O20" s="673">
        <v>104.75</v>
      </c>
      <c r="P20" s="197" t="s">
        <v>266</v>
      </c>
      <c r="Q20" s="178" t="s">
        <v>736</v>
      </c>
      <c r="R20" s="176" t="s">
        <v>289</v>
      </c>
      <c r="S20" s="179" t="s">
        <v>289</v>
      </c>
      <c r="T20" s="895">
        <f t="shared" si="1"/>
        <v>342.25</v>
      </c>
      <c r="U20" s="668">
        <v>0.4</v>
      </c>
      <c r="V20" s="669">
        <v>0.5</v>
      </c>
      <c r="W20" s="896">
        <f t="shared" si="2"/>
        <v>104.2</v>
      </c>
      <c r="X20" s="694">
        <v>0.4</v>
      </c>
      <c r="Y20" s="690">
        <v>0.3</v>
      </c>
      <c r="Z20" s="667">
        <f t="shared" si="32"/>
        <v>267.87</v>
      </c>
      <c r="AA20" s="659">
        <f t="shared" si="33"/>
        <v>267.87</v>
      </c>
      <c r="AB20" s="895">
        <f t="shared" si="3"/>
        <v>446.45</v>
      </c>
      <c r="AC20" s="896">
        <f t="shared" si="34"/>
        <v>446.45</v>
      </c>
      <c r="AD20" s="181"/>
      <c r="AE20" s="883">
        <f t="shared" si="4"/>
        <v>12.5</v>
      </c>
      <c r="AF20" s="883">
        <f t="shared" si="5"/>
        <v>6</v>
      </c>
      <c r="AG20" s="883">
        <f t="shared" si="6"/>
        <v>9</v>
      </c>
      <c r="AH20" s="884">
        <f t="shared" si="7"/>
        <v>8</v>
      </c>
      <c r="AI20" s="317">
        <f t="shared" si="8"/>
        <v>258.5</v>
      </c>
      <c r="AJ20" s="304">
        <f t="shared" si="9"/>
        <v>121.75</v>
      </c>
      <c r="AK20" s="304">
        <f t="shared" si="10"/>
        <v>118</v>
      </c>
      <c r="AL20" s="318" t="str">
        <f t="shared" si="11"/>
        <v>VERTICAL</v>
      </c>
      <c r="AM20" s="318">
        <f t="shared" si="12"/>
        <v>2.1906779661016951</v>
      </c>
      <c r="AN20" s="319">
        <f t="shared" si="13"/>
        <v>2.25</v>
      </c>
      <c r="AO20" s="319">
        <f t="shared" si="14"/>
        <v>4.916666666666667</v>
      </c>
      <c r="AP20" s="318">
        <f t="shared" si="15"/>
        <v>8.25</v>
      </c>
      <c r="AQ20" s="320">
        <f t="shared" si="16"/>
        <v>8.25</v>
      </c>
      <c r="AR20" s="306">
        <f t="shared" si="17"/>
        <v>259</v>
      </c>
      <c r="AS20" s="308">
        <f t="shared" si="18"/>
        <v>115.75</v>
      </c>
      <c r="AT20" s="308">
        <f t="shared" si="19"/>
        <v>54</v>
      </c>
      <c r="AU20" s="308" t="str">
        <f t="shared" si="20"/>
        <v>VERTICAL</v>
      </c>
      <c r="AV20" s="308">
        <f t="shared" si="21"/>
        <v>17.2</v>
      </c>
      <c r="AW20" s="310">
        <f t="shared" si="22"/>
        <v>17.2</v>
      </c>
      <c r="AX20" s="321">
        <f t="shared" si="23"/>
        <v>10.869565217391305</v>
      </c>
      <c r="AY20" s="308">
        <f t="shared" si="24"/>
        <v>48</v>
      </c>
      <c r="AZ20" s="312">
        <f>IF(C20="","",IF(H20="STOCK",VLOOKUP(I20,'COST - SELL'!$B$26:$G$29,6,0),IF(H20="LINE-ATELIER",VLOOKUP(I20,'COST - SELL'!$J$26:$Q$29,8,0),IF(H20="LINE-VTLUX",VLOOKUP(I20,'COST - SELL'!$B$36:$I$51,8,0),0))))</f>
        <v>31.8</v>
      </c>
      <c r="BA20" s="313">
        <f t="shared" si="25"/>
        <v>262.35000000000002</v>
      </c>
      <c r="BB20" s="314">
        <f>IF(C20="","",IF(L20="N/A",0,VLOOKUP(L20,'COST - SELL'!$B$60:$I$63,8,0)))</f>
        <v>0</v>
      </c>
      <c r="BC20" s="313">
        <f t="shared" si="26"/>
        <v>0</v>
      </c>
      <c r="BD20" s="315">
        <f>IF(C20="","",IF(H20="C.O.M.",VLOOKUP(F20,'COST - SELL'!$J$11:$N$19,5,0),VLOOKUP(F20,'COST - SELL'!$B$11:$H$19,7,0)))</f>
        <v>16.25</v>
      </c>
      <c r="BE20" s="315">
        <f t="shared" si="27"/>
        <v>79.895833333333343</v>
      </c>
      <c r="BF20" s="313">
        <f t="shared" si="30"/>
        <v>342.25</v>
      </c>
      <c r="BG20" s="316">
        <f>IF(C20="","",IF(Q20="N/A",0,VLOOKUP(Q20,'COST - SELL'!$B$80:$I$91,8,0)*'FILL QUOTE-CALCULATIONS'!AX20))</f>
        <v>92.391304347826093</v>
      </c>
      <c r="BH20" s="316">
        <f>IF(C20="","",IF(S20="N/A",0,IF(AY20="N/A",0,INDEX('COST - SELL'!$O$70:$S$73,MATCH('FILL QUOTE-CALCULATIONS'!S20,'COST - SELL'!$O$70:$O$73,0),MATCH('FILL QUOTE-CALCULATIONS'!AY20,'COST - SELL'!$O$70:$S$70,0)))))</f>
        <v>11.8</v>
      </c>
      <c r="BI20" s="316">
        <f t="shared" si="28"/>
        <v>104.2</v>
      </c>
      <c r="BJ20" s="316">
        <f t="shared" si="29"/>
        <v>446.45</v>
      </c>
    </row>
    <row r="21" spans="2:62" x14ac:dyDescent="0.25">
      <c r="B21" s="231">
        <f t="shared" si="31"/>
        <v>7</v>
      </c>
      <c r="C21" s="180"/>
      <c r="D21" s="178"/>
      <c r="E21" s="179"/>
      <c r="F21" s="179"/>
      <c r="G21" s="671"/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>
        <v>1</v>
      </c>
      <c r="D22" s="178" t="s">
        <v>298</v>
      </c>
      <c r="E22" s="179" t="s">
        <v>131</v>
      </c>
      <c r="F22" s="179" t="s">
        <v>136</v>
      </c>
      <c r="G22" s="671">
        <v>2</v>
      </c>
      <c r="H22" s="906" t="s">
        <v>326</v>
      </c>
      <c r="I22" s="906" t="s">
        <v>323</v>
      </c>
      <c r="J22" s="179">
        <f t="shared" si="0"/>
        <v>18.5</v>
      </c>
      <c r="K22" s="672" t="s">
        <v>750</v>
      </c>
      <c r="L22" s="179" t="s">
        <v>122</v>
      </c>
      <c r="M22" s="672" t="s">
        <v>758</v>
      </c>
      <c r="N22" s="673">
        <v>115</v>
      </c>
      <c r="O22" s="673">
        <v>105.5</v>
      </c>
      <c r="P22" s="197" t="s">
        <v>287</v>
      </c>
      <c r="Q22" s="178" t="s">
        <v>736</v>
      </c>
      <c r="R22" s="176" t="s">
        <v>289</v>
      </c>
      <c r="S22" s="179" t="s">
        <v>289</v>
      </c>
      <c r="T22" s="895">
        <f t="shared" si="1"/>
        <v>187.25</v>
      </c>
      <c r="U22" s="668">
        <v>0.4</v>
      </c>
      <c r="V22" s="669">
        <v>0.5</v>
      </c>
      <c r="W22" s="896">
        <f t="shared" si="2"/>
        <v>100.35000000000001</v>
      </c>
      <c r="X22" s="694">
        <v>0.4</v>
      </c>
      <c r="Y22" s="690">
        <v>0.3</v>
      </c>
      <c r="Z22" s="667">
        <f t="shared" si="32"/>
        <v>172.56</v>
      </c>
      <c r="AA22" s="659">
        <f t="shared" si="33"/>
        <v>172.56</v>
      </c>
      <c r="AB22" s="895">
        <f t="shared" si="3"/>
        <v>287.60000000000002</v>
      </c>
      <c r="AC22" s="896">
        <f t="shared" si="34"/>
        <v>287.60000000000002</v>
      </c>
      <c r="AD22" s="181"/>
      <c r="AE22" s="883">
        <f t="shared" si="4"/>
        <v>12.5</v>
      </c>
      <c r="AF22" s="883">
        <f t="shared" si="5"/>
        <v>5.75</v>
      </c>
      <c r="AG22" s="883">
        <f t="shared" si="6"/>
        <v>9</v>
      </c>
      <c r="AH22" s="884">
        <f t="shared" si="7"/>
        <v>8</v>
      </c>
      <c r="AI22" s="317">
        <f t="shared" si="8"/>
        <v>248.25</v>
      </c>
      <c r="AJ22" s="304">
        <f t="shared" si="9"/>
        <v>122.5</v>
      </c>
      <c r="AK22" s="304">
        <f t="shared" si="10"/>
        <v>54</v>
      </c>
      <c r="AL22" s="318" t="str">
        <f t="shared" si="11"/>
        <v>VERTICAL</v>
      </c>
      <c r="AM22" s="318">
        <f t="shared" si="12"/>
        <v>4.5972222222222223</v>
      </c>
      <c r="AN22" s="319">
        <f t="shared" si="13"/>
        <v>5</v>
      </c>
      <c r="AO22" s="319">
        <f t="shared" si="14"/>
        <v>5</v>
      </c>
      <c r="AP22" s="318">
        <f t="shared" si="15"/>
        <v>18.5</v>
      </c>
      <c r="AQ22" s="320">
        <f t="shared" si="16"/>
        <v>18.5</v>
      </c>
      <c r="AR22" s="306">
        <f t="shared" si="17"/>
        <v>249</v>
      </c>
      <c r="AS22" s="308">
        <f t="shared" si="18"/>
        <v>116.5</v>
      </c>
      <c r="AT22" s="308">
        <f t="shared" si="19"/>
        <v>54</v>
      </c>
      <c r="AU22" s="308" t="str">
        <f t="shared" si="20"/>
        <v>VERTICAL</v>
      </c>
      <c r="AV22" s="308">
        <f t="shared" si="21"/>
        <v>16.400000000000002</v>
      </c>
      <c r="AW22" s="310">
        <f t="shared" si="22"/>
        <v>16.400000000000002</v>
      </c>
      <c r="AX22" s="321">
        <f t="shared" si="23"/>
        <v>10.416666666666666</v>
      </c>
      <c r="AY22" s="308">
        <f t="shared" si="24"/>
        <v>48</v>
      </c>
      <c r="AZ22" s="312">
        <f>IF(C22="","",IF(H22="STOCK",VLOOKUP(I22,'COST - SELL'!$B$26:$G$29,6,0),IF(H22="LINE-ATELIER",VLOOKUP(I22,'COST - SELL'!$J$26:$Q$29,8,0),IF(H22="LINE-VTLUX",VLOOKUP(I22,'COST - SELL'!$B$36:$I$51,8,0),0))))</f>
        <v>0</v>
      </c>
      <c r="BA22" s="313">
        <f t="shared" si="25"/>
        <v>0</v>
      </c>
      <c r="BB22" s="314">
        <f>IF(C22="","",IF(L22="N/A",0,VLOOKUP(L22,'COST - SELL'!$B$60:$I$63,8,0)))</f>
        <v>0</v>
      </c>
      <c r="BC22" s="313">
        <f t="shared" si="26"/>
        <v>0</v>
      </c>
      <c r="BD22" s="315">
        <f>IF(C22="","",IF(H22="C.O.M.",VLOOKUP(F22,'COST - SELL'!$J$11:$N$19,5,0),VLOOKUP(F22,'COST - SELL'!$B$11:$H$19,7,0)))</f>
        <v>37.450000000000003</v>
      </c>
      <c r="BE22" s="315">
        <f t="shared" si="27"/>
        <v>187.25</v>
      </c>
      <c r="BF22" s="313">
        <f t="shared" si="30"/>
        <v>187.25</v>
      </c>
      <c r="BG22" s="316">
        <f>IF(C22="","",IF(Q22="N/A",0,VLOOKUP(Q22,'COST - SELL'!$B$80:$I$91,8,0)*'FILL QUOTE-CALCULATIONS'!AX22))</f>
        <v>88.541666666666657</v>
      </c>
      <c r="BH22" s="316">
        <f>IF(C22="","",IF(S22="N/A",0,IF(AY22="N/A",0,INDEX('COST - SELL'!$O$70:$S$73,MATCH('FILL QUOTE-CALCULATIONS'!S22,'COST - SELL'!$O$70:$O$73,0),MATCH('FILL QUOTE-CALCULATIONS'!AY22,'COST - SELL'!$O$70:$S$70,0)))))</f>
        <v>11.8</v>
      </c>
      <c r="BI22" s="316">
        <f t="shared" si="28"/>
        <v>100.35000000000001</v>
      </c>
      <c r="BJ22" s="316">
        <f t="shared" si="29"/>
        <v>287.60000000000002</v>
      </c>
    </row>
    <row r="23" spans="2:62" x14ac:dyDescent="0.25">
      <c r="B23" s="231">
        <f t="shared" si="31"/>
        <v>9</v>
      </c>
      <c r="C23" s="180">
        <v>1</v>
      </c>
      <c r="D23" s="178" t="s">
        <v>298</v>
      </c>
      <c r="E23" s="179" t="s">
        <v>131</v>
      </c>
      <c r="F23" s="179" t="s">
        <v>116</v>
      </c>
      <c r="G23" s="671">
        <v>2</v>
      </c>
      <c r="H23" s="906" t="s">
        <v>187</v>
      </c>
      <c r="I23" s="906" t="s">
        <v>323</v>
      </c>
      <c r="J23" s="179" t="str">
        <f t="shared" ref="J23" si="36">IF(OR(C23="",C23&lt;1),"",IF(H23="C.O.M.",CEILING(AQ23,0.5),""))</f>
        <v/>
      </c>
      <c r="K23" s="672" t="s">
        <v>751</v>
      </c>
      <c r="L23" s="179" t="s">
        <v>122</v>
      </c>
      <c r="M23" s="672" t="s">
        <v>758</v>
      </c>
      <c r="N23" s="673">
        <v>115</v>
      </c>
      <c r="O23" s="673">
        <v>105.5</v>
      </c>
      <c r="P23" s="197" t="s">
        <v>287</v>
      </c>
      <c r="Q23" s="178" t="s">
        <v>736</v>
      </c>
      <c r="R23" s="176" t="s">
        <v>289</v>
      </c>
      <c r="S23" s="179" t="s">
        <v>289</v>
      </c>
      <c r="T23" s="895">
        <f t="shared" si="1"/>
        <v>342.25</v>
      </c>
      <c r="U23" s="668">
        <v>0.4</v>
      </c>
      <c r="V23" s="669">
        <v>0.5</v>
      </c>
      <c r="W23" s="896">
        <f t="shared" si="2"/>
        <v>100.35000000000001</v>
      </c>
      <c r="X23" s="694">
        <v>0.4</v>
      </c>
      <c r="Y23" s="690">
        <v>0.3</v>
      </c>
      <c r="Z23" s="667">
        <f t="shared" si="32"/>
        <v>265.56</v>
      </c>
      <c r="AA23" s="659">
        <f t="shared" si="33"/>
        <v>265.56</v>
      </c>
      <c r="AB23" s="895">
        <f t="shared" si="3"/>
        <v>442.6</v>
      </c>
      <c r="AC23" s="896">
        <f t="shared" si="34"/>
        <v>442.6</v>
      </c>
      <c r="AD23" s="181"/>
      <c r="AE23" s="883">
        <f t="shared" si="4"/>
        <v>12.5</v>
      </c>
      <c r="AF23" s="883">
        <f t="shared" si="5"/>
        <v>5.75</v>
      </c>
      <c r="AG23" s="883">
        <f t="shared" si="6"/>
        <v>9</v>
      </c>
      <c r="AH23" s="884">
        <f t="shared" si="7"/>
        <v>8</v>
      </c>
      <c r="AI23" s="317">
        <f t="shared" si="8"/>
        <v>248.25</v>
      </c>
      <c r="AJ23" s="304">
        <f t="shared" si="9"/>
        <v>122.5</v>
      </c>
      <c r="AK23" s="304">
        <f t="shared" si="10"/>
        <v>118</v>
      </c>
      <c r="AL23" s="318" t="str">
        <f t="shared" si="11"/>
        <v>VERTICAL</v>
      </c>
      <c r="AM23" s="318">
        <f t="shared" si="12"/>
        <v>2.1038135593220337</v>
      </c>
      <c r="AN23" s="319">
        <f t="shared" si="13"/>
        <v>2.25</v>
      </c>
      <c r="AO23" s="319">
        <f t="shared" si="14"/>
        <v>4.916666666666667</v>
      </c>
      <c r="AP23" s="318">
        <f t="shared" si="15"/>
        <v>8.25</v>
      </c>
      <c r="AQ23" s="320">
        <f t="shared" si="16"/>
        <v>8.25</v>
      </c>
      <c r="AR23" s="306">
        <f t="shared" si="17"/>
        <v>249</v>
      </c>
      <c r="AS23" s="308">
        <f t="shared" si="18"/>
        <v>116.5</v>
      </c>
      <c r="AT23" s="308">
        <f t="shared" si="19"/>
        <v>54</v>
      </c>
      <c r="AU23" s="308" t="str">
        <f t="shared" si="20"/>
        <v>VERTICAL</v>
      </c>
      <c r="AV23" s="308">
        <f t="shared" si="21"/>
        <v>16.400000000000002</v>
      </c>
      <c r="AW23" s="310">
        <f t="shared" si="22"/>
        <v>16.400000000000002</v>
      </c>
      <c r="AX23" s="321">
        <f t="shared" si="23"/>
        <v>10.416666666666666</v>
      </c>
      <c r="AY23" s="308">
        <f t="shared" si="24"/>
        <v>48</v>
      </c>
      <c r="AZ23" s="312">
        <f>IF(C23="","",IF(H23="STOCK",VLOOKUP(I23,'COST - SELL'!$B$26:$G$29,6,0),IF(H23="LINE-ATELIER",VLOOKUP(I23,'COST - SELL'!$J$26:$Q$29,8,0),IF(H23="LINE-VTLUX",VLOOKUP(I23,'COST - SELL'!$B$36:$I$51,8,0),0))))</f>
        <v>31.8</v>
      </c>
      <c r="BA23" s="313">
        <f t="shared" si="25"/>
        <v>262.35000000000002</v>
      </c>
      <c r="BB23" s="314">
        <f>IF(C23="","",IF(L23="N/A",0,VLOOKUP(L23,'COST - SELL'!$B$60:$I$63,8,0)))</f>
        <v>0</v>
      </c>
      <c r="BC23" s="313">
        <f t="shared" si="26"/>
        <v>0</v>
      </c>
      <c r="BD23" s="315">
        <f>IF(C23="","",IF(H23="C.O.M.",VLOOKUP(F23,'COST - SELL'!$J$11:$N$19,5,0),VLOOKUP(F23,'COST - SELL'!$B$11:$H$19,7,0)))</f>
        <v>16.25</v>
      </c>
      <c r="BE23" s="315">
        <f t="shared" si="27"/>
        <v>79.895833333333343</v>
      </c>
      <c r="BF23" s="313">
        <f t="shared" si="30"/>
        <v>342.25</v>
      </c>
      <c r="BG23" s="316">
        <f>IF(C23="","",IF(Q23="N/A",0,VLOOKUP(Q23,'COST - SELL'!$B$80:$I$91,8,0)*'FILL QUOTE-CALCULATIONS'!AX23))</f>
        <v>88.541666666666657</v>
      </c>
      <c r="BH23" s="316">
        <f>IF(C23="","",IF(S23="N/A",0,IF(AY23="N/A",0,INDEX('COST - SELL'!$O$70:$S$73,MATCH('FILL QUOTE-CALCULATIONS'!S23,'COST - SELL'!$O$70:$O$73,0),MATCH('FILL QUOTE-CALCULATIONS'!AY23,'COST - SELL'!$O$70:$S$70,0)))))</f>
        <v>11.8</v>
      </c>
      <c r="BI23" s="316">
        <f t="shared" si="28"/>
        <v>100.35000000000001</v>
      </c>
      <c r="BJ23" s="316">
        <f t="shared" si="29"/>
        <v>442.6</v>
      </c>
    </row>
    <row r="24" spans="2:62" x14ac:dyDescent="0.25">
      <c r="B24" s="231">
        <f t="shared" si="31"/>
        <v>10</v>
      </c>
      <c r="C24" s="180">
        <v>1</v>
      </c>
      <c r="D24" s="178" t="s">
        <v>298</v>
      </c>
      <c r="E24" s="179" t="s">
        <v>131</v>
      </c>
      <c r="F24" s="179" t="s">
        <v>136</v>
      </c>
      <c r="G24" s="671">
        <v>2</v>
      </c>
      <c r="H24" s="906" t="s">
        <v>326</v>
      </c>
      <c r="I24" s="906" t="s">
        <v>323</v>
      </c>
      <c r="J24" s="179">
        <f t="shared" si="0"/>
        <v>16.5</v>
      </c>
      <c r="K24" s="672" t="s">
        <v>750</v>
      </c>
      <c r="L24" s="179" t="s">
        <v>122</v>
      </c>
      <c r="M24" s="672" t="s">
        <v>759</v>
      </c>
      <c r="N24" s="673">
        <v>107</v>
      </c>
      <c r="O24" s="673">
        <v>104.5</v>
      </c>
      <c r="P24" s="197" t="s">
        <v>287</v>
      </c>
      <c r="Q24" s="178" t="s">
        <v>736</v>
      </c>
      <c r="R24" s="176" t="s">
        <v>289</v>
      </c>
      <c r="S24" s="179" t="s">
        <v>289</v>
      </c>
      <c r="T24" s="895">
        <f t="shared" si="1"/>
        <v>168.55</v>
      </c>
      <c r="U24" s="668">
        <v>0.4</v>
      </c>
      <c r="V24" s="669">
        <v>0.5</v>
      </c>
      <c r="W24" s="896">
        <f t="shared" si="2"/>
        <v>94.2</v>
      </c>
      <c r="X24" s="694">
        <v>0.4</v>
      </c>
      <c r="Y24" s="690">
        <v>0.3</v>
      </c>
      <c r="Z24" s="667">
        <f t="shared" si="32"/>
        <v>157.65</v>
      </c>
      <c r="AA24" s="659">
        <f t="shared" si="33"/>
        <v>157.65</v>
      </c>
      <c r="AB24" s="895">
        <f t="shared" si="3"/>
        <v>262.75</v>
      </c>
      <c r="AC24" s="896">
        <f t="shared" si="34"/>
        <v>262.75</v>
      </c>
      <c r="AD24" s="181"/>
      <c r="AE24" s="883">
        <f t="shared" si="4"/>
        <v>12.5</v>
      </c>
      <c r="AF24" s="883">
        <f t="shared" si="5"/>
        <v>5.3500000000000005</v>
      </c>
      <c r="AG24" s="883">
        <f t="shared" si="6"/>
        <v>9</v>
      </c>
      <c r="AH24" s="884">
        <f t="shared" si="7"/>
        <v>8</v>
      </c>
      <c r="AI24" s="317">
        <f t="shared" si="8"/>
        <v>231.85</v>
      </c>
      <c r="AJ24" s="304">
        <f t="shared" si="9"/>
        <v>121.5</v>
      </c>
      <c r="AK24" s="304">
        <f t="shared" si="10"/>
        <v>54</v>
      </c>
      <c r="AL24" s="318" t="str">
        <f t="shared" si="11"/>
        <v>VERTICAL</v>
      </c>
      <c r="AM24" s="318">
        <f t="shared" si="12"/>
        <v>4.2935185185185185</v>
      </c>
      <c r="AN24" s="319">
        <f t="shared" si="13"/>
        <v>4.5</v>
      </c>
      <c r="AO24" s="319">
        <f t="shared" si="14"/>
        <v>4.5</v>
      </c>
      <c r="AP24" s="318">
        <f t="shared" si="15"/>
        <v>16.5</v>
      </c>
      <c r="AQ24" s="320">
        <f t="shared" si="16"/>
        <v>16.5</v>
      </c>
      <c r="AR24" s="306">
        <f t="shared" si="17"/>
        <v>232</v>
      </c>
      <c r="AS24" s="308">
        <f t="shared" si="18"/>
        <v>115.5</v>
      </c>
      <c r="AT24" s="308">
        <f t="shared" si="19"/>
        <v>54</v>
      </c>
      <c r="AU24" s="308" t="str">
        <f t="shared" si="20"/>
        <v>VERTICAL</v>
      </c>
      <c r="AV24" s="308">
        <f t="shared" si="21"/>
        <v>15.4</v>
      </c>
      <c r="AW24" s="310">
        <f t="shared" si="22"/>
        <v>15.4</v>
      </c>
      <c r="AX24" s="321">
        <f t="shared" si="23"/>
        <v>9.6920289855072461</v>
      </c>
      <c r="AY24" s="308">
        <f t="shared" si="24"/>
        <v>48</v>
      </c>
      <c r="AZ24" s="312">
        <f>IF(C24="","",IF(H24="STOCK",VLOOKUP(I24,'COST - SELL'!$B$26:$G$29,6,0),IF(H24="LINE-ATELIER",VLOOKUP(I24,'COST - SELL'!$J$26:$Q$29,8,0),IF(H24="LINE-VTLUX",VLOOKUP(I24,'COST - SELL'!$B$36:$I$51,8,0),0))))</f>
        <v>0</v>
      </c>
      <c r="BA24" s="313">
        <f t="shared" si="25"/>
        <v>0</v>
      </c>
      <c r="BB24" s="314">
        <f>IF(C24="","",IF(L24="N/A",0,VLOOKUP(L24,'COST - SELL'!$B$60:$I$63,8,0)))</f>
        <v>0</v>
      </c>
      <c r="BC24" s="313">
        <f t="shared" si="26"/>
        <v>0</v>
      </c>
      <c r="BD24" s="315">
        <f>IF(C24="","",IF(H24="C.O.M.",VLOOKUP(F24,'COST - SELL'!$J$11:$N$19,5,0),VLOOKUP(F24,'COST - SELL'!$B$11:$H$19,7,0)))</f>
        <v>37.450000000000003</v>
      </c>
      <c r="BE24" s="315">
        <f t="shared" si="27"/>
        <v>168.52500000000001</v>
      </c>
      <c r="BF24" s="313">
        <f t="shared" si="30"/>
        <v>168.55</v>
      </c>
      <c r="BG24" s="316">
        <f>IF(C24="","",IF(Q24="N/A",0,VLOOKUP(Q24,'COST - SELL'!$B$80:$I$91,8,0)*'FILL QUOTE-CALCULATIONS'!AX24))</f>
        <v>82.382246376811594</v>
      </c>
      <c r="BH24" s="316">
        <f>IF(C24="","",IF(S24="N/A",0,IF(AY24="N/A",0,INDEX('COST - SELL'!$O$70:$S$73,MATCH('FILL QUOTE-CALCULATIONS'!S24,'COST - SELL'!$O$70:$O$73,0),MATCH('FILL QUOTE-CALCULATIONS'!AY24,'COST - SELL'!$O$70:$S$70,0)))))</f>
        <v>11.8</v>
      </c>
      <c r="BI24" s="316">
        <f t="shared" si="28"/>
        <v>94.2</v>
      </c>
      <c r="BJ24" s="316">
        <f t="shared" si="29"/>
        <v>262.75</v>
      </c>
    </row>
    <row r="25" spans="2:62" x14ac:dyDescent="0.25">
      <c r="B25" s="231">
        <f t="shared" si="31"/>
        <v>11</v>
      </c>
      <c r="C25" s="180">
        <v>1</v>
      </c>
      <c r="D25" s="178" t="s">
        <v>298</v>
      </c>
      <c r="E25" s="179" t="s">
        <v>131</v>
      </c>
      <c r="F25" s="179" t="s">
        <v>116</v>
      </c>
      <c r="G25" s="671">
        <v>2</v>
      </c>
      <c r="H25" s="906" t="s">
        <v>187</v>
      </c>
      <c r="I25" s="906" t="s">
        <v>323</v>
      </c>
      <c r="J25" s="179" t="str">
        <f t="shared" ref="J25" si="37">IF(OR(C25="",C25&lt;1),"",IF(H25="C.O.M.",CEILING(AQ25,0.5),""))</f>
        <v/>
      </c>
      <c r="K25" s="672" t="s">
        <v>751</v>
      </c>
      <c r="L25" s="179" t="s">
        <v>122</v>
      </c>
      <c r="M25" s="672" t="s">
        <v>759</v>
      </c>
      <c r="N25" s="673">
        <v>107</v>
      </c>
      <c r="O25" s="673">
        <v>104.5</v>
      </c>
      <c r="P25" s="197" t="s">
        <v>287</v>
      </c>
      <c r="Q25" s="178" t="s">
        <v>736</v>
      </c>
      <c r="R25" s="176" t="s">
        <v>289</v>
      </c>
      <c r="S25" s="179" t="s">
        <v>289</v>
      </c>
      <c r="T25" s="895">
        <f t="shared" si="1"/>
        <v>309.55</v>
      </c>
      <c r="U25" s="668">
        <v>0.4</v>
      </c>
      <c r="V25" s="669">
        <v>0.5</v>
      </c>
      <c r="W25" s="896">
        <f t="shared" si="2"/>
        <v>94.2</v>
      </c>
      <c r="X25" s="694">
        <v>0.4</v>
      </c>
      <c r="Y25" s="690">
        <v>0.3</v>
      </c>
      <c r="Z25" s="667">
        <f t="shared" si="32"/>
        <v>242.25</v>
      </c>
      <c r="AA25" s="659">
        <f t="shared" si="33"/>
        <v>242.25</v>
      </c>
      <c r="AB25" s="895">
        <f t="shared" si="3"/>
        <v>403.75</v>
      </c>
      <c r="AC25" s="896">
        <f t="shared" si="34"/>
        <v>403.75</v>
      </c>
      <c r="AD25" s="181"/>
      <c r="AE25" s="883">
        <f t="shared" si="4"/>
        <v>12.5</v>
      </c>
      <c r="AF25" s="883">
        <f t="shared" si="5"/>
        <v>5.3500000000000005</v>
      </c>
      <c r="AG25" s="883">
        <f t="shared" si="6"/>
        <v>9</v>
      </c>
      <c r="AH25" s="884">
        <f t="shared" si="7"/>
        <v>8</v>
      </c>
      <c r="AI25" s="317">
        <f t="shared" si="8"/>
        <v>231.85</v>
      </c>
      <c r="AJ25" s="304">
        <f t="shared" si="9"/>
        <v>121.5</v>
      </c>
      <c r="AK25" s="304">
        <f t="shared" si="10"/>
        <v>118</v>
      </c>
      <c r="AL25" s="318" t="str">
        <f t="shared" si="11"/>
        <v>VERTICAL</v>
      </c>
      <c r="AM25" s="318">
        <f t="shared" si="12"/>
        <v>1.9648305084745763</v>
      </c>
      <c r="AN25" s="319">
        <f t="shared" si="13"/>
        <v>2</v>
      </c>
      <c r="AO25" s="319">
        <f t="shared" si="14"/>
        <v>4.3703703703703702</v>
      </c>
      <c r="AP25" s="318">
        <f t="shared" si="15"/>
        <v>7.5</v>
      </c>
      <c r="AQ25" s="320">
        <f t="shared" si="16"/>
        <v>7.5</v>
      </c>
      <c r="AR25" s="306">
        <f t="shared" si="17"/>
        <v>232</v>
      </c>
      <c r="AS25" s="308">
        <f t="shared" si="18"/>
        <v>115.5</v>
      </c>
      <c r="AT25" s="308">
        <f t="shared" si="19"/>
        <v>54</v>
      </c>
      <c r="AU25" s="308" t="str">
        <f t="shared" si="20"/>
        <v>VERTICAL</v>
      </c>
      <c r="AV25" s="308">
        <f t="shared" si="21"/>
        <v>15.4</v>
      </c>
      <c r="AW25" s="310">
        <f t="shared" si="22"/>
        <v>15.4</v>
      </c>
      <c r="AX25" s="321">
        <f t="shared" si="23"/>
        <v>9.6920289855072461</v>
      </c>
      <c r="AY25" s="308">
        <f t="shared" ref="AY25:AY62" si="38">IF(C25="","",IF(S25="N/A","N/A",IF(O25&lt;102,36,IF(O25&gt;136,"N/A",CEILING(O25-60,12)))))</f>
        <v>48</v>
      </c>
      <c r="AZ25" s="312">
        <f>IF(C25="","",IF(H25="STOCK",VLOOKUP(I25,'COST - SELL'!$B$26:$G$29,6,0),IF(H25="LINE-ATELIER",VLOOKUP(I25,'COST - SELL'!$J$26:$Q$29,8,0),IF(H25="LINE-VTLUX",VLOOKUP(I25,'COST - SELL'!$B$36:$I$51,8,0),0))))</f>
        <v>31.8</v>
      </c>
      <c r="BA25" s="313">
        <f t="shared" si="25"/>
        <v>238.5</v>
      </c>
      <c r="BB25" s="314">
        <f>IF(C25="","",IF(L25="N/A",0,VLOOKUP(L25,'COST - SELL'!$B$60:$I$63,8,0)))</f>
        <v>0</v>
      </c>
      <c r="BC25" s="313">
        <f t="shared" si="26"/>
        <v>0</v>
      </c>
      <c r="BD25" s="315">
        <f>IF(C25="","",IF(H25="C.O.M.",VLOOKUP(F25,'COST - SELL'!$J$11:$N$19,5,0),VLOOKUP(F25,'COST - SELL'!$B$11:$H$19,7,0)))</f>
        <v>16.25</v>
      </c>
      <c r="BE25" s="315">
        <f t="shared" si="27"/>
        <v>71.018518518518519</v>
      </c>
      <c r="BF25" s="313">
        <f t="shared" si="30"/>
        <v>309.55</v>
      </c>
      <c r="BG25" s="316">
        <f>IF(C25="","",IF(Q25="N/A",0,VLOOKUP(Q25,'COST - SELL'!$B$80:$I$91,8,0)*'FILL QUOTE-CALCULATIONS'!AX25))</f>
        <v>82.382246376811594</v>
      </c>
      <c r="BH25" s="316">
        <f>IF(C25="","",IF(S25="N/A",0,IF(AY25="N/A",0,INDEX('COST - SELL'!$O$70:$S$73,MATCH('FILL QUOTE-CALCULATIONS'!S25,'COST - SELL'!$O$70:$O$73,0),MATCH('FILL QUOTE-CALCULATIONS'!AY25,'COST - SELL'!$O$70:$S$70,0)))))</f>
        <v>11.8</v>
      </c>
      <c r="BI25" s="316">
        <f t="shared" si="28"/>
        <v>94.2</v>
      </c>
      <c r="BJ25" s="316">
        <f t="shared" si="29"/>
        <v>403.75</v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8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8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8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8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8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8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8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8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8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8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8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8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8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8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8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8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8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8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8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8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8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8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8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8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8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8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8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8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8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8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8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8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8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8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8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8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8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3" t="str">
        <f>IF('FILL QUOTE-CALCULATIONS'!S4="INGLES","DESCRIPTION OF ADDITIONAL SERVICES","DESCRIPCION DE SERVICIOS ADICIONALES")</f>
        <v>DESCRIPTION OF ADDITIONAL SERVICES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.5" thickBot="1" x14ac:dyDescent="0.3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/>
      <c r="AD64" s="181"/>
    </row>
    <row r="65" spans="2:35" ht="18.75" x14ac:dyDescent="0.25">
      <c r="B65" s="231">
        <f t="shared" ref="B65:B67" si="39">1+B64</f>
        <v>2</v>
      </c>
      <c r="C65" s="180"/>
      <c r="D65" s="23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/>
      <c r="AD65" s="181"/>
      <c r="AF65" s="222"/>
    </row>
    <row r="66" spans="2:35" ht="18.75" x14ac:dyDescent="0.25">
      <c r="B66" s="231">
        <f t="shared" si="39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40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9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40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5548.2500000000009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1">
        <f>AC71/AC69</f>
        <v>0.40000000000000013</v>
      </c>
      <c r="AD70" s="181"/>
      <c r="AE70" s="888">
        <f>AC4</f>
        <v>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2">
        <f>SUM(AC15:AC62)-SUM(AA15:AA62)</f>
        <v>2219.3000000000011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4">
        <f>(AC69-AC71)+AC72</f>
        <v>3328.95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Quoted by: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8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9000000}">
          <x14:formula1>
            <xm:f>'DROP LIST'!$P$16:$P$25</xm:f>
          </x14:formula1>
          <xm:sqref>U15:U62 X15:X62</xm:sqref>
        </x14:dataValidation>
        <x14:dataValidation type="list" allowBlank="1" showInputMessage="1" showErrorMessage="1" xr:uid="{00000000-0002-0000-0100-00000A000000}">
          <x14:formula1>
            <xm:f>'DROP LIST'!$F$36:$F$38</xm:f>
          </x14:formula1>
          <xm:sqref>L4</xm:sqref>
        </x14:dataValidation>
        <x14:dataValidation type="list" allowBlank="1" showInputMessage="1" showErrorMessage="1" xr:uid="{00000000-0002-0000-0100-00000B000000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C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100-00000D000000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E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9.140625"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4" t="s">
        <v>713</v>
      </c>
      <c r="D3" s="925"/>
      <c r="E3" s="925"/>
      <c r="F3" s="926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1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2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2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2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2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2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2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2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2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2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2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3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40625"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37" t="s">
        <v>172</v>
      </c>
      <c r="G7" s="938"/>
      <c r="H7" s="939"/>
      <c r="J7" s="940" t="s">
        <v>329</v>
      </c>
      <c r="L7" s="937" t="s">
        <v>172</v>
      </c>
      <c r="M7" s="938"/>
      <c r="N7" s="939"/>
    </row>
    <row r="8" spans="2:16" ht="15" hidden="1" customHeight="1" x14ac:dyDescent="0.25">
      <c r="B8" s="949" t="s">
        <v>328</v>
      </c>
      <c r="C8" s="950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41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51"/>
      <c r="C9" s="952"/>
      <c r="D9" s="437">
        <v>0.4</v>
      </c>
      <c r="F9" s="438" t="s">
        <v>77</v>
      </c>
      <c r="G9" s="438" t="s">
        <v>174</v>
      </c>
      <c r="H9" s="438" t="s">
        <v>175</v>
      </c>
      <c r="J9" s="942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37" t="s">
        <v>172</v>
      </c>
      <c r="F22" s="938"/>
      <c r="G22" s="939"/>
      <c r="O22" s="937" t="s">
        <v>172</v>
      </c>
      <c r="P22" s="938"/>
      <c r="Q22" s="939"/>
    </row>
    <row r="23" spans="2:17" hidden="1" x14ac:dyDescent="0.25">
      <c r="B23" s="943" t="s">
        <v>181</v>
      </c>
      <c r="C23" s="944"/>
      <c r="D23" s="945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43" t="s">
        <v>185</v>
      </c>
      <c r="K23" s="944"/>
      <c r="L23" s="944"/>
      <c r="M23" s="944"/>
      <c r="N23" s="945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46"/>
      <c r="C24" s="947"/>
      <c r="D24" s="948"/>
      <c r="E24" s="438" t="s">
        <v>77</v>
      </c>
      <c r="F24" s="438" t="s">
        <v>174</v>
      </c>
      <c r="G24" s="438" t="s">
        <v>175</v>
      </c>
      <c r="J24" s="946"/>
      <c r="K24" s="947"/>
      <c r="L24" s="947"/>
      <c r="M24" s="947"/>
      <c r="N24" s="948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37" t="s">
        <v>172</v>
      </c>
      <c r="H32" s="938"/>
      <c r="I32" s="939"/>
    </row>
    <row r="33" spans="1:12" hidden="1" x14ac:dyDescent="0.25">
      <c r="B33" s="953" t="s">
        <v>662</v>
      </c>
      <c r="C33" s="954"/>
      <c r="D33" s="954"/>
      <c r="E33" s="954"/>
      <c r="F33" s="955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56"/>
      <c r="C34" s="957"/>
      <c r="D34" s="957"/>
      <c r="E34" s="957"/>
      <c r="F34" s="958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37" t="s">
        <v>172</v>
      </c>
      <c r="H56" s="938"/>
      <c r="I56" s="939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4" t="s">
        <v>172</v>
      </c>
      <c r="H67" s="935"/>
      <c r="I67" s="935"/>
      <c r="J67" s="935"/>
      <c r="K67" s="934" t="s">
        <v>172</v>
      </c>
      <c r="L67" s="935"/>
      <c r="M67" s="935"/>
      <c r="N67" s="936"/>
      <c r="O67" s="457"/>
      <c r="P67" s="934" t="s">
        <v>172</v>
      </c>
      <c r="Q67" s="935"/>
      <c r="R67" s="935"/>
      <c r="S67" s="936"/>
    </row>
    <row r="68" spans="2:19" ht="15.75" hidden="1" x14ac:dyDescent="0.25">
      <c r="C68" s="934" t="s">
        <v>196</v>
      </c>
      <c r="D68" s="935"/>
      <c r="E68" s="935"/>
      <c r="F68" s="936"/>
      <c r="G68" s="962">
        <f>'MARK UP''s'!D12</f>
        <v>0.5</v>
      </c>
      <c r="H68" s="963"/>
      <c r="I68" s="963"/>
      <c r="J68" s="963"/>
      <c r="K68" s="962">
        <f>'MARK UP''s'!E12</f>
        <v>0.4</v>
      </c>
      <c r="L68" s="963"/>
      <c r="M68" s="963"/>
      <c r="N68" s="964"/>
      <c r="O68" s="458"/>
      <c r="P68" s="962">
        <f>'MARK UP''s'!F12</f>
        <v>0.3</v>
      </c>
      <c r="Q68" s="963"/>
      <c r="R68" s="963"/>
      <c r="S68" s="964"/>
    </row>
    <row r="69" spans="2:19" ht="16.5" hidden="1" thickBot="1" x14ac:dyDescent="0.3">
      <c r="C69" s="959" t="s">
        <v>77</v>
      </c>
      <c r="D69" s="960"/>
      <c r="E69" s="960"/>
      <c r="F69" s="961"/>
      <c r="G69" s="959" t="s">
        <v>77</v>
      </c>
      <c r="H69" s="960"/>
      <c r="I69" s="960"/>
      <c r="J69" s="960"/>
      <c r="K69" s="959" t="s">
        <v>174</v>
      </c>
      <c r="L69" s="960"/>
      <c r="M69" s="960"/>
      <c r="N69" s="961"/>
      <c r="O69" s="459"/>
      <c r="P69" s="959" t="s">
        <v>175</v>
      </c>
      <c r="Q69" s="960"/>
      <c r="R69" s="960"/>
      <c r="S69" s="961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65" t="s">
        <v>172</v>
      </c>
      <c r="E78" s="966"/>
      <c r="F78" s="967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27" t="s">
        <v>708</v>
      </c>
      <c r="C98" s="928"/>
      <c r="D98" s="931" t="s">
        <v>339</v>
      </c>
      <c r="E98" s="932"/>
      <c r="F98" s="932"/>
      <c r="G98" s="932"/>
      <c r="H98" s="932"/>
      <c r="I98" s="933"/>
    </row>
    <row r="99" spans="2:9" ht="15.75" hidden="1" thickBot="1" x14ac:dyDescent="0.3">
      <c r="B99" s="929"/>
      <c r="C99" s="930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40625"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9.140625"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4" t="s">
        <v>95</v>
      </c>
      <c r="Q4" s="915"/>
      <c r="R4" s="915"/>
      <c r="S4" s="915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00000000-0002-0000-0500-000001000000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00000000-0002-0000-0500-000002000000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00000000-0002-0000-0500-000003000000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00000000-0002-0000-0500-000004000000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00000000-0002-0000-0500-000005000000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00000000-0002-0000-0500-000006000000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00000000-0002-0000-0500-00000700000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00000000-0002-0000-0500-000008000000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00000000-0002-0000-0500-000009000000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3" t="str">
        <f>IF('CALC - RIPP-STD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6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600-000000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600-000001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6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6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6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6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6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6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6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6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6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6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6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3" t="str">
        <f>IF('CALC -P.P. - STD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7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7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7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7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7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7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7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7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7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7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7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7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7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700-00000C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40625"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3" t="str">
        <f>IF('CALC - RIPP- H-RAIL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8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8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800-000001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800-000002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800-000003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800-000004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800-000005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800-000006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800-000007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800-000008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800-000009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800-00000A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8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800-00000C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SELL'!Área_de_impresión</vt:lpstr>
      <vt:lpstr>QUOTE!Área_de_impresión</vt:lpstr>
      <vt:lpstr>'TABLA PRECIOS BOD TOP GROMMET'!Área_de_impresión</vt:lpstr>
      <vt:lpstr>'TABLA PRECIOS SHEER TOP GROMMET'!Área_de_impresión</vt:lpstr>
      <vt:lpstr>'TABLA PRECIOS BOD TOP GROMMET'!Títulos_a_imprimir</vt:lpstr>
      <vt:lpstr>'TABLA PRECIOS SHEER TOP GROMMET'!Títulos_a_imprimir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Esau Gomez</cp:lastModifiedBy>
  <cp:lastPrinted>2025-10-14T19:38:07Z</cp:lastPrinted>
  <dcterms:created xsi:type="dcterms:W3CDTF">2021-02-10T23:07:35Z</dcterms:created>
  <dcterms:modified xsi:type="dcterms:W3CDTF">2025-10-21T00:47:28Z</dcterms:modified>
</cp:coreProperties>
</file>