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PERLA ROSAS\"/>
    </mc:Choice>
  </mc:AlternateContent>
  <xr:revisionPtr revIDLastSave="0" documentId="8_{D585D296-1CAE-4639-8D49-DB9DE3FF4777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18" i="5" l="1"/>
  <c r="BG17" i="5"/>
  <c r="BG16" i="5"/>
  <c r="BG15" i="5"/>
  <c r="R12" i="6"/>
  <c r="R13" i="6"/>
  <c r="J31" i="5"/>
  <c r="J30" i="5"/>
  <c r="J29" i="5"/>
  <c r="J28" i="5"/>
  <c r="J27" i="5"/>
  <c r="J26" i="5"/>
  <c r="J25" i="5"/>
  <c r="J19" i="5"/>
  <c r="AA33" i="6"/>
  <c r="J24" i="5"/>
  <c r="J23" i="5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AY15" i="5"/>
  <c r="BH15" i="5" s="1"/>
  <c r="AZ15" i="5"/>
  <c r="BB15" i="5"/>
  <c r="BD15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J16" i="5"/>
  <c r="AE16" i="5"/>
  <c r="AF16" i="5"/>
  <c r="AG16" i="5"/>
  <c r="AH16" i="5"/>
  <c r="AJ16" i="5"/>
  <c r="AK16" i="5"/>
  <c r="AS16" i="5"/>
  <c r="AT16" i="5"/>
  <c r="AX16" i="5"/>
  <c r="AY16" i="5"/>
  <c r="BH16" i="5" s="1"/>
  <c r="AZ16" i="5"/>
  <c r="BB16" i="5"/>
  <c r="BD16" i="5"/>
  <c r="J17" i="5"/>
  <c r="AE17" i="5"/>
  <c r="AF17" i="5"/>
  <c r="AI17" i="5" s="1"/>
  <c r="AG17" i="5"/>
  <c r="AH17" i="5"/>
  <c r="AK17" i="5"/>
  <c r="AS17" i="5"/>
  <c r="AT17" i="5"/>
  <c r="AX17" i="5"/>
  <c r="AY17" i="5"/>
  <c r="BH17" i="5" s="1"/>
  <c r="AZ17" i="5"/>
  <c r="BB17" i="5"/>
  <c r="BC17" i="5" s="1"/>
  <c r="BD17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J34" i="6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E34" i="6" l="1"/>
  <c r="M34" i="6" s="1"/>
  <c r="H52" i="6"/>
  <c r="AA37" i="6"/>
  <c r="AA32" i="6"/>
  <c r="AA34" i="6"/>
  <c r="P32" i="6"/>
  <c r="O34" i="6"/>
  <c r="E39" i="6"/>
  <c r="M39" i="6" s="1"/>
  <c r="E42" i="6"/>
  <c r="M42" i="6" s="1"/>
  <c r="D55" i="6"/>
  <c r="H56" i="6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7" i="5" l="1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O17" i="5" l="1"/>
  <c r="BE17" i="5" s="1"/>
  <c r="AQ17" i="5"/>
  <c r="BF17" i="5"/>
  <c r="T17" i="5" s="1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T20" i="5"/>
  <c r="T22" i="5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E15" i="10" s="1"/>
  <c r="C14" i="10"/>
  <c r="E14" i="10" s="1"/>
  <c r="BJ17" i="5" l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D85" i="10" s="1"/>
  <c r="C85" i="10"/>
  <c r="T18" i="5" l="1"/>
  <c r="Z18" i="5" s="1"/>
  <c r="AA18" i="5" s="1"/>
  <c r="T16" i="5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B299" i="20"/>
  <c r="AG299" i="20" s="1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G291" i="20" s="1"/>
  <c r="AB290" i="20"/>
  <c r="AG290" i="20" s="1"/>
  <c r="AB289" i="20"/>
  <c r="AB288" i="20"/>
  <c r="AB287" i="20"/>
  <c r="AG287" i="20" s="1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G279" i="20" s="1"/>
  <c r="AB278" i="20"/>
  <c r="AG278" i="20" s="1"/>
  <c r="AB277" i="20"/>
  <c r="AB276" i="20"/>
  <c r="AB275" i="20"/>
  <c r="AG275" i="20" s="1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G267" i="20" s="1"/>
  <c r="AB266" i="20"/>
  <c r="AG266" i="20" s="1"/>
  <c r="AB265" i="20"/>
  <c r="AB264" i="20"/>
  <c r="AB263" i="20"/>
  <c r="AG263" i="20" s="1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G255" i="20" s="1"/>
  <c r="AB254" i="20"/>
  <c r="AG254" i="20" s="1"/>
  <c r="AB253" i="20"/>
  <c r="AB252" i="20"/>
  <c r="AB250" i="20"/>
  <c r="AG250" i="20" s="1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G242" i="20" s="1"/>
  <c r="AB241" i="20"/>
  <c r="AG241" i="20" s="1"/>
  <c r="AB240" i="20"/>
  <c r="AB239" i="20"/>
  <c r="AB238" i="20"/>
  <c r="AG238" i="20" s="1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G230" i="20" s="1"/>
  <c r="AB229" i="20"/>
  <c r="AG229" i="20" s="1"/>
  <c r="AB228" i="20"/>
  <c r="AB227" i="20"/>
  <c r="AB226" i="20"/>
  <c r="AG226" i="20" s="1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G218" i="20" s="1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U299" i="20"/>
  <c r="Z299" i="20" s="1"/>
  <c r="U298" i="20"/>
  <c r="Z298" i="20" s="1"/>
  <c r="U297" i="20"/>
  <c r="Z297" i="20" s="1"/>
  <c r="U296" i="20"/>
  <c r="Z296" i="20" s="1"/>
  <c r="Z295" i="20" s="1"/>
  <c r="U295" i="20"/>
  <c r="U294" i="20"/>
  <c r="U293" i="20"/>
  <c r="Z293" i="20" s="1"/>
  <c r="U292" i="20"/>
  <c r="Z292" i="20" s="1"/>
  <c r="U291" i="20"/>
  <c r="Z291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Z283" i="20" s="1"/>
  <c r="U283" i="20"/>
  <c r="U282" i="20"/>
  <c r="U281" i="20"/>
  <c r="Z281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Z246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Z234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16" i="20" l="1"/>
  <c r="Z227" i="20"/>
  <c r="Z253" i="20"/>
  <c r="Z265" i="20"/>
  <c r="AG204" i="20"/>
  <c r="AG253" i="20"/>
  <c r="AG252" i="20"/>
  <c r="AG265" i="20"/>
  <c r="AG276" i="20"/>
  <c r="Z204" i="20"/>
  <c r="Z203" i="20"/>
  <c r="Z210" i="20"/>
  <c r="Z228" i="20"/>
  <c r="Z240" i="20"/>
  <c r="Z259" i="20"/>
  <c r="Z277" i="20"/>
  <c r="Z289" i="20"/>
  <c r="AG216" i="20"/>
  <c r="AG228" i="20"/>
  <c r="AG240" i="20"/>
  <c r="AG277" i="20"/>
  <c r="AG289" i="20"/>
  <c r="Z222" i="20"/>
  <c r="Z271" i="20"/>
  <c r="Z276" i="20"/>
  <c r="AG222" i="20"/>
  <c r="AG234" i="20"/>
  <c r="AG259" i="20"/>
  <c r="AG271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R39" i="22" s="1"/>
  <c r="AT39" i="22" s="1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N38" i="22"/>
  <c r="AM38" i="22"/>
  <c r="AP38" i="22" s="1"/>
  <c r="AK38" i="22"/>
  <c r="J38" i="22"/>
  <c r="BH37" i="22"/>
  <c r="BI37" i="22" s="1"/>
  <c r="BE37" i="22"/>
  <c r="BD37" i="22"/>
  <c r="AZ37" i="22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N36" i="22"/>
  <c r="AM36" i="22"/>
  <c r="AP36" i="22" s="1"/>
  <c r="AK36" i="22"/>
  <c r="J36" i="22"/>
  <c r="BH35" i="22"/>
  <c r="BI35" i="22" s="1"/>
  <c r="BE35" i="22"/>
  <c r="BD35" i="22"/>
  <c r="AZ35" i="22"/>
  <c r="AY35" i="22"/>
  <c r="AQ35" i="22"/>
  <c r="AR35" i="22" s="1"/>
  <c r="AN35" i="22"/>
  <c r="AP35" i="22" s="1"/>
  <c r="AM35" i="22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P34" i="22" s="1"/>
  <c r="AM34" i="22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55" i="21" s="1"/>
  <c r="AD48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B12" i="21"/>
  <c r="AD44" i="21"/>
  <c r="AD60" i="21"/>
  <c r="AD17" i="21"/>
  <c r="AE17" i="21" s="1"/>
  <c r="AD54" i="21"/>
  <c r="AP18" i="22"/>
  <c r="W19" i="22"/>
  <c r="X19" i="22" s="1"/>
  <c r="AL21" i="22"/>
  <c r="AL22" i="22"/>
  <c r="AR40" i="22"/>
  <c r="BA43" i="22"/>
  <c r="AR45" i="22"/>
  <c r="AR48" i="22"/>
  <c r="AP62" i="22"/>
  <c r="AD47" i="21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D18" i="21"/>
  <c r="AD20" i="21"/>
  <c r="AD35" i="21"/>
  <c r="AD50" i="21"/>
  <c r="AD62" i="21"/>
  <c r="BA15" i="22"/>
  <c r="W20" i="22"/>
  <c r="AL29" i="22"/>
  <c r="AR58" i="22"/>
  <c r="AR61" i="22"/>
  <c r="AD53" i="21"/>
  <c r="BA18" i="22"/>
  <c r="AD20" i="22"/>
  <c r="BA30" i="22"/>
  <c r="BA37" i="22"/>
  <c r="BA42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F18" i="22"/>
  <c r="AE18" i="22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X20" i="22"/>
  <c r="Y20" i="22" s="1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X16" i="22" l="1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44" i="20"/>
  <c r="Z57" i="20"/>
  <c r="Z56" i="20"/>
  <c r="Z7" i="20"/>
  <c r="Z8" i="20"/>
  <c r="Z118" i="20"/>
  <c r="Z129" i="20"/>
  <c r="Z130" i="20"/>
  <c r="Z142" i="20"/>
  <c r="AG185" i="20"/>
  <c r="AG197" i="20"/>
  <c r="AG7" i="20"/>
  <c r="AG8" i="20"/>
  <c r="Z161" i="20"/>
  <c r="Z185" i="20"/>
  <c r="X17" i="18"/>
  <c r="Y17" i="18" s="1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P61" i="18"/>
  <c r="AR61" i="18" s="1"/>
  <c r="AT61" i="18" s="1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N56" i="18"/>
  <c r="AM56" i="18"/>
  <c r="AP56" i="18" s="1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N48" i="18"/>
  <c r="AM48" i="18"/>
  <c r="AP48" i="18" s="1"/>
  <c r="AR48" i="18" s="1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R32" i="18"/>
  <c r="AQ32" i="18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R24" i="18"/>
  <c r="AQ24" i="18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AZ21" i="18"/>
  <c r="AY21" i="18"/>
  <c r="BA21" i="18" s="1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AY20" i="18"/>
  <c r="BA20" i="18" s="1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P18" i="18" s="1"/>
  <c r="AM18" i="18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BA16" i="18" s="1"/>
  <c r="AY16" i="18"/>
  <c r="AR16" i="18"/>
  <c r="AQ16" i="18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5" i="18" s="1"/>
  <c r="AO15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AC35" i="15"/>
  <c r="V35" i="15"/>
  <c r="AC29" i="15"/>
  <c r="V29" i="15"/>
  <c r="AC23" i="15"/>
  <c r="V23" i="15"/>
  <c r="AC17" i="15"/>
  <c r="AD11" i="15"/>
  <c r="AD38" i="15" s="1"/>
  <c r="W11" i="15"/>
  <c r="W60" i="15" s="1"/>
  <c r="AD47" i="15"/>
  <c r="AD41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P53" i="17" s="1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BA48" i="17" s="1"/>
  <c r="AY48" i="17"/>
  <c r="AQ48" i="17"/>
  <c r="AN48" i="17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K47" i="17"/>
  <c r="J47" i="17"/>
  <c r="BH46" i="17"/>
  <c r="BI46" i="17" s="1"/>
  <c r="BE46" i="17"/>
  <c r="BD46" i="17"/>
  <c r="BM46" i="17" s="1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BA36" i="17" s="1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BA34" i="17" s="1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P32" i="17" s="1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P27" i="17" s="1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N62" i="15"/>
  <c r="AP62" i="15" s="1"/>
  <c r="AR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AY56" i="15"/>
  <c r="BA56" i="15" s="1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K48" i="15"/>
  <c r="J48" i="15"/>
  <c r="BH47" i="15"/>
  <c r="BI47" i="15" s="1"/>
  <c r="BE47" i="15"/>
  <c r="BD47" i="15"/>
  <c r="BM47" i="15" s="1"/>
  <c r="AZ47" i="15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P39" i="15" s="1"/>
  <c r="AR39" i="15" s="1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P35" i="15" s="1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R31" i="15"/>
  <c r="AQ31" i="15"/>
  <c r="AN31" i="15"/>
  <c r="AM31" i="15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AZ28" i="15"/>
  <c r="BA28" i="15" s="1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AY24" i="15"/>
  <c r="BA24" i="15" s="1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P19" i="15" s="1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AY16" i="15"/>
  <c r="BA16" i="15" s="1"/>
  <c r="AQ16" i="15"/>
  <c r="AR16" i="15" s="1"/>
  <c r="AN16" i="15"/>
  <c r="AP16" i="15" s="1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7" i="18" l="1"/>
  <c r="AP22" i="15"/>
  <c r="BA22" i="15"/>
  <c r="AP24" i="15"/>
  <c r="AP29" i="15"/>
  <c r="AP31" i="15"/>
  <c r="BA35" i="15"/>
  <c r="BA37" i="15"/>
  <c r="AP42" i="15"/>
  <c r="AP48" i="15"/>
  <c r="BA48" i="15"/>
  <c r="AP54" i="15"/>
  <c r="AR54" i="15" s="1"/>
  <c r="AT54" i="15" s="1"/>
  <c r="AP61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40" i="17"/>
  <c r="AR40" i="17" s="1"/>
  <c r="AT40" i="17" s="1"/>
  <c r="BA45" i="17"/>
  <c r="AR47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R42" i="15"/>
  <c r="AP15" i="16"/>
  <c r="BA25" i="16"/>
  <c r="AP34" i="16"/>
  <c r="BA34" i="16"/>
  <c r="AP38" i="16"/>
  <c r="AP50" i="16"/>
  <c r="BA52" i="16"/>
  <c r="AP57" i="16"/>
  <c r="AR57" i="16" s="1"/>
  <c r="AP59" i="16"/>
  <c r="AP61" i="16"/>
  <c r="AR61" i="16" s="1"/>
  <c r="BA61" i="16"/>
  <c r="BA21" i="17"/>
  <c r="AP28" i="17"/>
  <c r="AP30" i="17"/>
  <c r="BA55" i="17"/>
  <c r="BA57" i="17"/>
  <c r="AD32" i="15"/>
  <c r="AD17" i="15"/>
  <c r="AE17" i="15" s="1"/>
  <c r="W50" i="15"/>
  <c r="AD24" i="16"/>
  <c r="AD42" i="16"/>
  <c r="AD56" i="16"/>
  <c r="AD61" i="17"/>
  <c r="AD54" i="17"/>
  <c r="AD44" i="17"/>
  <c r="AP16" i="18"/>
  <c r="BA19" i="18"/>
  <c r="BA23" i="18"/>
  <c r="AP24" i="18"/>
  <c r="AP29" i="18"/>
  <c r="BA29" i="18"/>
  <c r="BA31" i="18"/>
  <c r="BA39" i="18"/>
  <c r="AP41" i="18"/>
  <c r="AR41" i="18" s="1"/>
  <c r="BA46" i="18"/>
  <c r="AR51" i="18"/>
  <c r="BA52" i="18"/>
  <c r="BA53" i="18"/>
  <c r="BA57" i="18"/>
  <c r="BA58" i="18"/>
  <c r="BA61" i="18"/>
  <c r="BA18" i="15"/>
  <c r="AP21" i="15"/>
  <c r="BA27" i="15"/>
  <c r="AP30" i="15"/>
  <c r="BA30" i="15"/>
  <c r="AP38" i="15"/>
  <c r="BA38" i="15"/>
  <c r="AP41" i="15"/>
  <c r="AR41" i="15" s="1"/>
  <c r="AT41" i="15" s="1"/>
  <c r="BA47" i="15"/>
  <c r="AR48" i="15"/>
  <c r="BA49" i="15"/>
  <c r="AP51" i="15"/>
  <c r="BA51" i="15"/>
  <c r="BA55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Y12" i="15"/>
  <c r="Z12" i="15" s="1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AL17" i="18"/>
  <c r="AO17" i="18" s="1"/>
  <c r="AL19" i="18"/>
  <c r="AO19" i="18" s="1"/>
  <c r="AR50" i="18"/>
  <c r="AI72" i="18"/>
  <c r="BA16" i="17"/>
  <c r="AP20" i="17"/>
  <c r="AP23" i="17"/>
  <c r="BA23" i="17"/>
  <c r="AP34" i="17"/>
  <c r="AP36" i="17"/>
  <c r="AP38" i="17"/>
  <c r="AP43" i="17"/>
  <c r="AP48" i="17"/>
  <c r="AR48" i="17" s="1"/>
  <c r="BA51" i="17"/>
  <c r="AP54" i="17"/>
  <c r="AR54" i="17" s="1"/>
  <c r="AT54" i="17" s="1"/>
  <c r="W29" i="15"/>
  <c r="W18" i="15"/>
  <c r="X18" i="15" s="1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AP17" i="18"/>
  <c r="BA17" i="18"/>
  <c r="BA30" i="18"/>
  <c r="BA38" i="18"/>
  <c r="BA42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AV61" i="18" s="1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S29" i="16" s="1"/>
  <c r="AT29" i="16" s="1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5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V18" i="18" l="1"/>
  <c r="AU18" i="18"/>
  <c r="AU29" i="16"/>
  <c r="AV29" i="16"/>
  <c r="AS25" i="16"/>
  <c r="AT25" i="16" s="1"/>
  <c r="AX25" i="16"/>
  <c r="BB25" i="16" s="1"/>
  <c r="BC25" i="16" s="1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E54" i="18"/>
  <c r="AF54" i="18" s="1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Y53" i="18"/>
  <c r="X53" i="18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W62" i="6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C20" i="9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 s="1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 s="1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 s="1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U16" i="6" l="1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<sst xmlns="http://schemas.openxmlformats.org/spreadsheetml/2006/main" count="9445" uniqueCount="761">
  <si>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</si>
  <si>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</si>
  <si>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</si>
  <si>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</si>
  <si>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</si>
  <si>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</si>
  <si>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</si>
  <si>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</si>
  <si>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</si>
  <si>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</si>
  <si>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</si>
  <si>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</si>
  <si>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</si>
  <si>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</si>
  <si>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</si>
  <si>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</si>
  <si>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</si>
  <si>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</si>
  <si>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</si>
  <si>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</si>
  <si>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</si>
  <si>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</si>
  <si>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</si>
  <si>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</si>
  <si>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</si>
  <si>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</si>
  <si>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</si>
  <si>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</si>
  <si>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</si>
  <si>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</si>
  <si>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</si>
  <si>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</si>
  <si>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</si>
  <si>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</si>
  <si>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</si>
  <si>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</si>
  <si>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</si>
  <si>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</si>
  <si>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</si>
  <si>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</si>
  <si>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</si>
  <si>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</si>
  <si>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</si>
  <si>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</si>
  <si>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</si>
  <si>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</si>
  <si>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</si>
  <si>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</si>
  <si>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</si>
  <si>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</si>
  <si>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</si>
  <si>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</si>
  <si>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</si>
  <si>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</si>
  <si>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</si>
  <si>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</si>
  <si>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</si>
  <si>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</si>
  <si>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</si>
  <si>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</si>
  <si>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</si>
  <si>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</si>
  <si>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</si>
  <si>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</si>
  <si>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</si>
  <si>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</si>
  <si>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</si>
  <si>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</si>
  <si>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</si>
  <si>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</si>
  <si>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</si>
  <si>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</si>
  <si>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</si>
  <si>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</si>
  <si>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</si>
  <si>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</si>
  <si>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</si>
  <si>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</si>
  <si>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</si>
  <si>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</si>
  <si>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</si>
  <si>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</si>
  <si>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</si>
  <si>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</si>
  <si>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</si>
  <si>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</si>
  <si>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</si>
  <si>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</si>
  <si>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</si>
  <si>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</si>
  <si>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</si>
  <si>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</si>
  <si>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</si>
  <si>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</si>
  <si>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</si>
  <si>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</si>
  <si>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</si>
  <si>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</si>
  <si>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</si>
  <si>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</si>
  <si>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</si>
  <si>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</si>
  <si>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</si>
  <si>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</si>
  <si>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</si>
  <si>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</si>
  <si>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</si>
  <si>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</si>
  <si>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</si>
  <si>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</si>
  <si>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</si>
  <si>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</si>
  <si>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</si>
  <si>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</si>
  <si>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</si>
  <si>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</si>
  <si>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</si>
  <si>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</si>
  <si>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</si>
  <si>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</si>
  <si>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</si>
  <si>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</si>
  <si>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</si>
  <si>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</si>
  <si>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</si>
  <si>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</si>
  <si>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</si>
  <si>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</si>
  <si>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</si>
  <si>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</si>
  <si>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</si>
  <si>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</si>
  <si>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</si>
  <si>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</si>
  <si>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</si>
  <si>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</si>
  <si>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</si>
  <si>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</si>
  <si>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</si>
  <si>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</si>
  <si>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</si>
  <si>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</si>
  <si>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</si>
  <si>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</si>
  <si>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</si>
  <si>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</si>
  <si>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</si>
  <si>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</si>
  <si>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</si>
  <si>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</si>
  <si>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</si>
  <si>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</si>
  <si>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</si>
  <si>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</si>
  <si>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</si>
  <si>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</si>
  <si>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</si>
  <si>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</si>
  <si>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</si>
  <si>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</si>
  <si>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</si>
  <si>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</si>
  <si>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</si>
  <si>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</si>
  <si>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</si>
  <si>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</si>
  <si>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</si>
  <si>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</si>
  <si>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</si>
  <si>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</si>
  <si>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</si>
  <si>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</si>
  <si>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</si>
  <si>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</si>
  <si>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</si>
  <si>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</si>
  <si>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</si>
  <si>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</si>
  <si>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</si>
  <si>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</si>
  <si>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</si>
  <si>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</si>
  <si>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</si>
  <si>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</si>
  <si>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</si>
  <si>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</si>
  <si>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</si>
  <si>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</si>
  <si>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</si>
  <si>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</si>
  <si>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</si>
  <si>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</si>
  <si>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</si>
  <si>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</si>
  <si>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</si>
  <si>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</si>
  <si>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</si>
  <si>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</si>
  <si>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</si>
  <si>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</si>
  <si>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</si>
  <si>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</si>
  <si>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</si>
  <si>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</si>
  <si>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</si>
  <si>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</si>
  <si>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</si>
  <si>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</si>
  <si>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</si>
  <si>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</si>
  <si>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</si>
  <si>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</si>
  <si>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</si>
  <si>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</si>
  <si>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</si>
  <si>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</si>
  <si>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</si>
  <si>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</si>
  <si>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</si>
  <si>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</si>
  <si>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</si>
  <si>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</si>
  <si>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</si>
  <si>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</si>
  <si>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</si>
  <si>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</si>
  <si>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</si>
  <si>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</si>
  <si>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</si>
  <si>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</si>
  <si>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</si>
  <si>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</si>
  <si>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</si>
  <si>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</si>
  <si>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</si>
  <si>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</si>
  <si>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</si>
  <si>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</si>
  <si>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</si>
  <si>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</si>
  <si>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</si>
  <si>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</si>
  <si>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</si>
  <si>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</si>
  <si>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</si>
  <si>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</si>
  <si>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</si>
  <si>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</si>
  <si>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</si>
  <si>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</si>
  <si>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</si>
  <si>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</si>
  <si>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</si>
  <si>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</si>
  <si>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</si>
  <si>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</si>
  <si>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</si>
  <si>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</si>
  <si>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</si>
  <si>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</si>
  <si>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</si>
  <si>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</si>
  <si>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</si>
  <si>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</si>
  <si>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</si>
  <si>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</si>
  <si>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</si>
  <si>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</si>
  <si>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</si>
  <si>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</si>
  <si>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</si>
  <si>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</si>
  <si>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</si>
  <si>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</si>
  <si>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</si>
  <si>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</si>
  <si>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</si>
  <si>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</si>
  <si>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</si>
  <si>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</si>
  <si>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</si>
  <si>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</si>
  <si>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</si>
  <si>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</si>
  <si>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</si>
  <si>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</si>
  <si>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</si>
  <si>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</si>
  <si>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</si>
  <si>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</si>
  <si>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</si>
  <si>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</si>
  <si>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</si>
  <si>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</si>
  <si>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</si>
  <si>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</si>
  <si>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</si>
  <si>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</si>
  <si>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</si>
  <si>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</si>
  <si>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</si>
  <si>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</si>
  <si>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</si>
  <si>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</si>
  <si>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</si>
  <si>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</si>
  <si>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</si>
  <si>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</si>
  <si>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</si>
  <si>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</si>
  <si>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</si>
  <si>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</si>
  <si>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</si>
  <si>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</si>
  <si>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</si>
  <si>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</si>
  <si>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</si>
  <si>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</si>
  <si>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</si>
  <si>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</si>
  <si>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</si>
  <si>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</si>
  <si>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</si>
  <si>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</si>
  <si>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</si>
  <si>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</si>
  <si>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</si>
  <si>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</si>
  <si>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</si>
  <si>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</si>
  <si>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</si>
  <si>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</si>
  <si>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</si>
  <si>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</si>
  <si>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</si>
  <si>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</si>
  <si>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</si>
  <si>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</si>
  <si>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</si>
  <si>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</si>
  <si>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</si>
  <si>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</si>
  <si>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</si>
  <si>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</si>
  <si>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</si>
  <si>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</si>
  <si>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</si>
  <si>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</si>
  <si>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</si>
  <si>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</si>
  <si>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</si>
  <si>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</si>
  <si>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</si>
  <si>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</si>
  <si>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</si>
  <si>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</si>
  <si>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</si>
  <si>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</si>
  <si>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</si>
  <si>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</si>
  <si>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</si>
  <si>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</si>
  <si>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</si>
  <si>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</si>
  <si>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</si>
  <si>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</si>
  <si>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</si>
  <si>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</si>
  <si>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</si>
  <si>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</si>
  <si>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</si>
  <si>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</si>
  <si>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</si>
  <si>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</si>
  <si>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</si>
  <si>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</si>
  <si>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</si>
  <si>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</si>
  <si>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</si>
  <si>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</si>
  <si>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</si>
  <si>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</si>
  <si>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</si>
  <si>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</si>
  <si>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</si>
  <si>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</si>
  <si>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</si>
  <si>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</si>
  <si>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</si>
  <si>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</si>
  <si>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</si>
  <si>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</si>
  <si>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</si>
  <si>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</si>
  <si>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</si>
  <si>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</si>
  <si>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</si>
  <si>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</si>
  <si>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</si>
  <si>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</si>
  <si>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</si>
  <si>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</si>
  <si>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</si>
  <si>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</si>
  <si>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</si>
  <si>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</si>
  <si>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</si>
  <si>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</si>
  <si>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</si>
  <si>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</si>
  <si>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</si>
  <si>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</si>
  <si>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</si>
  <si>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</si>
  <si>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</si>
  <si>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</si>
  <si>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</si>
  <si>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</si>
  <si>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</si>
  <si>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</si>
  <si>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</si>
  <si>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</si>
  <si>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</si>
  <si>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</si>
  <si>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</si>
  <si>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</si>
  <si>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</si>
  <si>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</si>
  <si>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</si>
  <si>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</si>
  <si>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</si>
  <si>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</si>
  <si>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</si>
  <si>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</si>
  <si>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</si>
  <si>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</si>
  <si>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</si>
  <si>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</si>
  <si>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</si>
  <si>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</si>
  <si>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</si>
  <si>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</si>
  <si>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</si>
  <si>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</si>
  <si>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</si>
  <si>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</si>
  <si>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</si>
  <si>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</si>
  <si>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</si>
  <si>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</si>
  <si>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</si>
  <si>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</si>
  <si>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</si>
  <si>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</si>
  <si>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</si>
  <si>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</si>
  <si>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</si>
  <si>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</si>
  <si>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</si>
  <si>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</si>
  <si>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</si>
  <si>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</si>
  <si>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</si>
  <si>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</si>
  <si>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</si>
  <si>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</si>
  <si>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</si>
  <si>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</si>
  <si>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</si>
  <si>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</si>
  <si>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</si>
  <si>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</si>
  <si>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</si>
  <si>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</si>
  <si>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</si>
  <si>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</si>
  <si>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</si>
  <si>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</si>
  <si>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</si>
  <si>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</si>
  <si>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</si>
  <si>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</si>
  <si>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</si>
  <si>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</si>
  <si>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</si>
  <si>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</si>
  <si>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</si>
  <si>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</si>
  <si>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</si>
  <si>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</si>
  <si>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</si>
  <si>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</si>
  <si>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</si>
  <si>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</si>
  <si>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</si>
  <si>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</si>
  <si>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</si>
  <si>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</si>
  <si>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</si>
  <si>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</si>
  <si>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</si>
  <si>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</si>
  <si>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</si>
  <si>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</si>
  <si>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</si>
  <si>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</si>
  <si>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</si>
  <si>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</si>
  <si>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</si>
  <si>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</si>
  <si>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</si>
  <si>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</si>
  <si>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</si>
  <si>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</si>
  <si>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</si>
  <si>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</si>
  <si>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</si>
  <si>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</si>
  <si>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</si>
  <si>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</si>
  <si>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</si>
  <si>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</si>
  <si>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</si>
  <si>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</si>
  <si>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</si>
  <si>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</si>
  <si>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</si>
  <si>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</si>
  <si>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</si>
  <si>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</si>
  <si>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</si>
  <si>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</si>
  <si>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</si>
  <si>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</si>
  <si>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</si>
  <si>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</si>
  <si>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</si>
  <si>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</si>
  <si>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</si>
  <si>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</si>
  <si>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</si>
  <si>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</si>
  <si>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</si>
  <si>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</si>
  <si>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</si>
  <si>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</si>
  <si>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</si>
  <si>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</si>
  <si>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</si>
  <si>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</si>
  <si>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</si>
  <si>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</si>
  <si>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</si>
  <si>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</si>
  <si>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</si>
  <si>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</si>
  <si>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</si>
  <si>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</si>
  <si>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</si>
  <si>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</si>
  <si>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</si>
  <si>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</si>
  <si>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</si>
  <si>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</si>
  <si>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</si>
  <si>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</si>
  <si>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</si>
  <si>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</si>
  <si>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</si>
  <si>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</si>
  <si>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</si>
  <si>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</si>
  <si>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</si>
  <si>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</si>
  <si>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</si>
  <si>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</si>
  <si>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</si>
  <si>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</si>
  <si>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</si>
  <si>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</si>
  <si>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</si>
  <si>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</si>
  <si>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</si>
  <si>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</si>
  <si>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</si>
  <si>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</si>
  <si>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</si>
  <si>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</si>
  <si>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</si>
  <si>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</si>
  <si>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</si>
  <si>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</si>
  <si>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</si>
  <si>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</si>
  <si>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</si>
  <si>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</si>
  <si>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</si>
  <si>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</si>
  <si>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</si>
  <si>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</si>
  <si>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</si>
  <si>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</si>
  <si>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</si>
  <si>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</si>
  <si>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</si>
  <si>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</si>
  <si>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</si>
  <si>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</si>
  <si>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</si>
  <si>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</si>
  <si>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</si>
  <si>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</si>
  <si>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</si>
  <si>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</si>
  <si>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</si>
  <si>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</si>
  <si>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</si>
  <si>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</si>
  <si>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</si>
  <si>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</si>
  <si>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</si>
  <si>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</si>
  <si>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</si>
  <si>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</si>
  <si>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</si>
  <si>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</si>
  <si>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</si>
  <si>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</si>
  <si>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</si>
  <si>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</si>
  <si>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</si>
  <si>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</si>
  <si>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</si>
  <si>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</si>
  <si>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</si>
  <si>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</si>
  <si>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</si>
  <si>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</si>
  <si>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</si>
  <si>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</si>
  <si>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</si>
  <si>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</si>
  <si>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</si>
  <si>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</si>
  <si>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</si>
  <si>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</si>
  <si>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</si>
  <si>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</si>
  <si>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</si>
  <si>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</si>
  <si>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</si>
  <si>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</si>
  <si>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</si>
  <si>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</si>
  <si>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</si>
  <si>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</si>
  <si>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</si>
  <si>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</si>
  <si>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</si>
  <si>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</si>
  <si>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</si>
  <si>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</si>
  <si>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</si>
  <si>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</si>
  <si>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</si>
  <si>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</si>
  <si>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</si>
  <si>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</si>
  <si>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</si>
  <si>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</si>
  <si>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</si>
  <si>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</si>
  <si>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</si>
  <si>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</si>
  <si>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</si>
  <si>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</si>
  <si>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</si>
  <si>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</si>
  <si>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</si>
  <si>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</si>
  <si>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</si>
  <si>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</si>
  <si>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</si>
  <si>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</si>
  <si>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</si>
  <si>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</si>
  <si>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</si>
  <si>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</si>
  <si>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</si>
  <si>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</si>
  <si>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</si>
  <si>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</si>
  <si>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</si>
  <si>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</si>
  <si>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</si>
  <si>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</si>
  <si>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</si>
  <si>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</si>
  <si>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</si>
  <si>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</si>
  <si>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</si>
  <si>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</si>
  <si>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</si>
  <si>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</si>
  <si>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</si>
  <si>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</si>
  <si>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</si>
  <si>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</si>
  <si>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</si>
  <si>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</si>
  <si>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</si>
  <si>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</si>
  <si>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</si>
  <si>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</si>
  <si>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</si>
  <si>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</si>
  <si>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</si>
  <si>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</si>
  <si>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</si>
  <si>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</si>
  <si>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</si>
  <si>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</si>
  <si>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</si>
  <si>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</si>
  <si>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</si>
  <si>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</si>
  <si>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</si>
  <si>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</si>
  <si>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</si>
  <si>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</si>
  <si>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</si>
  <si>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</si>
  <si>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</si>
  <si>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</si>
  <si>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</si>
  <si>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</si>
  <si>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</si>
  <si>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</si>
  <si>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</si>
  <si>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</si>
  <si>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</si>
  <si>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</si>
  <si>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</si>
  <si>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</si>
  <si>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</si>
  <si>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</si>
  <si>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</si>
  <si>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</si>
  <si>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</si>
  <si>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</si>
  <si>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</si>
  <si>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TELA PENDIENTE X ELEGIR </t>
  </si>
  <si>
    <t xml:space="preserve">VENTANAL A </t>
  </si>
  <si>
    <t xml:space="preserve">VENTANAL B </t>
  </si>
  <si>
    <t>https://maps.app.goo.gl/BYZzTDRdGFtwEoQW7?g_st=iwb</t>
  </si>
  <si>
    <t xml:space="preserve">VALLE DE GUADALUPE </t>
  </si>
  <si>
    <t xml:space="preserve">IMANHA PERLA </t>
  </si>
  <si>
    <t xml:space="preserve">PERLA ROSAS </t>
  </si>
  <si>
    <t xml:space="preserve">BS 260213 A </t>
  </si>
  <si>
    <t xml:space="preserve">IVA 8 % </t>
  </si>
  <si>
    <t xml:space="preserve">IVA 8%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</si>
</sst>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211030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59174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K1" zoomScale="85" zoomScaleNormal="85" workbookViewId="0">
      <selection activeCell="AC62" sqref="AC62"/>
    </sheetView>
  </sheetViews>
  <sheetFormatPr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1:27" ht="9.9499999999999993" customHeight="1" x14ac:dyDescent="0.25">
      <c r="Y1" s="327"/>
    </row>
    <row r="2" spans="1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260213 A </v>
      </c>
      <c r="Y2" s="327"/>
    </row>
    <row r="3" spans="1:27" ht="17.25" thickTop="1" x14ac:dyDescent="0.25">
      <c r="B3" s="337" t="s">
        <v>119</v>
      </c>
      <c r="N3" s="338"/>
      <c r="R3" s="338"/>
      <c r="V3" s="338"/>
      <c r="W3" s="338"/>
      <c r="Y3" s="327"/>
    </row>
    <row r="4" spans="1:27" ht="17.25" thickBot="1" x14ac:dyDescent="0.3">
      <c r="B4" s="337" t="s">
        <v>120</v>
      </c>
      <c r="K4" s="339" t="str">
        <f>'FILL QUOTE-CALCULATIONS'!K6</f>
        <v xml:space="preserve">IMANHA PERLA </v>
      </c>
      <c r="L4" s="340"/>
      <c r="N4" s="340" t="str">
        <f>'FILL QUOTE-CALCULATIONS'!O6</f>
        <v>https://maps.app.goo.gl/BYZzTDRdGFtwEoQW7?g_st=iwb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1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1:27" ht="15.75" x14ac:dyDescent="0.25">
      <c r="O6" s="338"/>
      <c r="V6" s="276"/>
      <c r="Y6" s="327"/>
    </row>
    <row r="7" spans="1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PERLA ROSAS </v>
      </c>
      <c r="L7" s="340"/>
      <c r="N7" s="347" t="str">
        <f>'FILL QUOTE-CALCULATIONS'!O9</f>
        <v xml:space="preserve">VALLE DE GUADALUPE 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46066</v>
      </c>
      <c r="Y7" s="327"/>
    </row>
    <row r="8" spans="1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1:27" x14ac:dyDescent="0.25">
      <c r="Y9" s="327"/>
    </row>
    <row r="10" spans="1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1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1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 xml:space="preserve">TELA PENDIENTE X ELEGIR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VENTANAL A </v>
      </c>
      <c r="N12" s="362">
        <f>IF(OR(C12&lt;1,C12=""),"",'FILL QUOTE-CALCULATIONS'!N15)</f>
        <v>205</v>
      </c>
      <c r="O12" s="362">
        <f>IF(OR(C12&lt;1,C12=""),"",'FILL QUOTE-CALCULATIONS'!O15)</f>
        <v>110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MOT. - ELECTRICO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1060.45</v>
      </c>
      <c r="U12" s="364">
        <f>IF(OR(C12&lt;1,C12=""),"",'FILL QUOTE-CALCULATIONS'!W15)</f>
        <v>1237.5500000000002</v>
      </c>
      <c r="V12" s="365">
        <f>IF(OR(C12&lt;1,C12=""),"",IF('FILL QUOTE-CALCULATIONS'!$S$3="DOLLARS",'FILL QUOTE-CALCULATIONS'!AB15,'FILL QUOTE-CALCULATIONS'!AB15*'FILL QUOTE-CALCULATIONS'!$AC$4))</f>
        <v>39066</v>
      </c>
      <c r="W12" s="366">
        <v>39066</v>
      </c>
      <c r="Y12" s="327"/>
      <c r="AA12" s="695" t="s">
        <v>746</v>
      </c>
    </row>
    <row r="13" spans="1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PNL-IZQ.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DECORATIVA</v>
      </c>
      <c r="J13" s="360" t="str">
        <f>'FILL QUOTE-CALCULATIONS'!J16</f>
        <v/>
      </c>
      <c r="K13" s="360" t="str">
        <f>IF(OR(C13&lt;1,C13=""),"",'FILL QUOTE-CALCULATIONS'!K16)</f>
        <v xml:space="preserve">TELA PENDIENTE X ELEGIR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VENTANAL A </v>
      </c>
      <c r="N13" s="362">
        <f>IF(OR(C13&lt;1,C13=""),"",'FILL QUOTE-CALCULATIONS'!N16)</f>
        <v>205</v>
      </c>
      <c r="O13" s="362">
        <f>IF(OR(C13&lt;1,C13=""),"",'FILL QUOTE-CALCULATIONS'!O16)</f>
        <v>110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MOT. - ELECTRICO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N/A</v>
      </c>
      <c r="T13" s="363">
        <f>IF(OR(C13&lt;1,C13=""),"",'FILL QUOTE-CALCULATIONS'!T16)</f>
        <v>586.35</v>
      </c>
      <c r="U13" s="364">
        <f>IF(OR(C13&lt;1,C13=""),"",'FILL QUOTE-CALCULATIONS'!W16)</f>
        <v>1237.5500000000002</v>
      </c>
      <c r="V13" s="365">
        <f>IF(OR(C13&lt;1,C13=""),"",IF('FILL QUOTE-CALCULATIONS'!$S$3="DOLLARS",'FILL QUOTE-CALCULATIONS'!AB16,'FILL QUOTE-CALCULATIONS'!AB16*'FILL QUOTE-CALCULATIONS'!$AC$4))</f>
        <v>31006.300000000003</v>
      </c>
      <c r="W13" s="366">
        <v>31006.3</v>
      </c>
      <c r="Y13" s="367"/>
      <c r="AA13" s="695" t="s">
        <v>746</v>
      </c>
    </row>
    <row r="14" spans="1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PNL-DER.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 xml:space="preserve">TELA PENDIENTE X ELEGIR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VENTANAL B </v>
      </c>
      <c r="N14" s="362">
        <f>IF(OR(C14&lt;1,C14=""),"",'FILL QUOTE-CALCULATIONS'!N17)</f>
        <v>108</v>
      </c>
      <c r="O14" s="362">
        <f>IF(OR(C14&lt;1,C14=""),"",'FILL QUOTE-CALCULATIONS'!O17)</f>
        <v>110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MOT. - ELECTRICO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N/A</v>
      </c>
      <c r="T14" s="363">
        <f>IF(OR(C14&lt;1,C14=""),"",'FILL QUOTE-CALCULATIONS'!T17)</f>
        <v>566.35</v>
      </c>
      <c r="U14" s="364">
        <f>IF(OR(C14&lt;1,C14=""),"",'FILL QUOTE-CALCULATIONS'!W17)</f>
        <v>678.85</v>
      </c>
      <c r="V14" s="365">
        <f>IF(OR(C14&lt;1,C14=""),"",IF('FILL QUOTE-CALCULATIONS'!$S$3="DOLLARS",'FILL QUOTE-CALCULATIONS'!AB17,'FILL QUOTE-CALCULATIONS'!AB17*'FILL QUOTE-CALCULATIONS'!$AC$4))</f>
        <v>21168.400000000001</v>
      </c>
      <c r="W14" s="366">
        <v>21168.400000000001</v>
      </c>
      <c r="Y14" s="354"/>
      <c r="AA14" s="695" t="s">
        <v>746</v>
      </c>
    </row>
    <row r="15" spans="1:27" s="353" customFormat="1" ht="30" customHeight="1" x14ac:dyDescent="0.25">
      <c r="A15" s="353" t="s">
        <v>655</v>
      </c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PNL-DER.</v>
      </c>
      <c r="E15" s="360" t="str">
        <f>IF(OR(C15&lt;1,C15=""),"",IF('FILL QUOTE-CALCULATIONS'!$S$4="INGLES",'FILL QUOTE-CALCULATIONS'!E18,VLOOKUP('FILL QUOTE-CALCULATIONS'!E18,'DROP LIST'!$E$7:$F$15,2,0)))</f>
        <v>ONDULADO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DECORATIVA</v>
      </c>
      <c r="J15" s="360" t="str">
        <f>'FILL QUOTE-CALCULATIONS'!J18</f>
        <v/>
      </c>
      <c r="K15" s="360" t="str">
        <f>IF(OR(C15&lt;1,C15=""),"",'FILL QUOTE-CALCULATIONS'!K18)</f>
        <v xml:space="preserve">TELA PENDIENTE X ELEGIR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VENTANAL B </v>
      </c>
      <c r="N15" s="362">
        <f>IF(OR(C15&lt;1,C15=""),"",'FILL QUOTE-CALCULATIONS'!N18)</f>
        <v>108</v>
      </c>
      <c r="O15" s="362">
        <f>IF(OR(C15&lt;1,C15=""),"",'FILL QUOTE-CALCULATIONS'!O18)</f>
        <v>110</v>
      </c>
      <c r="P15" s="360" t="str">
        <f>IF(OR(C15&lt;1,C15=""),"",IF('FILL QUOTE-CALCULATIONS'!$S$4="INGLES",'FILL QUOTE-CALCULATIONS'!P18, VLOOKUP('FILL QUOTE-CALCULATIONS'!P18,'DROP LIST'!$E$25:$F$27,2,0)))</f>
        <v>AL TECHO</v>
      </c>
      <c r="Q15" s="360" t="str">
        <f>IF(OR(C15&lt;1,C15=""),"",IF('FILL QUOTE-CALCULATIONS'!$S$4="INGLES",'FILL QUOTE-CALCULATIONS'!Q18,VLOOKUP('FILL QUOTE-CALCULATIONS'!Q18,'DROP LIST'!$H$25:$I$36,2,0)))</f>
        <v>MOT. - ELECTRICO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N/A</v>
      </c>
      <c r="T15" s="363">
        <f>IF(OR(C15&lt;1,C15=""),"",'FILL QUOTE-CALCULATIONS'!T18)</f>
        <v>317.5</v>
      </c>
      <c r="U15" s="364">
        <f>IF(OR(C15&lt;1,C15=""),"",'FILL QUOTE-CALCULATIONS'!W18)</f>
        <v>678.85</v>
      </c>
      <c r="V15" s="365">
        <f>IF(OR(C15&lt;1,C15=""),"",IF('FILL QUOTE-CALCULATIONS'!$S$3="DOLLARS",'FILL QUOTE-CALCULATIONS'!AB18,'FILL QUOTE-CALCULATIONS'!AB18*'FILL QUOTE-CALCULATIONS'!$AC$4))</f>
        <v>16937.95</v>
      </c>
      <c r="W15" s="366">
        <v>16937.95</v>
      </c>
      <c r="Y15" s="354"/>
      <c r="AA15" s="695" t="s">
        <v>746</v>
      </c>
    </row>
    <row r="16" spans="1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/>
      <c r="D62" s="378"/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/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INSTALACION INCLUIDA EN TODOS LOS PRODUCTOS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108178.65000000001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43271.460000000006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760</v>
      </c>
      <c r="W71" s="396">
        <f>IF(OR('FILL QUOTE-CALCULATIONS'!AC72="",'FILL QUOTE-CALCULATIONS'!AC72=0),"",'FILL QUOTE-CALCULATIONS'!AC72)</f>
        <v>5192.6499999999996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70099.839999999997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M.N. (Pesos)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Moneda Nacional (Pesos)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1060.45</v>
      </c>
      <c r="D19" s="109">
        <f>'FILL QUOTE-CALCULATIONS'!BF16</f>
        <v>586.35</v>
      </c>
      <c r="E19" s="109">
        <f>'FILL QUOTE-CALCULATIONS'!BF17</f>
        <v>566.35</v>
      </c>
      <c r="F19" s="109">
        <f>'FILL QUOTE-CALCULATIONS'!BF18</f>
        <v>317.5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8.5</v>
      </c>
      <c r="D24" s="73">
        <f>'FILL QUOTE-CALCULATIONS'!AN16</f>
        <v>3.75</v>
      </c>
      <c r="E24" s="73">
        <f>'FILL QUOTE-CALCULATIONS'!AN17</f>
        <v>4.5</v>
      </c>
      <c r="F24" s="73">
        <f>'FILL QUOTE-CALCULATIONS'!AN18</f>
        <v>2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2120.9</v>
      </c>
      <c r="D29" s="119">
        <f>E19</f>
        <v>566.35</v>
      </c>
      <c r="E29" s="119">
        <f>E19</f>
        <v>566.35</v>
      </c>
      <c r="F29" s="119">
        <f>D19*2</f>
        <v>1172.7</v>
      </c>
      <c r="G29" s="119" t="str">
        <f>G19</f>
        <v/>
      </c>
      <c r="H29" s="119">
        <f>E19*2</f>
        <v>1132.7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8.5</v>
      </c>
      <c r="D24" s="73">
        <f>'FILL QUOTE-CALCULATIONS'!AN16</f>
        <v>3.75</v>
      </c>
      <c r="E24" s="73">
        <f>'FILL QUOTE-CALCULATIONS'!AN17</f>
        <v>4.5</v>
      </c>
      <c r="F24" s="73">
        <f>'FILL QUOTE-CALCULATIONS'!AN18</f>
        <v>2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Q1" zoomScaleNormal="100" workbookViewId="0">
      <pane ySplit="14" topLeftCell="A56" activePane="bottomLeft" state="frozen"/>
      <selection pane="bottomLeft" activeCell="S3" sqref="S3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64" width="9.140625" style="175" hidden="1" customWidth="1"/>
    <col min="65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224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17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756</v>
      </c>
      <c r="L6" s="214"/>
      <c r="O6" s="908" t="s">
        <v>754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757</v>
      </c>
      <c r="L9" s="214"/>
      <c r="O9" s="907" t="s">
        <v>755</v>
      </c>
      <c r="P9" s="214"/>
      <c r="Q9" s="214"/>
      <c r="R9" s="211"/>
      <c r="S9" s="213" t="s">
        <v>205</v>
      </c>
      <c r="T9" s="214"/>
      <c r="AC9" s="221">
        <v>46066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205</v>
      </c>
      <c r="O15" s="673">
        <v>110</v>
      </c>
      <c r="P15" s="197" t="s">
        <v>287</v>
      </c>
      <c r="Q15" s="178" t="s">
        <v>284</v>
      </c>
      <c r="R15" s="176" t="s">
        <v>750</v>
      </c>
      <c r="S15" s="179" t="s">
        <v>122</v>
      </c>
      <c r="T15" s="895">
        <f t="shared" ref="T15:T62" si="1">IF(E15="",0,IF(OR(C15&lt;1,C15=""),"",BF15))</f>
        <v>1060.45</v>
      </c>
      <c r="U15" s="668">
        <v>0.4</v>
      </c>
      <c r="V15" s="669">
        <v>0.5</v>
      </c>
      <c r="W15" s="896">
        <f t="shared" ref="W15:W62" si="2">IF(OR(C15&lt;1,C15=""),"",BI15)</f>
        <v>1237.5500000000002</v>
      </c>
      <c r="X15" s="694">
        <v>0.4</v>
      </c>
      <c r="Y15" s="690">
        <v>0.3</v>
      </c>
      <c r="Z15" s="667">
        <f>T15*IF($L$4="RESIDENCIAL",1-U15,1-V15)+W15*IF($L$4="RESIDENCIAL",1-X15,1-Y15)</f>
        <v>1378.8000000000002</v>
      </c>
      <c r="AA15" s="659">
        <f>IF(E15="",0,IF(OR(C15&lt;1,C15=""),"",IF($S$3="PESOS",Z15*C15*$AC$4,Z15*C15)))</f>
        <v>23439.600000000002</v>
      </c>
      <c r="AB15" s="895">
        <f t="shared" ref="AB15:AB62" si="3">IF(E15="",0,IF(OR(C15&lt;1,C15=""),"",T15+W15))</f>
        <v>2298</v>
      </c>
      <c r="AC15" s="896">
        <f>IF(E15="",0,IF(OR(C15&lt;1,C15=""),"",IF($S$3="PESOS",AB15*C15*$AC$4, AB15*C15)))</f>
        <v>39066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10.25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432.75</v>
      </c>
      <c r="AJ15" s="307">
        <f t="shared" ref="AJ15:AJ62" si="9">IF(C15="","",O15+AG15+AH15)</f>
        <v>127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8.0138888888888893</v>
      </c>
      <c r="AN15" s="309">
        <f t="shared" ref="AN15:AN62" si="13">IF(C15="","",IF(AL15="RAILROAD","N/A",IF(AK15&lt;60,CEILING(AM15,0.5),CEILING(AM15,0.25))))</f>
        <v>8.5</v>
      </c>
      <c r="AO15" s="309">
        <f t="shared" ref="AO15:AO62" si="14">IF(C15="","",IF(AL15="VERTICAL",AN15*AK15/54,CEILING(AI15/54,0.5)))</f>
        <v>8.5</v>
      </c>
      <c r="AP15" s="308">
        <f t="shared" ref="AP15:AP62" si="15">IF(C15="","",IF(AL15="VERTICAL",CEILING(AN15*AJ15/36/0.93,0.25),CEILING(AI15/36/0.93,0.25)))</f>
        <v>32.25</v>
      </c>
      <c r="AQ15" s="310">
        <f t="shared" ref="AQ15:AQ62" si="16">IF(C15="","",AP15*C15)</f>
        <v>32.25</v>
      </c>
      <c r="AR15" s="306">
        <f t="shared" ref="AR15:AR62" si="17">IF(C15="","",CEILING(AI15,1))</f>
        <v>433</v>
      </c>
      <c r="AS15" s="308">
        <f t="shared" ref="AS15:AS62" si="18">IF(C15="","",O15+(2*$AG$3)+2+1)</f>
        <v>121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29.5</v>
      </c>
      <c r="AW15" s="310">
        <f t="shared" ref="AW15:AW62" si="22">IF(C15="","",AV15*C15)</f>
        <v>29.5</v>
      </c>
      <c r="AX15" s="311">
        <f t="shared" ref="AX15:AX62" si="23">IF(C15="","",N15/12/(1-$AX$13))</f>
        <v>18.568840579710145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899.77500000000009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160.65</v>
      </c>
      <c r="BF15" s="313">
        <f>IF(C15="","",CEILING(BA15+BC15+BE15,0.05))</f>
        <v>1060.45</v>
      </c>
      <c r="BG15" s="316">
        <f>IF(C15="","",IF(Q15="N/A",0,VLOOKUP(Q15,'COST - SELL'!$B$80:$I$91,8,0)*'FILL QUOTE-CALCULATIONS'!AX15))-1000</f>
        <v>1237.5452898550725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1237.5500000000002</v>
      </c>
      <c r="BJ15" s="316">
        <f t="shared" ref="BJ15:BJ62" si="29">IF(C15="","",BF15+BI15)</f>
        <v>2298</v>
      </c>
      <c r="BL15" s="222">
        <f>BG15/AX15</f>
        <v>66.646341463414643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273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si="0"/>
        <v/>
      </c>
      <c r="K16" s="672" t="s">
        <v>751</v>
      </c>
      <c r="L16" s="179" t="s">
        <v>122</v>
      </c>
      <c r="M16" s="672" t="s">
        <v>752</v>
      </c>
      <c r="N16" s="673">
        <v>205</v>
      </c>
      <c r="O16" s="673">
        <v>110</v>
      </c>
      <c r="P16" s="197" t="s">
        <v>287</v>
      </c>
      <c r="Q16" s="178" t="s">
        <v>284</v>
      </c>
      <c r="R16" s="176" t="s">
        <v>750</v>
      </c>
      <c r="S16" s="179" t="s">
        <v>122</v>
      </c>
      <c r="T16" s="895">
        <f t="shared" si="1"/>
        <v>586.35</v>
      </c>
      <c r="U16" s="668">
        <v>0.4</v>
      </c>
      <c r="V16" s="669">
        <v>0.5</v>
      </c>
      <c r="W16" s="896">
        <f t="shared" si="2"/>
        <v>1237.5500000000002</v>
      </c>
      <c r="X16" s="694">
        <v>0.4</v>
      </c>
      <c r="Y16" s="690">
        <v>0.3</v>
      </c>
      <c r="Z16" s="667">
        <f>IF(E16="",0,T16*IF($L$4="RESIDENCIAL",1-U16,1-V16)+W16*IF($L$4="RESIDENCIAL",1-X16,1-Y16))</f>
        <v>1094.3400000000001</v>
      </c>
      <c r="AA16" s="659">
        <f>IF(E16="",0,IF(OR(C16&lt;1,C16=""),"",IF($S$3="PESOS",Z16*C16*$AC$4, Z16*C16)))</f>
        <v>18603.780000000002</v>
      </c>
      <c r="AB16" s="895">
        <f t="shared" si="3"/>
        <v>1823.9</v>
      </c>
      <c r="AC16" s="896">
        <f>IF(E16="",0,IF(OR(C16&lt;1,C16=""),"",IF($S$3="PESOS",AB16*C16*$AC$4, AB16*C16)))</f>
        <v>31006.300000000003</v>
      </c>
      <c r="AD16" s="181"/>
      <c r="AE16" s="883">
        <f t="shared" si="4"/>
        <v>12.5</v>
      </c>
      <c r="AF16" s="883">
        <f t="shared" si="5"/>
        <v>10.25</v>
      </c>
      <c r="AG16" s="883">
        <f t="shared" si="6"/>
        <v>9</v>
      </c>
      <c r="AH16" s="884">
        <f t="shared" si="7"/>
        <v>8</v>
      </c>
      <c r="AI16" s="317">
        <f t="shared" si="8"/>
        <v>432.75</v>
      </c>
      <c r="AJ16" s="304">
        <f t="shared" si="9"/>
        <v>127</v>
      </c>
      <c r="AK16" s="304">
        <f t="shared" si="10"/>
        <v>118</v>
      </c>
      <c r="AL16" s="318" t="str">
        <f t="shared" si="11"/>
        <v>VERTICAL</v>
      </c>
      <c r="AM16" s="318">
        <f t="shared" si="12"/>
        <v>3.6673728813559321</v>
      </c>
      <c r="AN16" s="319">
        <f t="shared" si="13"/>
        <v>3.75</v>
      </c>
      <c r="AO16" s="319">
        <f t="shared" si="14"/>
        <v>8.1944444444444446</v>
      </c>
      <c r="AP16" s="318">
        <f t="shared" si="15"/>
        <v>14.25</v>
      </c>
      <c r="AQ16" s="320">
        <f t="shared" si="16"/>
        <v>14.25</v>
      </c>
      <c r="AR16" s="306">
        <f t="shared" si="17"/>
        <v>433</v>
      </c>
      <c r="AS16" s="308">
        <f t="shared" si="18"/>
        <v>121</v>
      </c>
      <c r="AT16" s="308">
        <f t="shared" si="19"/>
        <v>54</v>
      </c>
      <c r="AU16" s="308" t="str">
        <f t="shared" si="20"/>
        <v>VERTICAL</v>
      </c>
      <c r="AV16" s="308">
        <f t="shared" si="21"/>
        <v>29.5</v>
      </c>
      <c r="AW16" s="310">
        <f t="shared" si="22"/>
        <v>29.5</v>
      </c>
      <c r="AX16" s="321">
        <f t="shared" si="23"/>
        <v>18.568840579710145</v>
      </c>
      <c r="AY16" s="308" t="str">
        <f t="shared" si="24"/>
        <v>N/A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453.15000000000003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133.15972222222223</v>
      </c>
      <c r="BF16" s="313">
        <f t="shared" ref="BF16:BF62" si="30">IF(C16="","",CEILING(BA16+BC16+BE16,0.05))</f>
        <v>586.35</v>
      </c>
      <c r="BG16" s="316">
        <f>IF(C16="","",IF(Q16="N/A",0,VLOOKUP(Q16,'COST - SELL'!$B$80:$I$91,8,0)*'FILL QUOTE-CALCULATIONS'!AX16))-1000</f>
        <v>1237.5452898550725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0</v>
      </c>
      <c r="BI16" s="316">
        <f t="shared" si="28"/>
        <v>1237.5500000000002</v>
      </c>
      <c r="BJ16" s="316">
        <f t="shared" si="29"/>
        <v>1823.9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272</v>
      </c>
      <c r="E17" s="179" t="s">
        <v>132</v>
      </c>
      <c r="F17" s="179" t="s">
        <v>136</v>
      </c>
      <c r="G17" s="671">
        <v>2</v>
      </c>
      <c r="H17" s="906" t="s">
        <v>187</v>
      </c>
      <c r="I17" s="906" t="s">
        <v>321</v>
      </c>
      <c r="J17" s="179" t="str">
        <f t="shared" si="0"/>
        <v/>
      </c>
      <c r="K17" s="672" t="s">
        <v>751</v>
      </c>
      <c r="L17" s="179" t="s">
        <v>122</v>
      </c>
      <c r="M17" s="672" t="s">
        <v>753</v>
      </c>
      <c r="N17" s="673">
        <v>108</v>
      </c>
      <c r="O17" s="673">
        <v>110</v>
      </c>
      <c r="P17" s="197" t="s">
        <v>287</v>
      </c>
      <c r="Q17" s="178" t="s">
        <v>284</v>
      </c>
      <c r="R17" s="176" t="s">
        <v>750</v>
      </c>
      <c r="S17" s="179" t="s">
        <v>122</v>
      </c>
      <c r="T17" s="895">
        <f t="shared" si="1"/>
        <v>566.35</v>
      </c>
      <c r="U17" s="668">
        <v>0.4</v>
      </c>
      <c r="V17" s="669">
        <v>0.5</v>
      </c>
      <c r="W17" s="896">
        <f t="shared" si="2"/>
        <v>678.85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747.12</v>
      </c>
      <c r="AA17" s="659">
        <f t="shared" ref="AA17:AA62" si="33">IF(E17="",0,IF(OR(C17&lt;1,C17=""),"",IF($S$3="PESOS",Z17*C17*$AC$4, Z17*C17)))</f>
        <v>12701.04</v>
      </c>
      <c r="AB17" s="895">
        <f t="shared" si="3"/>
        <v>1245.2</v>
      </c>
      <c r="AC17" s="896">
        <f t="shared" ref="AC17:AC62" si="34">IF(E17="",0,IF(OR(C17&lt;1,C17=""),"",IF($S$3="PESOS",AB17*C17*$AC$4, AB17*C17)))</f>
        <v>21168.400000000001</v>
      </c>
      <c r="AD17" s="181"/>
      <c r="AE17" s="883">
        <f t="shared" si="4"/>
        <v>12.5</v>
      </c>
      <c r="AF17" s="883">
        <f t="shared" si="5"/>
        <v>5.4</v>
      </c>
      <c r="AG17" s="883">
        <f t="shared" si="6"/>
        <v>9</v>
      </c>
      <c r="AH17" s="884">
        <f t="shared" si="7"/>
        <v>8</v>
      </c>
      <c r="AI17" s="317">
        <f t="shared" si="8"/>
        <v>233.9</v>
      </c>
      <c r="AJ17" s="304">
        <f t="shared" si="9"/>
        <v>127</v>
      </c>
      <c r="AK17" s="304">
        <f t="shared" si="10"/>
        <v>54</v>
      </c>
      <c r="AL17" s="318" t="str">
        <f t="shared" si="11"/>
        <v>VERTICAL</v>
      </c>
      <c r="AM17" s="318">
        <f t="shared" si="12"/>
        <v>4.3314814814814815</v>
      </c>
      <c r="AN17" s="319">
        <f t="shared" si="13"/>
        <v>4.5</v>
      </c>
      <c r="AO17" s="319">
        <f t="shared" si="14"/>
        <v>4.5</v>
      </c>
      <c r="AP17" s="318">
        <f t="shared" si="15"/>
        <v>17.25</v>
      </c>
      <c r="AQ17" s="320">
        <f t="shared" si="16"/>
        <v>17.25</v>
      </c>
      <c r="AR17" s="306">
        <f t="shared" si="17"/>
        <v>234</v>
      </c>
      <c r="AS17" s="308">
        <f t="shared" si="18"/>
        <v>121</v>
      </c>
      <c r="AT17" s="308">
        <f t="shared" si="19"/>
        <v>54</v>
      </c>
      <c r="AU17" s="308" t="str">
        <f t="shared" si="20"/>
        <v>VERTICAL</v>
      </c>
      <c r="AV17" s="308">
        <f t="shared" si="21"/>
        <v>16.100000000000001</v>
      </c>
      <c r="AW17" s="310">
        <f t="shared" si="22"/>
        <v>16.100000000000001</v>
      </c>
      <c r="AX17" s="321">
        <f t="shared" si="23"/>
        <v>9.7826086956521738</v>
      </c>
      <c r="AY17" s="308" t="str">
        <f t="shared" si="24"/>
        <v>N/A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481.27500000000003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85.050000000000011</v>
      </c>
      <c r="BF17" s="313">
        <f t="shared" si="30"/>
        <v>566.35</v>
      </c>
      <c r="BG17" s="316">
        <f>IF(C17="","",IF(Q17="N/A",0,VLOOKUP(Q17,'COST - SELL'!$B$80:$I$91,8,0)*'FILL QUOTE-CALCULATIONS'!AX17))-500</f>
        <v>678.804347826087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0</v>
      </c>
      <c r="BI17" s="316">
        <f t="shared" si="28"/>
        <v>678.85</v>
      </c>
      <c r="BJ17" s="316">
        <f t="shared" si="29"/>
        <v>1245.2</v>
      </c>
    </row>
    <row r="18" spans="2:62" x14ac:dyDescent="0.25">
      <c r="B18" s="231">
        <f t="shared" si="31"/>
        <v>4</v>
      </c>
      <c r="C18" s="180">
        <v>1</v>
      </c>
      <c r="D18" s="178" t="s">
        <v>272</v>
      </c>
      <c r="E18" s="179" t="s">
        <v>132</v>
      </c>
      <c r="F18" s="179" t="s">
        <v>116</v>
      </c>
      <c r="G18" s="671">
        <v>2</v>
      </c>
      <c r="H18" s="906" t="s">
        <v>187</v>
      </c>
      <c r="I18" s="906" t="s">
        <v>323</v>
      </c>
      <c r="J18" s="179" t="str">
        <f t="shared" si="0"/>
        <v/>
      </c>
      <c r="K18" s="672" t="s">
        <v>751</v>
      </c>
      <c r="L18" s="179" t="s">
        <v>122</v>
      </c>
      <c r="M18" s="672" t="s">
        <v>753</v>
      </c>
      <c r="N18" s="673">
        <v>108</v>
      </c>
      <c r="O18" s="673">
        <v>110</v>
      </c>
      <c r="P18" s="197" t="s">
        <v>287</v>
      </c>
      <c r="Q18" s="178" t="s">
        <v>284</v>
      </c>
      <c r="R18" s="176" t="s">
        <v>750</v>
      </c>
      <c r="S18" s="179" t="s">
        <v>122</v>
      </c>
      <c r="T18" s="895">
        <f t="shared" si="1"/>
        <v>317.5</v>
      </c>
      <c r="U18" s="668">
        <v>0.4</v>
      </c>
      <c r="V18" s="669">
        <v>0.5</v>
      </c>
      <c r="W18" s="896">
        <f t="shared" si="2"/>
        <v>678.85</v>
      </c>
      <c r="X18" s="694">
        <v>0.4</v>
      </c>
      <c r="Y18" s="690">
        <v>0.3</v>
      </c>
      <c r="Z18" s="667">
        <f t="shared" si="32"/>
        <v>597.80999999999995</v>
      </c>
      <c r="AA18" s="659">
        <f t="shared" si="33"/>
        <v>10162.769999999999</v>
      </c>
      <c r="AB18" s="895">
        <f t="shared" si="3"/>
        <v>996.35</v>
      </c>
      <c r="AC18" s="896">
        <f t="shared" si="34"/>
        <v>16937.95</v>
      </c>
      <c r="AD18" s="181"/>
      <c r="AE18" s="883">
        <f t="shared" si="4"/>
        <v>12.5</v>
      </c>
      <c r="AF18" s="883">
        <f t="shared" si="5"/>
        <v>5.4</v>
      </c>
      <c r="AG18" s="883">
        <f t="shared" si="6"/>
        <v>9</v>
      </c>
      <c r="AH18" s="884">
        <f t="shared" si="7"/>
        <v>8</v>
      </c>
      <c r="AI18" s="317">
        <f t="shared" si="8"/>
        <v>233.9</v>
      </c>
      <c r="AJ18" s="304">
        <f t="shared" si="9"/>
        <v>127</v>
      </c>
      <c r="AK18" s="304">
        <f t="shared" si="10"/>
        <v>118</v>
      </c>
      <c r="AL18" s="318" t="str">
        <f t="shared" si="11"/>
        <v>VERTICAL</v>
      </c>
      <c r="AM18" s="318">
        <f t="shared" si="12"/>
        <v>1.9822033898305085</v>
      </c>
      <c r="AN18" s="319">
        <f t="shared" si="13"/>
        <v>2</v>
      </c>
      <c r="AO18" s="319">
        <f t="shared" si="14"/>
        <v>4.3703703703703702</v>
      </c>
      <c r="AP18" s="318">
        <f t="shared" si="15"/>
        <v>7.75</v>
      </c>
      <c r="AQ18" s="320">
        <f t="shared" si="16"/>
        <v>7.75</v>
      </c>
      <c r="AR18" s="306">
        <f t="shared" si="17"/>
        <v>234</v>
      </c>
      <c r="AS18" s="308">
        <f t="shared" si="18"/>
        <v>121</v>
      </c>
      <c r="AT18" s="308">
        <f t="shared" si="19"/>
        <v>54</v>
      </c>
      <c r="AU18" s="308" t="str">
        <f t="shared" si="20"/>
        <v>VERTICAL</v>
      </c>
      <c r="AV18" s="308">
        <f t="shared" si="21"/>
        <v>16.100000000000001</v>
      </c>
      <c r="AW18" s="310">
        <f t="shared" si="22"/>
        <v>16.100000000000001</v>
      </c>
      <c r="AX18" s="321">
        <f t="shared" si="23"/>
        <v>9.7826086956521738</v>
      </c>
      <c r="AY18" s="308" t="str">
        <f t="shared" si="24"/>
        <v>N/A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5"/>
        <v>246.45000000000002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71.018518518518519</v>
      </c>
      <c r="BF18" s="313">
        <f t="shared" si="30"/>
        <v>317.5</v>
      </c>
      <c r="BG18" s="316">
        <f>IF(C18="","",IF(Q18="N/A",0,VLOOKUP(Q18,'COST - SELL'!$B$80:$I$91,8,0)*'FILL QUOTE-CALCULATIONS'!AX18))-500</f>
        <v>678.804347826087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0</v>
      </c>
      <c r="BI18" s="316">
        <f t="shared" si="28"/>
        <v>678.85</v>
      </c>
      <c r="BJ18" s="316">
        <f t="shared" si="29"/>
        <v>996.35</v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759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305.45</v>
      </c>
      <c r="AC64" s="897">
        <f>IF(C64="","",IF($S$3="PESOS",C64*AB64*$AC$4,C64*AB64))</f>
        <v>5192.6499999999996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INSTALACION INCLUIDA EN TODOS LOS PRODUCTOS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108178.65000000001</v>
      </c>
      <c r="AD69" s="181"/>
      <c r="AE69" s="885" t="str">
        <f>S3</f>
        <v>PESOS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</v>
      </c>
      <c r="AD70" s="181"/>
      <c r="AE70" s="888">
        <f>AC4</f>
        <v>17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43271.460000000006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5192.6499999999996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70099.839999999997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M.N. (Pesos)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Moneda Nacional (Pesos)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7" t="s">
        <v>172</v>
      </c>
      <c r="G7" s="948"/>
      <c r="H7" s="949"/>
      <c r="J7" s="950" t="s">
        <v>329</v>
      </c>
      <c r="L7" s="947" t="s">
        <v>172</v>
      </c>
      <c r="M7" s="948"/>
      <c r="N7" s="949"/>
    </row>
    <row r="8" spans="2:16" ht="15" hidden="1" customHeight="1" x14ac:dyDescent="0.25">
      <c r="B8" s="959" t="s">
        <v>328</v>
      </c>
      <c r="C8" s="96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1"/>
      <c r="C9" s="962"/>
      <c r="D9" s="437">
        <v>0.4</v>
      </c>
      <c r="F9" s="438" t="s">
        <v>77</v>
      </c>
      <c r="G9" s="438" t="s">
        <v>174</v>
      </c>
      <c r="H9" s="438" t="s">
        <v>175</v>
      </c>
      <c r="J9" s="95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7" t="s">
        <v>172</v>
      </c>
      <c r="F22" s="948"/>
      <c r="G22" s="949"/>
      <c r="O22" s="947" t="s">
        <v>172</v>
      </c>
      <c r="P22" s="948"/>
      <c r="Q22" s="949"/>
    </row>
    <row r="23" spans="2:17" hidden="1" x14ac:dyDescent="0.25">
      <c r="B23" s="953" t="s">
        <v>181</v>
      </c>
      <c r="C23" s="954"/>
      <c r="D23" s="95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3" t="s">
        <v>185</v>
      </c>
      <c r="K23" s="954"/>
      <c r="L23" s="954"/>
      <c r="M23" s="954"/>
      <c r="N23" s="95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6"/>
      <c r="C24" s="957"/>
      <c r="D24" s="958"/>
      <c r="E24" s="438" t="s">
        <v>77</v>
      </c>
      <c r="F24" s="438" t="s">
        <v>174</v>
      </c>
      <c r="G24" s="438" t="s">
        <v>175</v>
      </c>
      <c r="J24" s="956"/>
      <c r="K24" s="957"/>
      <c r="L24" s="957"/>
      <c r="M24" s="957"/>
      <c r="N24" s="95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7" t="s">
        <v>172</v>
      </c>
      <c r="H32" s="948"/>
      <c r="I32" s="949"/>
    </row>
    <row r="33" spans="1:12" hidden="1" x14ac:dyDescent="0.25">
      <c r="B33" s="963" t="s">
        <v>662</v>
      </c>
      <c r="C33" s="964"/>
      <c r="D33" s="964"/>
      <c r="E33" s="964"/>
      <c r="F33" s="96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6"/>
      <c r="C34" s="967"/>
      <c r="D34" s="967"/>
      <c r="E34" s="967"/>
      <c r="F34" s="96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7" t="s">
        <v>172</v>
      </c>
      <c r="H56" s="948"/>
      <c r="I56" s="94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7" t="s">
        <v>172</v>
      </c>
      <c r="H67" s="938"/>
      <c r="I67" s="938"/>
      <c r="J67" s="938"/>
      <c r="K67" s="937" t="s">
        <v>172</v>
      </c>
      <c r="L67" s="938"/>
      <c r="M67" s="938"/>
      <c r="N67" s="939"/>
      <c r="O67" s="457"/>
      <c r="P67" s="937" t="s">
        <v>172</v>
      </c>
      <c r="Q67" s="938"/>
      <c r="R67" s="938"/>
      <c r="S67" s="939"/>
    </row>
    <row r="68" spans="2:19" ht="15.75" hidden="1" x14ac:dyDescent="0.25">
      <c r="C68" s="937" t="s">
        <v>196</v>
      </c>
      <c r="D68" s="938"/>
      <c r="E68" s="938"/>
      <c r="F68" s="939"/>
      <c r="G68" s="931">
        <f>'MARK UP''s'!D12</f>
        <v>0.5</v>
      </c>
      <c r="H68" s="932"/>
      <c r="I68" s="932"/>
      <c r="J68" s="932"/>
      <c r="K68" s="931">
        <f>'MARK UP''s'!E12</f>
        <v>0.4</v>
      </c>
      <c r="L68" s="932"/>
      <c r="M68" s="932"/>
      <c r="N68" s="933"/>
      <c r="O68" s="458"/>
      <c r="P68" s="931">
        <f>'MARK UP''s'!F12</f>
        <v>0.3</v>
      </c>
      <c r="Q68" s="932"/>
      <c r="R68" s="932"/>
      <c r="S68" s="933"/>
    </row>
    <row r="69" spans="2:19" ht="16.5" hidden="1" thickBot="1" x14ac:dyDescent="0.3">
      <c r="C69" s="928" t="s">
        <v>77</v>
      </c>
      <c r="D69" s="929"/>
      <c r="E69" s="929"/>
      <c r="F69" s="930"/>
      <c r="G69" s="928" t="s">
        <v>77</v>
      </c>
      <c r="H69" s="929"/>
      <c r="I69" s="929"/>
      <c r="J69" s="929"/>
      <c r="K69" s="928" t="s">
        <v>174</v>
      </c>
      <c r="L69" s="929"/>
      <c r="M69" s="929"/>
      <c r="N69" s="930"/>
      <c r="O69" s="459"/>
      <c r="P69" s="928" t="s">
        <v>175</v>
      </c>
      <c r="Q69" s="929"/>
      <c r="R69" s="929"/>
      <c r="S69" s="93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4" t="s">
        <v>172</v>
      </c>
      <c r="E78" s="935"/>
      <c r="F78" s="93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0" t="s">
        <v>708</v>
      </c>
      <c r="C98" s="941"/>
      <c r="D98" s="944" t="s">
        <v>339</v>
      </c>
      <c r="E98" s="945"/>
      <c r="F98" s="945"/>
      <c r="G98" s="945"/>
      <c r="H98" s="945"/>
      <c r="I98" s="946"/>
    </row>
    <row r="99" spans="2:9" ht="15.75" hidden="1" thickBot="1" x14ac:dyDescent="0.3">
      <c r="B99" s="942"/>
      <c r="C99" s="943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2026-02-17T18:35:58Z</dcterms:modified>
</cp:coreProperties>
</file>