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RAY OCHOA\"/>
    </mc:Choice>
  </mc:AlternateContent>
  <xr:revisionPtr revIDLastSave="0" documentId="13_ncr:1_{0E4F4F54-D445-42E8-9E59-89893B831856}" xr6:coauthVersionLast="47" xr6:coauthVersionMax="47" xr10:uidLastSave="{00000000-0000-0000-0000-000000000000}"/>
  <bookViews>
    <workbookView xWindow="20370" yWindow="-3540" windowWidth="29040" windowHeight="15840" tabRatio="988" activeTab="3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<sst xmlns="http://schemas.openxmlformats.org/spreadsheetml/2006/main" count="3767" uniqueCount="594">
  <si>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</si>
  <si>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</si>
  <si>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</si>
  <si>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</si>
  <si>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</si>
  <si>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</si>
  <si>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</si>
  <si>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</si>
  <si>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</si>
  <si>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</si>
  <si>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</si>
  <si>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</si>
  <si>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</si>
  <si>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</si>
  <si>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</si>
  <si>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</si>
  <si>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</si>
  <si>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</si>
  <si>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</si>
  <si>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</si>
  <si>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</si>
  <si>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</si>
  <si>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</si>
  <si>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</si>
  <si>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</si>
  <si>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</si>
  <si>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</si>
  <si>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</si>
  <si>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</si>
  <si>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</si>
  <si>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</si>
  <si>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</si>
  <si>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</si>
  <si>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</si>
  <si>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</si>
  <si>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</si>
  <si>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</si>
  <si>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</si>
  <si>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</si>
  <si>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</si>
  <si>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</si>
  <si>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</si>
  <si>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</si>
  <si>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</si>
  <si>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</si>
  <si>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</si>
  <si>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</si>
  <si>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</si>
  <si>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</si>
  <si>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</si>
  <si>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</si>
  <si>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</si>
  <si>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</si>
  <si>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</si>
  <si>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</si>
  <si>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</si>
  <si>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</si>
  <si>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</si>
  <si>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</si>
  <si>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</si>
  <si>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</si>
  <si>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</si>
  <si>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</si>
  <si>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</si>
  <si>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</si>
  <si>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</si>
  <si>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</si>
  <si>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</si>
  <si>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</si>
  <si>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</si>
  <si>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</si>
  <si>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</si>
  <si>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</si>
  <si>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</si>
  <si>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</si>
  <si>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</si>
  <si>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</si>
  <si>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</si>
  <si>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</si>
  <si>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</si>
  <si>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</si>
  <si>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</si>
  <si>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</si>
  <si>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</si>
  <si>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</si>
  <si>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</si>
  <si>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</si>
  <si>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</si>
  <si>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</si>
  <si>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</si>
  <si>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</si>
  <si>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</si>
  <si>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</si>
  <si>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</si>
  <si>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</si>
  <si>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</si>
  <si>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</si>
  <si>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</si>
  <si>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</si>
  <si>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</si>
  <si>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</si>
  <si>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</si>
  <si>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</si>
  <si>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</si>
  <si>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</si>
  <si>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</si>
  <si>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</si>
  <si>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</si>
  <si>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</si>
  <si>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</si>
  <si>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</si>
  <si>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</si>
  <si>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</si>
  <si>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</si>
  <si>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</si>
  <si>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</si>
  <si>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</si>
  <si>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</si>
  <si>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</si>
  <si>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</si>
  <si>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</si>
  <si>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</si>
  <si>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</si>
  <si>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</si>
  <si>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</si>
  <si>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</si>
  <si>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</si>
  <si>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</si>
  <si>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</si>
  <si>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</si>
  <si>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</si>
  <si>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</si>
  <si>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</si>
  <si>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</si>
  <si>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</si>
  <si>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</si>
  <si>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</si>
  <si>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</si>
  <si>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</si>
  <si>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</si>
  <si>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</si>
  <si>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</si>
  <si>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</si>
  <si>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</si>
  <si>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</si>
  <si>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</si>
  <si>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</si>
  <si>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</si>
  <si>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</si>
  <si>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</si>
  <si>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</si>
  <si>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</si>
  <si>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</si>
  <si>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</si>
  <si>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</si>
  <si>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</si>
  <si>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</si>
  <si>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</si>
  <si>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</si>
  <si>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</si>
  <si>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</si>
  <si>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</si>
  <si>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</si>
  <si>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</si>
  <si>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</si>
  <si>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</si>
  <si>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</si>
  <si>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</si>
  <si>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</si>
  <si>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</si>
  <si>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</si>
  <si>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</si>
  <si>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</si>
  <si>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</si>
  <si>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</si>
  <si>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</si>
  <si>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</si>
  <si>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</si>
  <si>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</si>
  <si>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</si>
  <si>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</si>
  <si>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</si>
  <si>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</si>
  <si>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</si>
  <si>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</si>
  <si>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</si>
  <si>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</si>
  <si>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</si>
  <si>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</si>
  <si>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</si>
  <si>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</si>
  <si>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</si>
  <si>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</si>
  <si>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</si>
  <si>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</si>
  <si>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</si>
  <si>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</si>
  <si>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</si>
  <si>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</si>
  <si>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</si>
  <si>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</si>
  <si>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</si>
  <si>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</si>
  <si>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</si>
  <si>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</si>
  <si>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</si>
  <si>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</si>
  <si>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</si>
  <si>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</si>
  <si>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</si>
  <si>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</si>
  <si>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</si>
  <si>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</si>
  <si>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</si>
  <si>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</si>
  <si>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</si>
  <si>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</si>
  <si>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</si>
  <si>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</si>
  <si>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</si>
  <si>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</si>
  <si>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</si>
  <si>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</si>
  <si>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</si>
  <si>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</si>
  <si>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</si>
  <si>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</si>
  <si>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</si>
  <si>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</si>
  <si>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</si>
  <si>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</si>
  <si>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</si>
  <si>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</si>
  <si>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</si>
  <si>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</si>
  <si>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</si>
  <si>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</si>
  <si>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</si>
  <si>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</si>
  <si>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</si>
  <si>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</si>
  <si>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</si>
  <si>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</si>
  <si>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</si>
  <si>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</si>
  <si>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</si>
  <si>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</si>
  <si>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</si>
  <si>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</si>
  <si>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</si>
  <si>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</si>
  <si>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</si>
  <si>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</si>
  <si>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</si>
  <si>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</si>
  <si>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</si>
  <si>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</si>
  <si>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</si>
  <si>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</si>
  <si>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</si>
  <si>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</si>
  <si>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</si>
  <si>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</si>
  <si>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</si>
  <si>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</si>
  <si>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</si>
  <si>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</si>
  <si>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</si>
  <si>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</si>
  <si>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</si>
  <si>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</si>
  <si>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</si>
  <si>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</si>
  <si>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</si>
  <si>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</si>
  <si>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</si>
  <si>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</si>
  <si>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</si>
  <si>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</si>
  <si>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</si>
  <si>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</si>
  <si>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</si>
  <si>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</si>
  <si>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</si>
  <si>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</si>
  <si>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</si>
  <si>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</si>
  <si>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</si>
  <si>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</si>
  <si>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</si>
  <si>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</si>
  <si>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</si>
  <si>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</si>
  <si>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</si>
  <si>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</si>
  <si>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</si>
  <si>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</si>
  <si>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</si>
  <si>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</si>
  <si>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</si>
  <si>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</si>
  <si>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</si>
  <si>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</si>
  <si>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</si>
  <si>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</si>
  <si>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</si>
  <si>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</si>
  <si>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</si>
  <si>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</si>
  <si>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</si>
  <si>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</si>
  <si>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</si>
  <si>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</si>
  <si>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</si>
  <si>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</si>
  <si>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</si>
  <si>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</si>
  <si>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</si>
  <si>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</si>
  <si>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</si>
  <si>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</si>
  <si>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</si>
  <si>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</si>
  <si>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</si>
  <si>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</si>
  <si>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</si>
  <si>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</si>
  <si>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</si>
  <si>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</si>
  <si>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</si>
  <si>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</si>
  <si>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</si>
  <si>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</si>
  <si>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</si>
  <si>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</si>
  <si>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</si>
  <si>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</si>
  <si>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</si>
  <si>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</si>
  <si>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</si>
  <si>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</si>
  <si>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</si>
  <si>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</si>
  <si>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</si>
  <si>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</si>
  <si>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</si>
  <si>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</si>
  <si>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</si>
  <si>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</si>
  <si>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</si>
  <si>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</si>
  <si>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</si>
  <si>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</si>
  <si>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</si>
  <si>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</si>
  <si>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</si>
  <si>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</si>
  <si>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</si>
  <si>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</si>
  <si>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</si>
  <si>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</si>
  <si>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</si>
  <si>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</si>
  <si>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</si>
  <si>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</si>
  <si>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</si>
  <si>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</si>
  <si>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</si>
  <si>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</si>
  <si>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</si>
  <si>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</si>
  <si>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</si>
  <si>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</si>
  <si>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</si>
  <si>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</si>
  <si>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</si>
  <si>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</si>
  <si>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</si>
  <si>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</si>
  <si>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</si>
  <si>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</si>
  <si>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</si>
  <si>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</si>
  <si>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</si>
  <si>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</si>
  <si>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</si>
  <si>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</si>
  <si>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</si>
  <si>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</si>
  <si>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</si>
  <si>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</si>
  <si>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</si>
  <si>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</si>
  <si>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</si>
  <si>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</si>
  <si>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</si>
  <si>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</si>
  <si>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</si>
  <si>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</si>
  <si>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</si>
  <si>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</si>
  <si>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</si>
  <si>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</si>
  <si>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</si>
  <si>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</si>
  <si>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</si>
  <si>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</si>
  <si>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</si>
  <si>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</si>
  <si>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</si>
  <si>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</si>
  <si>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</si>
  <si>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</si>
  <si>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</si>
  <si>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</si>
  <si>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</si>
  <si>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</si>
  <si>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</si>
  <si>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</si>
  <si>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</si>
  <si>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</si>
  <si>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</si>
  <si>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</si>
  <si>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</si>
  <si>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</si>
  <si>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</si>
  <si>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</si>
  <si>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</si>
  <si>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</si>
  <si>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</si>
  <si>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</si>
  <si>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</si>
  <si>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</si>
  <si>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</si>
  <si>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</si>
  <si>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</si>
  <si>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</si>
  <si>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</si>
  <si>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</si>
  <si>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</si>
  <si>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</si>
  <si>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</si>
  <si>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</si>
  <si>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</si>
  <si>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</si>
  <si>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</si>
  <si>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</si>
  <si>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</si>
  <si>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</si>
  <si>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</si>
  <si>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</si>
  <si>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</si>
  <si>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</si>
  <si>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</si>
  <si>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</si>
  <si>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</si>
  <si>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</si>
  <si>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</si>
  <si>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</si>
  <si>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</si>
  <si>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</si>
  <si>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</si>
  <si>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</si>
  <si>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</si>
  <si>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</si>
  <si>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</si>
  <si>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</si>
  <si>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</si>
  <si>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</si>
  <si>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</si>
  <si>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</si>
  <si>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</si>
  <si>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</si>
  <si>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</si>
  <si>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</si>
  <si>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</si>
  <si>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</si>
  <si>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</si>
  <si>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</si>
  <si>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</si>
  <si>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</si>
  <si>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</si>
  <si>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</si>
  <si>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</si>
  <si>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</si>
  <si>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</si>
  <si>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</si>
  <si>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</si>
  <si>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</si>
  <si>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</si>
  <si>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</si>
  <si>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</si>
  <si>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</si>
  <si>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</si>
  <si>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</si>
  <si>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</si>
  <si>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</si>
  <si>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</si>
  <si>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</si>
  <si>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</si>
  <si>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</si>
  <si>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</si>
  <si>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</si>
  <si>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</si>
  <si>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</si>
  <si>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</si>
  <si>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</si>
  <si>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</si>
  <si>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</si>
  <si>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</si>
  <si>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</si>
  <si>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</si>
  <si>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</si>
  <si>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</si>
  <si>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</si>
  <si>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</si>
  <si>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</si>
  <si>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</si>
  <si>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</si>
  <si>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</si>
  <si>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</si>
  <si>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</si>
  <si>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</si>
  <si>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</si>
  <si>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</si>
  <si>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</si>
  <si>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</si>
  <si>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</si>
  <si>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</si>
  <si>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</si>
  <si>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</si>
  <si>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</si>
  <si>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</si>
  <si>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</si>
  <si>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</si>
  <si>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</si>
  <si>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</si>
  <si>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</si>
  <si>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</si>
  <si>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</si>
  <si>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</si>
  <si>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</si>
  <si>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</si>
  <si>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</si>
  <si>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</si>
  <si>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</si>
  <si>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</si>
  <si>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</si>
  <si>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</si>
  <si>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</si>
  <si>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</si>
  <si>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</si>
  <si>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</si>
  <si>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</si>
  <si>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</si>
  <si>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</si>
  <si>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</si>
  <si>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</si>
  <si>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</si>
  <si>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</si>
  <si>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</si>
  <si>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</si>
  <si>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</si>
  <si>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</si>
  <si>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</si>
  <si>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</si>
  <si>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</si>
  <si>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</si>
  <si>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</si>
  <si>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</si>
  <si>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</si>
  <si>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</si>
  <si>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</si>
  <si>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</si>
  <si>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</si>
  <si>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</si>
  <si>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</si>
  <si>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</si>
  <si>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</si>
  <si>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</si>
  <si>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</si>
  <si>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NO </t>
  </si>
  <si>
    <t xml:space="preserve">PENDING </t>
  </si>
  <si>
    <t xml:space="preserve">RICARDO GARCIA </t>
  </si>
  <si>
    <t xml:space="preserve">SCREEN BASIC ALABASTER </t>
  </si>
  <si>
    <t xml:space="preserve">VENTANA CIRCULO </t>
  </si>
  <si>
    <t xml:space="preserve">RESIDENCIA MISINO VIEJO </t>
  </si>
  <si>
    <t xml:space="preserve">RAY OCHOA </t>
  </si>
  <si>
    <t xml:space="preserve">ROSARITO </t>
  </si>
  <si>
    <t xml:space="preserve">MISION VIEJO SUR </t>
  </si>
  <si>
    <t xml:space="preserve">MISION SAN DIEGO </t>
  </si>
  <si>
    <t>*</t>
  </si>
  <si>
    <t xml:space="preserve">BS 260210 A </t>
  </si>
  <si>
    <t xml:space="preserve">SERVICIO DE LUBRACAR MOTORES Y COMPONENTES EN ROLLER EXISTENTES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</si>
</sst>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223736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218041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233391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142876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142876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142876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133351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142876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133351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zoomScale="85" zoomScaleNormal="85" workbookViewId="0">
      <selection activeCell="P14" sqref="P14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46063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260210 A </v>
      </c>
      <c r="O5" s="468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RESIDENCIA MISINO VIEJO </v>
      </c>
      <c r="J7" s="469" t="str">
        <f>IF('CALCULATOR SHEET'!J8&lt;&gt;"","Calle: "&amp;'CALCULATOR SHEET'!J10&amp;", Numero: "&amp;'CALCULATOR SHEET'!J11,"")</f>
        <v>Calle: MISION SAN DIEGO , Numero: 40012</v>
      </c>
      <c r="K7" s="469"/>
      <c r="L7" s="469"/>
      <c r="N7" s="152" t="str">
        <f>IF('CALCULATOR SHEET'!R5&lt;&gt;"",'CALCULATOR SHEET'!R5,"")</f>
        <v xml:space="preserve">PENDING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MISION VIEJO SUR  - ROSARITO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RAY OCHOA </v>
      </c>
      <c r="J10" s="469" t="str">
        <f>IF('CALCULATOR SHEET'!M11&lt;&gt;"",'CALCULATOR SHEET'!$M$11&amp;" Cell: "&amp;'CALCULATOR SHEET'!M10,"")</f>
        <v>* Cell: 6645979564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3</v>
      </c>
      <c r="G14" s="166" t="str">
        <f>IF('CALCULATOR SHEET'!I13&lt;&gt;"",'CALCULATOR SHEET'!I13,"")</f>
        <v xml:space="preserve">SCREEN BASIC ALABASTER </v>
      </c>
      <c r="H14" s="166" t="str">
        <f>IF('CALCULATOR SHEET'!J13&lt;&gt;"",'CALCULATOR SHEET'!J13,"")</f>
        <v xml:space="preserve">VENTANA CIRCULO </v>
      </c>
      <c r="I14" s="167">
        <f>IF(E14&lt;&gt;"",'CALCULATOR SHEET'!K13,"")</f>
        <v>44.5</v>
      </c>
      <c r="J14" s="167">
        <f>IF(I14&lt;&gt;"",'CALCULATOR SHEET'!L13,"")</f>
        <v>64</v>
      </c>
      <c r="K14" s="165" t="str">
        <f>IF('CALCULATOR SHEET'!M13&lt;&gt;"",IF('CALCULATOR SHEET'!$Y$2=1,'CALCULATOR SHEET'!M13,VLOOKUP('CALCULATOR SHEET'!M13,GENERAL!$H$6:$I$11,2,0)),"")</f>
        <v>REMOTE CONTROL</v>
      </c>
      <c r="L14" s="165" t="str">
        <f>IF('CALCULATOR SHEET'!O13&lt;&gt;"",'CALCULATOR SHEET'!O13,"")</f>
        <v>R</v>
      </c>
      <c r="M14" s="165" t="str">
        <f>IF(E14&lt;&gt;"",IF(OR('CALCULATOR SHEET'!R13&lt;&gt;"NO",'CALCULATOR SHEET'!S13&lt;&gt;"NO"),"YES",""),"")</f>
        <v>YES</v>
      </c>
      <c r="N14" s="168">
        <f>IF(E14&lt;&gt;"",T14,"")</f>
        <v>376.88</v>
      </c>
      <c r="O14" s="160"/>
      <c r="P14" s="163">
        <f>IF(D14&lt;&gt;"",N14*D14,"")</f>
        <v>376.88</v>
      </c>
      <c r="Q14" s="190"/>
      <c r="R14" s="64" t="s">
        <v>193</v>
      </c>
      <c r="T14" s="156">
        <f>IF('CALCULATOR SHEET'!$V$58="PESOS",'CALCULATOR SHEET'!U13*'CALCULATOR SHEET'!$Y$6,'CALCULATOR SHEET'!U13)</f>
        <v>376.88</v>
      </c>
    </row>
    <row r="15" spans="3:23" s="64" customFormat="1" ht="45" customHeight="1">
      <c r="C15" s="169">
        <f>C14+1</f>
        <v>2</v>
      </c>
      <c r="D15" s="170" t="str">
        <f>IF('CALCULATOR SHEET'!C14&lt;&gt;"",'CALCULATOR SHEET'!C14,"")</f>
        <v/>
      </c>
      <c r="E15" s="166" t="str">
        <f>IF('CALCULATOR SHEET'!D14&lt;&gt;"",IF('CALCULATOR SHEET'!$Y$2=1,'CALCULATOR SHEET'!D14,VLOOKUP('CALCULATOR SHEET'!D14,GENERAL!$J$6:$K$13,2,0)),"")</f>
        <v/>
      </c>
      <c r="F15" s="171" t="str">
        <f>IF('CALCULATOR SHEET'!E14&lt;&gt;"",'CALCULATOR SHEET'!E14,"")</f>
        <v/>
      </c>
      <c r="G15" s="171" t="str">
        <f>IF('CALCULATOR SHEET'!I14&lt;&gt;"",'CALCULATOR SHEET'!I14,"")</f>
        <v/>
      </c>
      <c r="H15" s="171" t="str">
        <f>IF('CALCULATOR SHEET'!J14&lt;&gt;"",'CALCULATOR SHEET'!J14,"")</f>
        <v/>
      </c>
      <c r="I15" s="172" t="str">
        <f>IF(E15&lt;&gt;"",'CALCULATOR SHEET'!K14,"")</f>
        <v/>
      </c>
      <c r="J15" s="172" t="str">
        <f>IF(I15&lt;&gt;"",'CALCULATOR SHEET'!L14,"")</f>
        <v/>
      </c>
      <c r="K15" s="165" t="str">
        <f>IF('CALCULATOR SHEET'!M14&lt;&gt;"",IF('CALCULATOR SHEET'!$Y$2=1,'CALCULATOR SHEET'!M14,VLOOKUP('CALCULATOR SHEET'!M14,GENERAL!$H$6:$I$11,2,0)),"")</f>
        <v/>
      </c>
      <c r="L15" s="170" t="str">
        <f>IF('CALCULATOR SHEET'!O14&lt;&gt;"",'CALCULATOR SHEET'!O14,"")</f>
        <v/>
      </c>
      <c r="M15" s="170" t="str">
        <f>IF(E15&lt;&gt;"",IF(OR('CALCULATOR SHEET'!R14&lt;&gt;"NO",'CALCULATOR SHEET'!S14&lt;&gt;"NO"),"YES",""),"")</f>
        <v/>
      </c>
      <c r="N15" s="173" t="str">
        <f>IF(E15&lt;&gt;"",T15,"")</f>
        <v/>
      </c>
      <c r="O15" s="161"/>
      <c r="P15" s="162" t="str">
        <f>IF(D15&lt;&gt;"",N15*D15,"")</f>
        <v/>
      </c>
      <c r="Q15" s="191"/>
      <c r="R15" s="64" t="s">
        <v>193</v>
      </c>
      <c r="T15" s="156">
        <f>IF('CALCULATOR SHEET'!$V$58="PESOS",'CALCULATOR SHEET'!U14*'CALCULATOR SHEET'!$Y$6,'CALCULATOR SHEET'!U14)</f>
        <v>0</v>
      </c>
    </row>
    <row r="16" spans="3:23" s="64" customFormat="1" ht="45" customHeight="1">
      <c r="C16" s="169">
        <f>C15+1</f>
        <v>3</v>
      </c>
      <c r="D16" s="170" t="str">
        <f>IF('CALCULATOR SHEET'!C15&lt;&gt;"",'CALCULATOR SHEET'!C15,"")</f>
        <v/>
      </c>
      <c r="E16" s="166" t="str">
        <f>IF('CALCULATOR SHEET'!D15&lt;&gt;"",IF('CALCULATOR SHEET'!$Y$2=1,'CALCULATOR SHEET'!D15,VLOOKUP('CALCULATOR SHEET'!D15,GENERAL!$J$6:$K$13,2,0)),"")</f>
        <v/>
      </c>
      <c r="F16" s="171" t="str">
        <f>IF('CALCULATOR SHEET'!E15&lt;&gt;"",'CALCULATOR SHEET'!E15,"")</f>
        <v/>
      </c>
      <c r="G16" s="171" t="str">
        <f>IF('CALCULATOR SHEET'!I15&lt;&gt;"",'CALCULATOR SHEET'!I15,"")</f>
        <v/>
      </c>
      <c r="H16" s="171" t="str">
        <f>IF('CALCULATOR SHEET'!J15&lt;&gt;"",'CALCULATOR SHEET'!J15,"")</f>
        <v/>
      </c>
      <c r="I16" s="172" t="str">
        <f>IF(E16&lt;&gt;"",'CALCULATOR SHEET'!K15,"")</f>
        <v/>
      </c>
      <c r="J16" s="172" t="str">
        <f>IF(I16&lt;&gt;"",'CALCULATOR SHEET'!L15,"")</f>
        <v/>
      </c>
      <c r="K16" s="165" t="str">
        <f>IF('CALCULATOR SHEET'!M15&lt;&gt;"",IF('CALCULATOR SHEET'!$Y$2=1,'CALCULATOR SHEET'!M15,VLOOKUP('CALCULATOR SHEET'!M15,GENERAL!$H$6:$I$11,2,0)),"")</f>
        <v/>
      </c>
      <c r="L16" s="170" t="str">
        <f>IF('CALCULATOR SHEET'!O15&lt;&gt;"",'CALCULATOR SHEET'!O15,"")</f>
        <v/>
      </c>
      <c r="M16" s="170" t="str">
        <f>IF(E16&lt;&gt;"",IF(OR('CALCULATOR SHEET'!R15&lt;&gt;"NO",'CALCULATOR SHEET'!S15&lt;&gt;"NO"),"YES",""),"")</f>
        <v/>
      </c>
      <c r="N16" s="173" t="str">
        <f t="shared" ref="N16:N52" si="0">IF(E16&lt;&gt;"",T16,"")</f>
        <v/>
      </c>
      <c r="O16" s="161"/>
      <c r="P16" s="162" t="str">
        <f t="shared" ref="P16:P53" si="1">IF(D16&lt;&gt;"",N16*D16,"")</f>
        <v/>
      </c>
      <c r="Q16" s="191"/>
      <c r="R16" s="64" t="s">
        <v>193</v>
      </c>
      <c r="T16" s="156">
        <f>IF('CALCULATOR SHEET'!$V$58="PESOS",'CALCULATOR SHEET'!U15*'CALCULATOR SHEET'!$Y$6,'CALCULATOR SHEET'!U15)</f>
        <v>0</v>
      </c>
    </row>
    <row r="17" spans="3:22" s="64" customFormat="1" ht="45" customHeight="1">
      <c r="C17" s="169">
        <f t="shared" ref="C17:C53" si="2">C16+1</f>
        <v>4</v>
      </c>
      <c r="D17" s="170" t="str">
        <f>IF('CALCULATOR SHEET'!C16&lt;&gt;"",'CALCULATOR SHEET'!C16,"")</f>
        <v/>
      </c>
      <c r="E17" s="166" t="str">
        <f>IF('CALCULATOR SHEET'!D16&lt;&gt;"",IF('CALCULATOR SHEET'!$Y$2=1,'CALCULATOR SHEET'!D16,VLOOKUP('CALCULATOR SHEET'!D16,GENERAL!$J$6:$K$13,2,0)),"")</f>
        <v/>
      </c>
      <c r="F17" s="171" t="str">
        <f>IF('CALCULATOR SHEET'!E16&lt;&gt;"",'CALCULATOR SHEET'!E16,"")</f>
        <v/>
      </c>
      <c r="G17" s="171" t="str">
        <f>IF('CALCULATOR SHEET'!I16&lt;&gt;"",'CALCULATOR SHEET'!I16,"")</f>
        <v/>
      </c>
      <c r="H17" s="171" t="str">
        <f>IF('CALCULATOR SHEET'!J16&lt;&gt;"",'CALCULATOR SHEET'!J16,"")</f>
        <v/>
      </c>
      <c r="I17" s="172" t="str">
        <f>IF(E17&lt;&gt;"",'CALCULATOR SHEET'!K16,"")</f>
        <v/>
      </c>
      <c r="J17" s="172" t="str">
        <f>IF(I17&lt;&gt;"",'CALCULATOR SHEET'!L16,"")</f>
        <v/>
      </c>
      <c r="K17" s="165" t="str">
        <f>IF('CALCULATOR SHEET'!M16&lt;&gt;"",IF('CALCULATOR SHEET'!$Y$2=1,'CALCULATOR SHEET'!M16,VLOOKUP('CALCULATOR SHEET'!M16,GENERAL!$H$6:$I$11,2,0)),"")</f>
        <v/>
      </c>
      <c r="L17" s="170" t="str">
        <f>IF('CALCULATOR SHEET'!O16&lt;&gt;"",'CALCULATOR SHEET'!O16,"")</f>
        <v/>
      </c>
      <c r="M17" s="170" t="str">
        <f>IF(E17&lt;&gt;"",IF(OR('CALCULATOR SHEET'!R16&lt;&gt;"NO",'CALCULATOR SHEET'!S16&lt;&gt;"NO"),"YES",""),"")</f>
        <v/>
      </c>
      <c r="N17" s="173" t="str">
        <f t="shared" si="0"/>
        <v/>
      </c>
      <c r="O17" s="161"/>
      <c r="P17" s="162" t="str">
        <f t="shared" si="1"/>
        <v/>
      </c>
      <c r="Q17" s="191"/>
      <c r="R17" s="64" t="s">
        <v>193</v>
      </c>
      <c r="T17" s="156">
        <f>IF('CALCULATOR SHEET'!$V$58="PESOS",'CALCULATOR SHEET'!U16*'CALCULATOR SHEET'!$Y$6,'CALCULATOR SHEET'!U16)</f>
        <v>0</v>
      </c>
    </row>
    <row r="18" spans="3:22" s="64" customFormat="1" ht="45" customHeight="1">
      <c r="C18" s="169">
        <f t="shared" si="2"/>
        <v>5</v>
      </c>
      <c r="D18" s="170" t="str">
        <f>IF('CALCULATOR SHEET'!C17&lt;&gt;"",'CALCULATOR SHEET'!C17,"")</f>
        <v/>
      </c>
      <c r="E18" s="166" t="str">
        <f>IF('CALCULATOR SHEET'!D17&lt;&gt;"",IF('CALCULATOR SHEET'!$Y$2=1,'CALCULATOR SHEET'!D17,VLOOKUP('CALCULATOR SHEET'!D17,GENERAL!$J$6:$K$13,2,0)),"")</f>
        <v/>
      </c>
      <c r="F18" s="171" t="str">
        <f>IF('CALCULATOR SHEET'!E17&lt;&gt;"",'CALCULATOR SHEET'!E17,"")</f>
        <v/>
      </c>
      <c r="G18" s="171" t="str">
        <f>IF('CALCULATOR SHEET'!I17&lt;&gt;"",'CALCULATOR SHEET'!I17,"")</f>
        <v/>
      </c>
      <c r="H18" s="171" t="str">
        <f>IF('CALCULATOR SHEET'!J17&lt;&gt;"",'CALCULATOR SHEET'!J17,"")</f>
        <v/>
      </c>
      <c r="I18" s="172" t="str">
        <f>IF(E18&lt;&gt;"",'CALCULATOR SHEET'!K17,"")</f>
        <v/>
      </c>
      <c r="J18" s="172" t="str">
        <f>IF(I18&lt;&gt;"",'CALCULATOR SHEET'!L17,"")</f>
        <v/>
      </c>
      <c r="K18" s="165" t="str">
        <f>IF('CALCULATOR SHEET'!M17&lt;&gt;"",IF('CALCULATOR SHEET'!$Y$2=1,'CALCULATOR SHEET'!M17,VLOOKUP('CALCULATOR SHEET'!M17,GENERAL!$H$6:$I$11,2,0)),"")</f>
        <v/>
      </c>
      <c r="L18" s="170" t="str">
        <f>IF('CALCULATOR SHEET'!O17&lt;&gt;"",'CALCULATOR SHEET'!O17,"")</f>
        <v/>
      </c>
      <c r="M18" s="170" t="str">
        <f>IF(E18&lt;&gt;"",IF(OR('CALCULATOR SHEET'!R17&lt;&gt;"NO",'CALCULATOR SHEET'!S17&lt;&gt;"NO"),"YES",""),"")</f>
        <v/>
      </c>
      <c r="N18" s="173" t="str">
        <f t="shared" si="0"/>
        <v/>
      </c>
      <c r="O18" s="161"/>
      <c r="P18" s="162" t="str">
        <f t="shared" si="1"/>
        <v/>
      </c>
      <c r="Q18" s="191"/>
      <c r="R18" s="64" t="s">
        <v>193</v>
      </c>
      <c r="T18" s="156">
        <f>IF('CALCULATOR SHEET'!$V$58="PESOS",'CALCULATOR SHEET'!U17*'CALCULATOR SHEET'!$Y$6,'CALCULATOR SHEET'!U17)</f>
        <v>0</v>
      </c>
    </row>
    <row r="19" spans="3:22" s="64" customFormat="1" ht="45" hidden="1" customHeight="1">
      <c r="C19" s="169">
        <f t="shared" si="2"/>
        <v>6</v>
      </c>
      <c r="D19" s="170" t="str">
        <f>IF('CALCULATOR SHEET'!C18&lt;&gt;"",'CALCULATOR SHEET'!C18,"")</f>
        <v/>
      </c>
      <c r="E19" s="166" t="str">
        <f>IF('CALCULATOR SHEET'!D18&lt;&gt;"",IF('CALCULATOR SHEET'!$Y$2=1,'CALCULATOR SHEET'!D18,VLOOKUP('CALCULATOR SHEET'!D18,GENERAL!$J$6:$K$13,2,0)),"")</f>
        <v/>
      </c>
      <c r="F19" s="171" t="str">
        <f>IF('CALCULATOR SHEET'!E18&lt;&gt;"",'CALCULATOR SHEET'!E18,"")</f>
        <v/>
      </c>
      <c r="G19" s="171" t="str">
        <f>IF('CALCULATOR SHEET'!I18&lt;&gt;"",'CALCULATOR SHEET'!I18,"")</f>
        <v/>
      </c>
      <c r="H19" s="171" t="str">
        <f>IF('CALCULATOR SHEET'!J18&lt;&gt;"",'CALCULATOR SHEET'!J18,"")</f>
        <v/>
      </c>
      <c r="I19" s="172" t="str">
        <f>IF(E19&lt;&gt;"",'CALCULATOR SHEET'!K18,"")</f>
        <v/>
      </c>
      <c r="J19" s="172" t="str">
        <f>IF(I19&lt;&gt;"",'CALCULATOR SHEET'!L18,"")</f>
        <v/>
      </c>
      <c r="K19" s="165" t="str">
        <f>IF('CALCULATOR SHEET'!M18&lt;&gt;"",IF('CALCULATOR SHEET'!$Y$2=1,'CALCULATOR SHEET'!M18,VLOOKUP('CALCULATOR SHEET'!M18,GENERAL!$H$6:$I$11,2,0)),"")</f>
        <v/>
      </c>
      <c r="L19" s="170" t="str">
        <f>IF('CALCULATOR SHEET'!O18&lt;&gt;"",'CALCULATOR SHEET'!O18,"")</f>
        <v/>
      </c>
      <c r="M19" s="170" t="str">
        <f>IF(E19&lt;&gt;"",IF(OR('CALCULATOR SHEET'!R18&lt;&gt;"NO",'CALCULATOR SHEET'!S18&lt;&gt;"NO"),"YES",""),"")</f>
        <v/>
      </c>
      <c r="N19" s="173" t="str">
        <f t="shared" si="0"/>
        <v/>
      </c>
      <c r="O19" s="161"/>
      <c r="P19" s="162" t="str">
        <f t="shared" si="1"/>
        <v/>
      </c>
      <c r="Q19" s="191"/>
      <c r="R19" s="64" t="str">
        <f t="shared" ref="R19:R60" si="3">IF(E19&lt;&gt;"","VERDADERO","FALSO")</f>
        <v>FALSO</v>
      </c>
      <c r="T19" s="156">
        <f>IF('CALCULATOR SHEET'!$V$58="PESOS",'CALCULATOR SHEET'!U18*'CALCULATOR SHEET'!$Y$6,'CALCULATOR SHEET'!U18)</f>
        <v>0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customHeight="1">
      <c r="C56" s="289" t="str">
        <f>IF('CALCULATOR SHEET'!B54&lt;&gt;"",'CALCULATOR SHEET'!B54,"")</f>
        <v/>
      </c>
      <c r="D56" s="67">
        <f>IF('CALCULATOR SHEET'!C54&lt;&gt;"",'CALCULATOR SHEET'!C54,"")</f>
        <v>1</v>
      </c>
      <c r="E56" s="288" t="str">
        <f>IF('CALCULATOR SHEET'!E54&lt;&gt;"",'CALCULATOR SHEET'!E54,"")</f>
        <v xml:space="preserve">SERVICIO DE LUBRACAR MOTORES Y COMPONENTES EN ROLLER EXISTENTES </v>
      </c>
      <c r="I56" s="180"/>
      <c r="J56" s="180"/>
      <c r="K56" s="67"/>
      <c r="L56" s="67"/>
      <c r="M56" s="67"/>
      <c r="N56" s="181"/>
      <c r="O56" s="181">
        <f>IF(D56&lt;&gt;"",T56,"")</f>
        <v>30</v>
      </c>
      <c r="P56" s="182">
        <f>IF(O56&lt;&gt;"",O56*D56,"")</f>
        <v>30</v>
      </c>
      <c r="Q56" s="204"/>
      <c r="R56" s="64" t="str">
        <f t="shared" si="3"/>
        <v>VERDADERO</v>
      </c>
      <c r="T56" s="156">
        <f>IF('CALCULATOR SHEET'!$V$58="PESOS",'CALCULATOR SHEET'!U54*19.5,'CALCULATOR SHEET'!U54)</f>
        <v>30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376.88</v>
      </c>
      <c r="Q62" s="184"/>
      <c r="X62" s="159" t="str">
        <f>IF('CALCULATOR SHEET'!$Y$2=1,GENERAL!Q35,GENERAL!S35)</f>
        <v>SUB TOTAL</v>
      </c>
      <c r="Y62" s="218">
        <f>P62</f>
        <v>376.88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113.06399999999999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293.81600000000003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>SERVICES</v>
      </c>
      <c r="P65" s="183">
        <f>IF(Y66&lt;&gt;0,Y66,"")</f>
        <v>30</v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293.81600000000003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293.81600000000003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30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293.81600000000003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293.81600000000003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44.5</v>
      </c>
      <c r="AL7" s="53">
        <f>'CALCULATOR SHEET'!L13</f>
        <v>64</v>
      </c>
      <c r="AM7" s="53">
        <f>IF(AK7=0,"",MATCH(CEILING(AK7,6),$E$4:$AA$4,0))</f>
        <v>5</v>
      </c>
      <c r="AN7" s="53">
        <f>IF(AL7=0,"",MATCH(CEILING(AL7,6),$D$7:$D$28,0))</f>
        <v>8</v>
      </c>
      <c r="AO7" s="54">
        <f>IF(AM7="","",INDEX($E$7:$AA$28,AN7,AM7))</f>
        <v>117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44.5</v>
      </c>
      <c r="AL7" s="53">
        <f>'CALCULATOR SHEET'!L13</f>
        <v>64</v>
      </c>
      <c r="AM7" s="53">
        <f t="shared" ref="AM7:AM70" si="0">IF(AK7=0,"",MATCH(CEILING(AK7,6),$E$4:$AA$4,0))</f>
        <v>5</v>
      </c>
      <c r="AN7" s="53">
        <f>IF(AL7=0,"",MATCH(CEILING(AL7,6),$D$7:$D$28,0))</f>
        <v>8</v>
      </c>
      <c r="AO7" s="54">
        <f t="shared" ref="AO7:AO70" si="1">IF(AM7="","",INDEX($E$7:$AA$28,AN7,AM7))</f>
        <v>141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44.5</v>
      </c>
      <c r="AL7" s="53">
        <f>'CALCULATOR SHEET'!L13</f>
        <v>64</v>
      </c>
      <c r="AM7" s="53">
        <f>IF(AK7=0,"",MATCH(CEILING(AK7,6),$E$4:$AA$4,0))</f>
        <v>5</v>
      </c>
      <c r="AN7" s="53">
        <f>IF(AL7=0,"",MATCH(CEILING(AL7,6),$D$7:$D$28,0))</f>
        <v>8</v>
      </c>
      <c r="AO7" s="54">
        <f>IF(AM7="","",INDEX($E$7:$AA$28,AN7,AM7))</f>
        <v>154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44.5</v>
      </c>
      <c r="AL7" s="53">
        <f>'CALCULATOR SHEET'!L13</f>
        <v>64</v>
      </c>
      <c r="AM7" s="53">
        <f t="shared" ref="AM7:AM70" si="0">IF(AK7=0,"",MATCH(CEILING(AK7,6),$E$4:$AA$4,0))</f>
        <v>5</v>
      </c>
      <c r="AN7" s="53">
        <f>IF(AL7=0,"",MATCH(CEILING(AL7,6),$D$7:$D$28,0))</f>
        <v>8</v>
      </c>
      <c r="AO7" s="54">
        <f t="shared" ref="AO7:AO70" si="1">IF(AM7="","",INDEX($E$7:$AA$28,AN7,AM7))</f>
        <v>175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3</v>
      </c>
      <c r="X7" s="1">
        <v>1</v>
      </c>
      <c r="Y7" s="7">
        <f>'CALCULATOR SHEET'!K13</f>
        <v>44.5</v>
      </c>
      <c r="Z7" s="7">
        <f>'CALCULATOR SHEET'!L13</f>
        <v>64</v>
      </c>
      <c r="AA7" s="7">
        <f>IF(Y7=0,"",MATCH(CEILING(Y7,6),$C$7:$R$7,0))</f>
        <v>4</v>
      </c>
      <c r="AB7" s="7">
        <f>IF(Z7=0,"",MATCH(CEILING(Z7,6),$B$10:$B$26,0))</f>
        <v>6</v>
      </c>
      <c r="AC7" s="142">
        <f>IF(AA7="","",IF(W7="GROUP 1",INDEX($C$10:$R$26,AB7,AA7),IF(W7="GROUP 2",INDEX($C$39:$R$55,AB7,AA7),IF(W7="GROUP 3",INDEX($C$64:$R$80,AB7,AA7),""))))</f>
        <v>339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203</v>
      </c>
      <c r="AF7" s="13">
        <f>IF(Y7&gt;0,HLOOKUP(AA7,$C$29:$R$30,2,FALSE),"")</f>
        <v>136</v>
      </c>
    </row>
    <row r="8" spans="2:32" ht="15.75">
      <c r="U8" s="494"/>
      <c r="V8" s="143"/>
      <c r="W8" s="143">
        <f>'CALCULATOR SHEET'!E14</f>
        <v>0</v>
      </c>
      <c r="X8" s="1">
        <f>+X7+1</f>
        <v>2</v>
      </c>
      <c r="Y8" s="7">
        <f>'CALCULATOR SHEET'!K14</f>
        <v>0</v>
      </c>
      <c r="Z8" s="7">
        <f>'CALCULATOR SHEET'!L14</f>
        <v>0</v>
      </c>
      <c r="AA8" s="7" t="str">
        <f t="shared" ref="AA8:AA28" si="1">IF(Y8=0,"",MATCH(CEILING(Y8,6),$C$7:$R$7,0))</f>
        <v/>
      </c>
      <c r="AB8" s="7" t="str">
        <f t="shared" ref="AB8:AB28" si="2">IF(Z8=0,"",MATCH(CEILING(Z8,6),$B$10:$B$26,0))</f>
        <v/>
      </c>
      <c r="AC8" s="142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 t="str">
        <f t="shared" ref="AE8:AE28" si="4">IF(AB8&lt;&gt;"",VLOOKUP(AB8,$T$10:$U$26,2,FALSE),"")</f>
        <v/>
      </c>
      <c r="AF8" s="13" t="str">
        <f t="shared" ref="AF8:AF71" si="5">IF(Y8&gt;0,HLOOKUP(AA8,$C$29:$R$30,2,FALSE),"")</f>
        <v/>
      </c>
    </row>
    <row r="9" spans="2:32" ht="15.75">
      <c r="B9" s="130" t="s">
        <v>96</v>
      </c>
      <c r="S9" s="130" t="s">
        <v>96</v>
      </c>
      <c r="U9" s="25"/>
      <c r="V9" s="25"/>
      <c r="W9" s="143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2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2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2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2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7.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 t="str">
        <f>'CALCULATOR SHEET'!E54</f>
        <v xml:space="preserve">SERVICIO DE LUBRACAR MOTORES Y COMPONENTES EN ROLLER EXISTENTES 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44.5</v>
      </c>
      <c r="W7" s="7">
        <f>'CALCULATOR SHEET'!L13</f>
        <v>64</v>
      </c>
      <c r="X7" s="7">
        <f>IF(V7=0,"",MATCH(CEILING(V7,6),$C$8:$Q$8,0))</f>
        <v>5</v>
      </c>
      <c r="Y7" s="7">
        <f>IF(W7=0,"",MATCH(CEILING(W7,6),$B$10:$B$26,0))</f>
        <v>8</v>
      </c>
      <c r="Z7" s="142">
        <f>IF(X7="","",INDEX($C$12:$Q$26,Y7,X7))</f>
        <v>232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0</v>
      </c>
      <c r="W8" s="7">
        <f>'CALCULATOR SHEET'!L14</f>
        <v>0</v>
      </c>
      <c r="X8" s="7" t="str">
        <f t="shared" ref="X8:X73" si="0">IF(V8=0,"",MATCH(CEILING(V8,6),$C$8:$Q$8,0))</f>
        <v/>
      </c>
      <c r="Y8" s="7" t="str">
        <f t="shared" ref="Y8:Y71" si="1">IF(W8=0,"",MATCH(CEILING(W8,6),$B$10:$B$26,0))</f>
        <v/>
      </c>
      <c r="Z8" s="142" t="str">
        <f>IF(X8="","",INDEX($C$12:$Q$26,Y8,X8))</f>
        <v/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2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2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2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2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44.5</v>
      </c>
      <c r="X7" s="7">
        <f>'CALCULATOR SHEET'!L13</f>
        <v>64</v>
      </c>
      <c r="Y7" s="7">
        <f>IF(W7=0,"",MATCH(CEILING(W7,6),$C$7:$Q$7,0))</f>
        <v>5</v>
      </c>
      <c r="Z7" s="7">
        <f>IF(X7=0,"",MATCH(CEILING(X7,6),$B$10:$B$26,0))</f>
        <v>8</v>
      </c>
      <c r="AA7" s="142">
        <f>IF(Y7="","",INDEX($C$10:$Q$26,Z7,Y7))</f>
        <v>241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0</v>
      </c>
      <c r="X8" s="7">
        <f>'CALCULATOR SHEET'!L14</f>
        <v>0</v>
      </c>
      <c r="Y8" s="7" t="str">
        <f t="shared" ref="Y8:Y71" si="1">IF(W8=0,"",MATCH(CEILING(W8,6),$C$7:$Q$7,0))</f>
        <v/>
      </c>
      <c r="Z8" s="7" t="str">
        <f t="shared" ref="Z8:Z71" si="2">IF(X8=0,"",MATCH(CEILING(X8,6),$B$10:$B$26,0))</f>
        <v/>
      </c>
      <c r="AA8" s="142" t="str">
        <f t="shared" ref="AA8:AA71" si="3">IF(Y8="","",INDEX($C$10:$Q$26,Z8,Y8))</f>
        <v/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44.5</v>
      </c>
      <c r="X7" s="7">
        <f>'CALCULATOR SHEET'!L13</f>
        <v>64</v>
      </c>
      <c r="Y7" s="7">
        <f>IF(W7=0,"",MATCH(CEILING(W7,6),$C$7:$Q$7,0))</f>
        <v>5</v>
      </c>
      <c r="Z7" s="7">
        <f>IF(X7=0,"",MATCH(CEILING(X7,6),$B$10:$B$26,0))</f>
        <v>8</v>
      </c>
      <c r="AA7" s="142">
        <f>IF(Y7="","",INDEX($C$10:$Q$26,Z7,Y7))</f>
        <v>287</v>
      </c>
    </row>
    <row r="8" spans="2:27">
      <c r="T8" s="494"/>
      <c r="V8" s="1">
        <f>+V7+1</f>
        <v>2</v>
      </c>
      <c r="W8" s="7">
        <f>'CALCULATOR SHEET'!K14</f>
        <v>0</v>
      </c>
      <c r="X8" s="7">
        <f>'CALCULATOR SHEET'!L14</f>
        <v>0</v>
      </c>
      <c r="Y8" s="7" t="str">
        <f t="shared" ref="Y8:Y71" si="1">IF(W8=0,"",MATCH(CEILING(W8,6),$C$7:$Q$7,0))</f>
        <v/>
      </c>
      <c r="Z8" s="7" t="str">
        <f t="shared" ref="Z8:Z71" si="2">IF(X8=0,"",MATCH(CEILING(X8,6),$B$10:$B$26,0))</f>
        <v/>
      </c>
      <c r="AA8" s="142" t="str">
        <f t="shared" ref="AA8:AA71" si="3">IF(Y8="","",INDEX($C$10:$Q$26,Z8,Y8))</f>
        <v/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44.5</v>
      </c>
      <c r="Y7" s="7">
        <f>'CALCULATOR SHEET'!L13</f>
        <v>64</v>
      </c>
      <c r="Z7" s="7">
        <f>IF(X7=0,"",MATCH(CEILING(X7,6),$C$7:$R$7,0))</f>
        <v>5</v>
      </c>
      <c r="AA7" s="7">
        <f>IF(Y7=0,"",MATCH(CEILING(Y7,6),$B$10:$B$26,0))</f>
        <v>8</v>
      </c>
      <c r="AB7" s="142">
        <f>IF(Z7="","",INDEX($C$10:$R$26,AA7,Z7))</f>
        <v>347</v>
      </c>
    </row>
    <row r="8" spans="2:28" ht="15.75">
      <c r="U8" s="494"/>
      <c r="V8" s="143"/>
      <c r="W8" s="1">
        <f>+W7+1</f>
        <v>2</v>
      </c>
      <c r="X8" s="7">
        <f>'CALCULATOR SHEET'!K14</f>
        <v>0</v>
      </c>
      <c r="Y8" s="7">
        <f>'CALCULATOR SHEET'!L14</f>
        <v>0</v>
      </c>
      <c r="Z8" s="7" t="str">
        <f t="shared" ref="Z8:Z71" si="0">IF(X8=0,"",MATCH(CEILING(X8,6),$C$7:$R$7,0))</f>
        <v/>
      </c>
      <c r="AA8" s="7" t="str">
        <f t="shared" ref="AA8:AA71" si="1">IF(Y8=0,"",MATCH(CEILING(Y8,6),$B$10:$B$26,0))</f>
        <v/>
      </c>
      <c r="AB8" s="142" t="str">
        <f t="shared" ref="AB8:AB71" si="2">IF(Z8="","",INDEX($C$10:$R$26,AA8,Z8))</f>
        <v/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0</v>
      </c>
      <c r="Y9" s="7">
        <f>'CALCULATOR SHEET'!L15</f>
        <v>0</v>
      </c>
      <c r="Z9" s="7" t="str">
        <f t="shared" si="0"/>
        <v/>
      </c>
      <c r="AA9" s="7" t="str">
        <f t="shared" si="1"/>
        <v/>
      </c>
      <c r="AB9" s="142" t="str">
        <f t="shared" si="2"/>
        <v/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0</v>
      </c>
      <c r="Y10" s="7">
        <f>'CALCULATOR SHEET'!L16</f>
        <v>0</v>
      </c>
      <c r="Z10" s="7" t="str">
        <f t="shared" si="0"/>
        <v/>
      </c>
      <c r="AA10" s="7" t="str">
        <f t="shared" si="1"/>
        <v/>
      </c>
      <c r="AB10" s="142" t="str">
        <f t="shared" si="2"/>
        <v/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0</v>
      </c>
      <c r="Y11" s="7">
        <f>'CALCULATOR SHEET'!L17</f>
        <v>0</v>
      </c>
      <c r="Z11" s="7" t="str">
        <f t="shared" si="0"/>
        <v/>
      </c>
      <c r="AA11" s="7" t="str">
        <f t="shared" si="1"/>
        <v/>
      </c>
      <c r="AB11" s="142" t="str">
        <f t="shared" si="2"/>
        <v/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0</v>
      </c>
      <c r="Y12" s="7">
        <f>'CALCULATOR SHEET'!L18</f>
        <v>0</v>
      </c>
      <c r="Z12" s="7" t="str">
        <f t="shared" si="0"/>
        <v/>
      </c>
      <c r="AA12" s="7" t="str">
        <f t="shared" si="1"/>
        <v/>
      </c>
      <c r="AB12" s="142" t="str">
        <f t="shared" si="2"/>
        <v/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44.5</v>
      </c>
      <c r="X7" s="7">
        <f>'CALCULATOR SHEET'!L13</f>
        <v>64</v>
      </c>
      <c r="Y7" s="7">
        <f>IF(W7=0,"",MATCH(CEILING(W7,6),$C$7:$Q$7,0))</f>
        <v>5</v>
      </c>
      <c r="Z7" s="7">
        <f>IF(X7=0,"",MATCH(CEILING(X7,6),$B$10:$B$26,0))</f>
        <v>8</v>
      </c>
      <c r="AA7" s="142">
        <f>IF(Y7="","",INDEX($C$10:$Q$26,Z7,Y7))</f>
        <v>369</v>
      </c>
    </row>
    <row r="8" spans="2:27">
      <c r="T8" s="494"/>
      <c r="V8" s="1">
        <f>+V7+1</f>
        <v>2</v>
      </c>
      <c r="W8" s="7">
        <f>'CALCULATOR SHEET'!K14</f>
        <v>0</v>
      </c>
      <c r="X8" s="7">
        <f>'CALCULATOR SHEET'!L14</f>
        <v>0</v>
      </c>
      <c r="Y8" s="7" t="str">
        <f t="shared" ref="Y8:Y71" si="1">IF(W8=0,"",MATCH(CEILING(W8,6),$C$7:$Q$7,0))</f>
        <v/>
      </c>
      <c r="Z8" s="7" t="str">
        <f t="shared" ref="Z8:Z71" si="2">IF(X8=0,"",MATCH(CEILING(X8,6),$B$10:$B$26,0))</f>
        <v/>
      </c>
      <c r="AA8" s="142" t="str">
        <f t="shared" ref="AA8:AA71" si="3">IF(Y8="","",INDEX($C$10:$Q$26,Z8,Y8))</f>
        <v/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F1" zoomScale="80" zoomScaleNormal="80" workbookViewId="0">
      <selection activeCell="P13" sqref="P13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581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0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582</v>
      </c>
      <c r="S5" s="282"/>
      <c r="T5" s="19"/>
      <c r="U5" s="19" t="s">
        <v>42</v>
      </c>
      <c r="V5" s="49" t="s">
        <v>592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588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586</v>
      </c>
      <c r="E9" s="39"/>
      <c r="F9" s="401"/>
      <c r="G9" s="401"/>
      <c r="H9" s="1"/>
      <c r="I9" s="38" t="s">
        <v>382</v>
      </c>
      <c r="J9" s="334" t="s">
        <v>589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46063</v>
      </c>
      <c r="AB9" s="38" t="s">
        <v>291</v>
      </c>
      <c r="AC9" s="34">
        <f>SUMIF(C13:C52,"&gt;0")</f>
        <v>1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587</v>
      </c>
      <c r="E10" s="145"/>
      <c r="F10" s="401"/>
      <c r="G10" s="401"/>
      <c r="H10" s="1"/>
      <c r="I10" s="332" t="s">
        <v>383</v>
      </c>
      <c r="J10" s="334" t="s">
        <v>590</v>
      </c>
      <c r="K10" s="1"/>
      <c r="L10" s="3" t="s">
        <v>388</v>
      </c>
      <c r="M10" s="335">
        <v>6645979564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>MATCH</v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>
        <v>40012</v>
      </c>
      <c r="K11" s="46"/>
      <c r="L11" s="38" t="s">
        <v>387</v>
      </c>
      <c r="M11" s="298" t="s">
        <v>591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21</v>
      </c>
      <c r="F13" s="69" t="s">
        <v>418</v>
      </c>
      <c r="G13" s="69">
        <f>_xlfn.XLOOKUP(F13,'Colors and Collections (2)'!E4:E191,'Colors and Collections (2)'!D4:D191)</f>
        <v>118</v>
      </c>
      <c r="H13" s="69"/>
      <c r="I13" s="68" t="s">
        <v>584</v>
      </c>
      <c r="J13" s="68" t="s">
        <v>585</v>
      </c>
      <c r="K13" s="81">
        <v>44.5</v>
      </c>
      <c r="L13" s="81">
        <v>64</v>
      </c>
      <c r="M13" s="251" t="s">
        <v>267</v>
      </c>
      <c r="N13" s="70" t="s">
        <v>404</v>
      </c>
      <c r="O13" s="281" t="s">
        <v>123</v>
      </c>
      <c r="P13" s="251" t="s">
        <v>206</v>
      </c>
      <c r="Q13" s="251" t="s">
        <v>305</v>
      </c>
      <c r="R13" s="70" t="s">
        <v>45</v>
      </c>
      <c r="S13" s="70" t="s">
        <v>46</v>
      </c>
      <c r="T13" s="70" t="s">
        <v>45</v>
      </c>
      <c r="U13" s="71">
        <f>IF(W13="REVISAR MEDIDA","NO APLICA",Y13+Z13)</f>
        <v>376.88</v>
      </c>
      <c r="V13" s="312">
        <f t="shared" ref="V13:V52" si="0">IF(U13="","",U13*C13)</f>
        <v>376.88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376.88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141</v>
      </c>
      <c r="AG13" s="116" t="str">
        <f>IF(H13="YES",(((K13+4)*(L13+15))/144)*$AG$11,"")</f>
        <v/>
      </c>
      <c r="AH13" s="116" t="str">
        <f>IF(R13="YES",'ROLLER G1'!AR7,"")</f>
        <v/>
      </c>
      <c r="AI13" s="116">
        <f>IF(S13="YES",'ROLLER G1'!AS7,"")</f>
        <v>47</v>
      </c>
      <c r="AJ13" s="116">
        <f>IF(OR(N13="",N13="NO"),"",IF(AD13="ROLLER",VLOOKUP(N13,GENERAL!$E$6:$F$15,2,FALSE),""))</f>
        <v>188.88</v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/>
      <c r="D14" s="148"/>
      <c r="E14" s="69"/>
      <c r="F14" s="69"/>
      <c r="G14" s="69">
        <f>_xlfn.XLOOKUP(F14,'Colors and Collections (2)'!E5:E192,'Colors and Collections (2)'!D5:D192)</f>
        <v>0</v>
      </c>
      <c r="H14" s="69"/>
      <c r="I14" s="68"/>
      <c r="J14" s="68"/>
      <c r="K14" s="81"/>
      <c r="L14" s="81"/>
      <c r="M14" s="251"/>
      <c r="N14" s="70"/>
      <c r="O14" s="281"/>
      <c r="P14" s="251"/>
      <c r="Q14" s="251"/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0</v>
      </c>
      <c r="V14" s="312">
        <f t="shared" si="0"/>
        <v>0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0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>
        <f t="shared" si="3"/>
        <v>0</v>
      </c>
      <c r="AE14" s="268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8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51"/>
      <c r="N15" s="70"/>
      <c r="O15" s="281"/>
      <c r="P15" s="251"/>
      <c r="Q15" s="251"/>
      <c r="R15" s="70" t="s">
        <v>45</v>
      </c>
      <c r="S15" s="70" t="s">
        <v>45</v>
      </c>
      <c r="T15" s="70" t="s">
        <v>45</v>
      </c>
      <c r="U15" s="71">
        <f t="shared" si="4"/>
        <v>0</v>
      </c>
      <c r="V15" s="312">
        <f t="shared" si="0"/>
        <v>0</v>
      </c>
      <c r="W15" s="175" t="str">
        <f t="shared" si="5"/>
        <v/>
      </c>
      <c r="X15" s="116"/>
      <c r="Y15" s="120">
        <f t="shared" si="1"/>
        <v>0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>
        <f t="shared" si="3"/>
        <v>0</v>
      </c>
      <c r="AE15" s="268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8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51"/>
      <c r="N16" s="70"/>
      <c r="O16" s="281"/>
      <c r="P16" s="251"/>
      <c r="Q16" s="251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12">
        <f t="shared" si="0"/>
        <v>0</v>
      </c>
      <c r="W16" s="175" t="str">
        <f t="shared" si="5"/>
        <v/>
      </c>
      <c r="X16" s="116"/>
      <c r="Y16" s="120">
        <f t="shared" si="1"/>
        <v>0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>
        <f t="shared" si="3"/>
        <v>0</v>
      </c>
      <c r="AE16" s="268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8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51"/>
      <c r="N17" s="70"/>
      <c r="O17" s="281"/>
      <c r="P17" s="251"/>
      <c r="Q17" s="251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12">
        <f t="shared" si="0"/>
        <v>0</v>
      </c>
      <c r="W17" s="175" t="str">
        <f t="shared" si="5"/>
        <v/>
      </c>
      <c r="X17" s="116"/>
      <c r="Y17" s="120">
        <f t="shared" si="1"/>
        <v>0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>
        <f t="shared" si="3"/>
        <v>0</v>
      </c>
      <c r="AE17" s="268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8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51"/>
      <c r="N18" s="70"/>
      <c r="O18" s="281"/>
      <c r="P18" s="251"/>
      <c r="Q18" s="251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12">
        <f t="shared" si="0"/>
        <v>0</v>
      </c>
      <c r="W18" s="175" t="str">
        <f t="shared" si="5"/>
        <v/>
      </c>
      <c r="X18" s="116"/>
      <c r="Y18" s="120">
        <f t="shared" si="1"/>
        <v>0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>
        <f t="shared" si="3"/>
        <v>0</v>
      </c>
      <c r="AE18" s="268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2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>
        <v>1</v>
      </c>
      <c r="D54" s="195"/>
      <c r="E54" s="202" t="s">
        <v>593</v>
      </c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>
        <v>30</v>
      </c>
      <c r="V54" s="110">
        <f>IF(U54="","",U54*C54)</f>
        <v>30</v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376.88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113.06399999999999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30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293.81600000000003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293.81600000000003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44.5</v>
      </c>
      <c r="Y5" s="7">
        <f>'PM-ORDER'!P5</f>
        <v>64</v>
      </c>
      <c r="Z5" s="7">
        <f>IF(X5&lt;&gt;"",MATCH(CEILING(X5,6),$C$4:$S$4,0),"")</f>
        <v>5</v>
      </c>
      <c r="AA5" s="7">
        <f>IF(X5&lt;&gt;"",MATCH(CEILING(Y5,6),$B$7:$B$26,0),"")</f>
        <v>8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 t="str">
        <f>'PM-ORDER'!O6</f>
        <v/>
      </c>
      <c r="Y6" s="7" t="str">
        <f>'PM-ORDER'!P6</f>
        <v/>
      </c>
      <c r="Z6" s="7" t="str">
        <f t="shared" ref="Z6:Z44" si="0">IF(X6&lt;&gt;"",MATCH(CEILING(X6,6),$C$4:$S$4,0),"")</f>
        <v/>
      </c>
      <c r="AA6" s="7" t="str">
        <f t="shared" ref="AA6:AA44" si="1">IF(X6&lt;&gt;"",MATCH(CEILING(Y6,6),$B$7:$B$26,0),"")</f>
        <v/>
      </c>
      <c r="AC6" s="7" t="str">
        <f>IF('PM-ORDER'!G6="ROLLER",INDEX($C$7:$S$26,AA6,Z6),"")</f>
        <v/>
      </c>
      <c r="AF6" s="7" t="str">
        <f>IF('PM-ORDER'!G6="ZEBRA",INDEX($C$35:$S$54,AA6,Z6),"")</f>
        <v/>
      </c>
      <c r="AG6" s="1" t="str">
        <f t="shared" ref="AG6:AG44" si="2">CONCATENATE(AC6,AF6)</f>
        <v/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W14:Y14"/>
    <mergeCell ref="S20:U20"/>
    <mergeCell ref="W20:Y20"/>
    <mergeCell ref="A86:B86"/>
    <mergeCell ref="E84:F84"/>
    <mergeCell ref="H82:I82"/>
    <mergeCell ref="J82:K82"/>
    <mergeCell ref="S11:U11"/>
    <mergeCell ref="S14:U14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tabSelected="1" topLeftCell="O1" zoomScale="85" zoomScaleNormal="85" workbookViewId="0">
      <selection activeCell="AN6" sqref="AN6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46065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260210 A </v>
      </c>
      <c r="D5" s="225">
        <f>IF('CALCULATOR SHEET'!D13&lt;&gt;"",'CALCULATOR SHEET'!$V$9,"")</f>
        <v>46063</v>
      </c>
      <c r="E5" s="226" t="str">
        <f>IF(D5&lt;&gt;"","BAJA SHADES","")</f>
        <v>BAJA SHADES</v>
      </c>
      <c r="F5" s="227" t="str">
        <f>IF(C5&lt;&gt;"",'CALCULATOR SHEET'!$D$9,"")</f>
        <v xml:space="preserve">RESIDENCIA MISINO VIEJO </v>
      </c>
      <c r="G5" s="227" t="str">
        <f>IF('CALCULATOR SHEET'!D13&lt;&gt;"",'CALCULATOR SHEET'!D13,"")</f>
        <v>ROLLER</v>
      </c>
      <c r="H5" s="227" t="str">
        <f>IF(Q5="CCL",BOMS!AG5,"")</f>
        <v/>
      </c>
      <c r="I5" s="226">
        <v>1</v>
      </c>
      <c r="J5" s="227" t="str">
        <f>IF(C5&lt;&gt;"",'CALCULATOR SHEET'!M13,"")</f>
        <v>REMOTE CONTROL</v>
      </c>
      <c r="K5" s="227" t="str">
        <f>IF(J5=GENERAL!$H$6,GENERAL!$H$6,IF(J5=GENERAL!$H$7,GENERAL!$H$7,IF('PM-ORDER'!J5=GENERAL!$H$8,GENERAL!$H$8,"")))</f>
        <v/>
      </c>
      <c r="L5" s="227" t="str">
        <f>IF(C5&lt;&gt;"",'CALCULATOR SHEET'!I13,"")</f>
        <v xml:space="preserve">SCREEN BASIC ALABASTER </v>
      </c>
      <c r="M5" s="227" t="str">
        <f>IF(C5&lt;&gt;"",'CALCULATOR SHEET'!Q13,"")</f>
        <v>STANDARD ROLL</v>
      </c>
      <c r="N5" s="227" t="str">
        <f>IF(C5&lt;&gt;"",'CALCULATOR SHEET'!J13,"")</f>
        <v xml:space="preserve">VENTANA CIRCULO </v>
      </c>
      <c r="O5" s="229">
        <f>IF(D5&lt;&gt;"",'CALCULATOR SHEET'!K13,"")</f>
        <v>44.5</v>
      </c>
      <c r="P5" s="229">
        <f>IF(E5&lt;&gt;"",'CALCULATOR SHEET'!L13,"")</f>
        <v>64</v>
      </c>
      <c r="Q5" s="226" t="str">
        <f>IF('CALCULATOR SHEET'!M13=GENERAL!$H$9,GENERAL!$H$9,IF(OR('CALCULATOR SHEET'!M13=GENERAL!$H$6,'CALCULATOR SHEET'!M13=GENERAL!$H$7,'CALCULATOR SHEET'!M13=GENERAL!$H$8),"CCL",""))</f>
        <v>REMOTE CONTROL</v>
      </c>
      <c r="R5" s="226" t="str">
        <f>IF(C5&lt;&gt;"",'CALCULATOR SHEET'!O13,"")</f>
        <v>R</v>
      </c>
      <c r="S5" s="226" t="str">
        <f>IF(D5&lt;&gt;"",'CALCULATOR SHEET'!P13,"")</f>
        <v>OUTSIDE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MISION VIEJO SUR </v>
      </c>
      <c r="AB5" s="228"/>
      <c r="AC5" s="228"/>
      <c r="AD5" s="230"/>
      <c r="AE5" s="231"/>
      <c r="AF5" s="158"/>
      <c r="AG5" s="249" t="s">
        <v>585</v>
      </c>
      <c r="AH5" s="249"/>
      <c r="AI5" s="248">
        <v>46</v>
      </c>
      <c r="AJ5" s="248">
        <v>4.5</v>
      </c>
      <c r="AK5" s="248">
        <v>4.5</v>
      </c>
      <c r="AL5" s="248">
        <v>4.5</v>
      </c>
      <c r="AM5" s="248">
        <v>4.5</v>
      </c>
      <c r="AN5" s="249" t="s">
        <v>584</v>
      </c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/>
      </c>
      <c r="D6" s="225" t="str">
        <f>IF('CALCULATOR SHEET'!D14&lt;&gt;"",'CALCULATOR SHEET'!$V$9,"")</f>
        <v/>
      </c>
      <c r="E6" s="226" t="str">
        <f t="shared" ref="E6:E69" si="0">IF(D6&lt;&gt;"","BAJA SHADES","")</f>
        <v/>
      </c>
      <c r="F6" s="227" t="str">
        <f>IF(C6&lt;&gt;"",'CALCULATOR SHEET'!$D$9,"")</f>
        <v/>
      </c>
      <c r="G6" s="227" t="str">
        <f>IF('CALCULATOR SHEET'!D14&lt;&gt;"",'CALCULATOR SHEET'!D14,"")</f>
        <v/>
      </c>
      <c r="H6" s="227" t="str">
        <f>IF(Q6="CCL",BOMS!AG6,"")</f>
        <v/>
      </c>
      <c r="I6" s="226">
        <v>1</v>
      </c>
      <c r="J6" s="227" t="str">
        <f>IF(C6&lt;&gt;"",'CALCULATOR SHEET'!M14,"")</f>
        <v/>
      </c>
      <c r="K6" s="227" t="str">
        <f>IF(J6=GENERAL!$H$6,GENERAL!$H$6,IF(J6=GENERAL!$H$7,GENERAL!$H$7,IF('PM-ORDER'!J6=GENERAL!$H$8,GENERAL!$H$8,"")))</f>
        <v/>
      </c>
      <c r="L6" s="227" t="str">
        <f>IF(C6&lt;&gt;"",'CALCULATOR SHEET'!I14,"")</f>
        <v/>
      </c>
      <c r="M6" s="227" t="str">
        <f>IF(C6&lt;&gt;"",'CALCULATOR SHEET'!Q14,"")</f>
        <v/>
      </c>
      <c r="N6" s="227" t="str">
        <f>IF(C6&lt;&gt;"",'CALCULATOR SHEET'!J14,"")</f>
        <v/>
      </c>
      <c r="O6" s="229" t="str">
        <f>IF(D6&lt;&gt;"",'CALCULATOR SHEET'!K14,"")</f>
        <v/>
      </c>
      <c r="P6" s="229" t="str">
        <f>IF(E6&lt;&gt;"",'CALCULATOR SHEET'!L14,"")</f>
        <v/>
      </c>
      <c r="Q6" s="226" t="str">
        <f>IF('CALCULATOR SHEET'!M14=GENERAL!$H$9,GENERAL!$H$9,IF(OR('CALCULATOR SHEET'!M14=GENERAL!$H$6,'CALCULATOR SHEET'!M14=GENERAL!$H$7,'CALCULATOR SHEET'!M14=GENERAL!$H$8),"CCL",""))</f>
        <v/>
      </c>
      <c r="R6" s="226" t="str">
        <f>IF(C6&lt;&gt;"",'CALCULATOR SHEET'!O14,"")</f>
        <v/>
      </c>
      <c r="S6" s="226" t="str">
        <f>IF(D6&lt;&gt;"",'CALCULATOR SHEET'!P14,"")</f>
        <v/>
      </c>
      <c r="T6" s="228"/>
      <c r="U6" s="242"/>
      <c r="V6" s="242"/>
      <c r="W6" s="226" t="str">
        <f>IF(C6&lt;&gt;"",'CALCULATOR SHEET'!T14,"")</f>
        <v/>
      </c>
      <c r="X6" s="226"/>
      <c r="Y6" s="226">
        <v>1</v>
      </c>
      <c r="Z6" s="228"/>
      <c r="AA6" s="228" t="str">
        <f>IF(C6&lt;&gt;"",'CALCULATOR SHEET'!$J$9,"")</f>
        <v/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/>
      </c>
      <c r="D7" s="225" t="str">
        <f>IF('CALCULATOR SHEET'!D15&lt;&gt;"",'CALCULATOR SHEET'!$V$9,"")</f>
        <v/>
      </c>
      <c r="E7" s="226" t="str">
        <f t="shared" si="0"/>
        <v/>
      </c>
      <c r="F7" s="227" t="str">
        <f>IF(C7&lt;&gt;"",'CALCULATOR SHEET'!$D$9,"")</f>
        <v/>
      </c>
      <c r="G7" s="227" t="str">
        <f>IF('CALCULATOR SHEET'!D15&lt;&gt;"",'CALCULATOR SHEET'!D15,"")</f>
        <v/>
      </c>
      <c r="H7" s="227" t="str">
        <f>IF(Q7="CCL",BOMS!AG7,"")</f>
        <v/>
      </c>
      <c r="I7" s="226">
        <v>1</v>
      </c>
      <c r="J7" s="227" t="str">
        <f>IF(C7&lt;&gt;"",'CALCULATOR SHEET'!M15,"")</f>
        <v/>
      </c>
      <c r="K7" s="227" t="str">
        <f>IF(J7=GENERAL!$H$6,GENERAL!$H$6,IF(J7=GENERAL!$H$7,GENERAL!$H$7,IF('PM-ORDER'!J7=GENERAL!$H$8,GENERAL!$H$8,"")))</f>
        <v/>
      </c>
      <c r="L7" s="227" t="str">
        <f>IF(C7&lt;&gt;"",'CALCULATOR SHEET'!I15,"")</f>
        <v/>
      </c>
      <c r="M7" s="227" t="str">
        <f>IF(C7&lt;&gt;"",'CALCULATOR SHEET'!Q15,"")</f>
        <v/>
      </c>
      <c r="N7" s="227" t="str">
        <f>IF(C7&lt;&gt;"",'CALCULATOR SHEET'!J15,"")</f>
        <v/>
      </c>
      <c r="O7" s="229" t="str">
        <f>IF(D7&lt;&gt;"",'CALCULATOR SHEET'!K15,"")</f>
        <v/>
      </c>
      <c r="P7" s="229" t="str">
        <f>IF(E7&lt;&gt;"",'CALCULATOR SHEET'!L15,"")</f>
        <v/>
      </c>
      <c r="Q7" s="226" t="str">
        <f>IF('CALCULATOR SHEET'!M15=GENERAL!$H$9,GENERAL!$H$9,IF(OR('CALCULATOR SHEET'!M15=GENERAL!$H$6,'CALCULATOR SHEET'!M15=GENERAL!$H$7,'CALCULATOR SHEET'!M15=GENERAL!$H$8),"CCL",""))</f>
        <v/>
      </c>
      <c r="R7" s="226" t="str">
        <f>IF(C7&lt;&gt;"",'CALCULATOR SHEET'!O15,"")</f>
        <v/>
      </c>
      <c r="S7" s="226" t="str">
        <f>IF(D7&lt;&gt;"",'CALCULATOR SHEET'!P15,"")</f>
        <v/>
      </c>
      <c r="T7" s="228"/>
      <c r="U7" s="242"/>
      <c r="V7" s="242"/>
      <c r="W7" s="226" t="str">
        <f>IF(C7&lt;&gt;"",'CALCULATOR SHEET'!T15,"")</f>
        <v/>
      </c>
      <c r="X7" s="226"/>
      <c r="Y7" s="226">
        <v>1</v>
      </c>
      <c r="Z7" s="228"/>
      <c r="AA7" s="228" t="str">
        <f>IF(C7&lt;&gt;"",'CALCULATOR SHEET'!$J$9,"")</f>
        <v/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/>
      </c>
      <c r="D8" s="225" t="str">
        <f>IF('CALCULATOR SHEET'!D16&lt;&gt;"",'CALCULATOR SHEET'!$V$9,"")</f>
        <v/>
      </c>
      <c r="E8" s="226" t="str">
        <f t="shared" si="0"/>
        <v/>
      </c>
      <c r="F8" s="227" t="str">
        <f>IF(C8&lt;&gt;"",'CALCULATOR SHEET'!$D$9,"")</f>
        <v/>
      </c>
      <c r="G8" s="227" t="str">
        <f>IF('CALCULATOR SHEET'!D16&lt;&gt;"",'CALCULATOR SHEET'!D16,"")</f>
        <v/>
      </c>
      <c r="H8" s="227" t="str">
        <f>IF(Q8="CCL",BOMS!AG8,"")</f>
        <v/>
      </c>
      <c r="I8" s="226">
        <v>1</v>
      </c>
      <c r="J8" s="227" t="str">
        <f>IF(C8&lt;&gt;"",'CALCULATOR SHEET'!M16,"")</f>
        <v/>
      </c>
      <c r="K8" s="227" t="str">
        <f>IF(J8=GENERAL!$H$6,GENERAL!$H$6,IF(J8=GENERAL!$H$7,GENERAL!$H$7,IF('PM-ORDER'!J8=GENERAL!$H$8,GENERAL!$H$8,"")))</f>
        <v/>
      </c>
      <c r="L8" s="227" t="str">
        <f>IF(C8&lt;&gt;"",'CALCULATOR SHEET'!I16,"")</f>
        <v/>
      </c>
      <c r="M8" s="227" t="str">
        <f>IF(C8&lt;&gt;"",'CALCULATOR SHEET'!Q16,"")</f>
        <v/>
      </c>
      <c r="N8" s="227" t="str">
        <f>IF(C8&lt;&gt;"",'CALCULATOR SHEET'!J16,"")</f>
        <v/>
      </c>
      <c r="O8" s="229" t="str">
        <f>IF(D8&lt;&gt;"",'CALCULATOR SHEET'!K16,"")</f>
        <v/>
      </c>
      <c r="P8" s="229" t="str">
        <f>IF(E8&lt;&gt;"",'CALCULATOR SHEET'!L16,"")</f>
        <v/>
      </c>
      <c r="Q8" s="226" t="str">
        <f>IF('CALCULATOR SHEET'!M16=GENERAL!$H$9,GENERAL!$H$9,IF(OR('CALCULATOR SHEET'!M16=GENERAL!$H$6,'CALCULATOR SHEET'!M16=GENERAL!$H$7,'CALCULATOR SHEET'!M16=GENERAL!$H$8),"CCL",""))</f>
        <v/>
      </c>
      <c r="R8" s="226" t="str">
        <f>IF(C8&lt;&gt;"",'CALCULATOR SHEET'!O16,"")</f>
        <v/>
      </c>
      <c r="S8" s="226" t="str">
        <f>IF(D8&lt;&gt;"",'CALCULATOR SHEET'!P16,"")</f>
        <v/>
      </c>
      <c r="T8" s="228"/>
      <c r="U8" s="242"/>
      <c r="V8" s="242"/>
      <c r="W8" s="226" t="str">
        <f>IF(C8&lt;&gt;"",'CALCULATOR SHEET'!T16,"")</f>
        <v/>
      </c>
      <c r="X8" s="226"/>
      <c r="Y8" s="226">
        <v>1</v>
      </c>
      <c r="Z8" s="228"/>
      <c r="AA8" s="228" t="str">
        <f>IF(C8&lt;&gt;"",'CALCULATOR SHEET'!$J$9,"")</f>
        <v/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/>
      </c>
      <c r="D9" s="225" t="str">
        <f>IF('CALCULATOR SHEET'!D17&lt;&gt;"",'CALCULATOR SHEET'!$V$9,"")</f>
        <v/>
      </c>
      <c r="E9" s="226" t="str">
        <f t="shared" si="0"/>
        <v/>
      </c>
      <c r="F9" s="227" t="str">
        <f>IF(C9&lt;&gt;"",'CALCULATOR SHEET'!$D$9,"")</f>
        <v/>
      </c>
      <c r="G9" s="227" t="str">
        <f>IF('CALCULATOR SHEET'!D17&lt;&gt;"",'CALCULATOR SHEET'!D17,"")</f>
        <v/>
      </c>
      <c r="H9" s="227" t="str">
        <f>IF(Q9="CCL",BOMS!AG9,"")</f>
        <v/>
      </c>
      <c r="I9" s="226">
        <v>1</v>
      </c>
      <c r="J9" s="227" t="str">
        <f>IF(C9&lt;&gt;"",'CALCULATOR SHEET'!M17,"")</f>
        <v/>
      </c>
      <c r="K9" s="227" t="str">
        <f>IF(J9=GENERAL!$H$6,GENERAL!$H$6,IF(J9=GENERAL!$H$7,GENERAL!$H$7,IF('PM-ORDER'!J9=GENERAL!$H$8,GENERAL!$H$8,"")))</f>
        <v/>
      </c>
      <c r="L9" s="227" t="str">
        <f>IF(C9&lt;&gt;"",'CALCULATOR SHEET'!I17,"")</f>
        <v/>
      </c>
      <c r="M9" s="227" t="str">
        <f>IF(C9&lt;&gt;"",'CALCULATOR SHEET'!Q17,"")</f>
        <v/>
      </c>
      <c r="N9" s="227" t="str">
        <f>IF(C9&lt;&gt;"",'CALCULATOR SHEET'!J17,"")</f>
        <v/>
      </c>
      <c r="O9" s="229" t="str">
        <f>IF(D9&lt;&gt;"",'CALCULATOR SHEET'!K17,"")</f>
        <v/>
      </c>
      <c r="P9" s="229" t="str">
        <f>IF(E9&lt;&gt;"",'CALCULATOR SHEET'!L17,"")</f>
        <v/>
      </c>
      <c r="Q9" s="226" t="str">
        <f>IF('CALCULATOR SHEET'!M17=GENERAL!$H$9,GENERAL!$H$9,IF(OR('CALCULATOR SHEET'!M17=GENERAL!$H$6,'CALCULATOR SHEET'!M17=GENERAL!$H$7,'CALCULATOR SHEET'!M17=GENERAL!$H$8),"CCL",""))</f>
        <v/>
      </c>
      <c r="R9" s="226" t="str">
        <f>IF(C9&lt;&gt;"",'CALCULATOR SHEET'!O17,"")</f>
        <v/>
      </c>
      <c r="S9" s="226" t="str">
        <f>IF(D9&lt;&gt;"",'CALCULATOR SHEET'!P17,"")</f>
        <v/>
      </c>
      <c r="T9" s="228"/>
      <c r="U9" s="242"/>
      <c r="V9" s="242"/>
      <c r="W9" s="226" t="str">
        <f>IF(C9&lt;&gt;"",'CALCULATOR SHEET'!T17,"")</f>
        <v/>
      </c>
      <c r="X9" s="226"/>
      <c r="Y9" s="226">
        <v>1</v>
      </c>
      <c r="Z9" s="228"/>
      <c r="AA9" s="228" t="str">
        <f>IF(C9&lt;&gt;"",'CALCULATOR SHEET'!$J$9,"")</f>
        <v/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/>
      </c>
      <c r="D10" s="225" t="str">
        <f>IF('CALCULATOR SHEET'!D18&lt;&gt;"",'CALCULATOR SHEET'!$V$9,"")</f>
        <v/>
      </c>
      <c r="E10" s="226" t="str">
        <f t="shared" si="0"/>
        <v/>
      </c>
      <c r="F10" s="227" t="str">
        <f>IF(C10&lt;&gt;"",'CALCULATOR SHEET'!$D$9,"")</f>
        <v/>
      </c>
      <c r="G10" s="227" t="str">
        <f>IF('CALCULATOR SHEET'!D18&lt;&gt;"",'CALCULATOR SHEET'!D18,"")</f>
        <v/>
      </c>
      <c r="H10" s="227" t="str">
        <f>IF(Q10="CCL",BOMS!AG10,"")</f>
        <v/>
      </c>
      <c r="I10" s="226">
        <v>1</v>
      </c>
      <c r="J10" s="227" t="str">
        <f>IF(C10&lt;&gt;"",'CALCULATOR SHEET'!M18,"")</f>
        <v/>
      </c>
      <c r="K10" s="227" t="str">
        <f>IF(J10=GENERAL!$H$6,GENERAL!$H$6,IF(J10=GENERAL!$H$7,GENERAL!$H$7,IF('PM-ORDER'!J10=GENERAL!$H$8,GENERAL!$H$8,"")))</f>
        <v/>
      </c>
      <c r="L10" s="227" t="str">
        <f>IF(C10&lt;&gt;"",'CALCULATOR SHEET'!I18,"")</f>
        <v/>
      </c>
      <c r="M10" s="227" t="str">
        <f>IF(C10&lt;&gt;"",'CALCULATOR SHEET'!Q18,"")</f>
        <v/>
      </c>
      <c r="N10" s="227" t="str">
        <f>IF(C10&lt;&gt;"",'CALCULATOR SHEET'!J18,"")</f>
        <v/>
      </c>
      <c r="O10" s="229" t="str">
        <f>IF(D10&lt;&gt;"",'CALCULATOR SHEET'!K18,"")</f>
        <v/>
      </c>
      <c r="P10" s="229" t="str">
        <f>IF(E10&lt;&gt;"",'CALCULATOR SHEET'!L18,"")</f>
        <v/>
      </c>
      <c r="Q10" s="226" t="str">
        <f>IF('CALCULATOR SHEET'!M18=GENERAL!$H$9,GENERAL!$H$9,IF(OR('CALCULATOR SHEET'!M18=GENERAL!$H$6,'CALCULATOR SHEET'!M18=GENERAL!$H$7,'CALCULATOR SHEET'!M18=GENERAL!$H$8),"CCL",""))</f>
        <v/>
      </c>
      <c r="R10" s="226" t="str">
        <f>IF(C10&lt;&gt;"",'CALCULATOR SHEET'!O18,"")</f>
        <v/>
      </c>
      <c r="S10" s="226" t="str">
        <f>IF(D10&lt;&gt;"",'CALCULATOR SHEET'!P18,"")</f>
        <v/>
      </c>
      <c r="T10" s="228"/>
      <c r="U10" s="242"/>
      <c r="V10" s="242"/>
      <c r="W10" s="226" t="str">
        <f>IF(C10&lt;&gt;"",'CALCULATOR SHEET'!T18,"")</f>
        <v/>
      </c>
      <c r="X10" s="226"/>
      <c r="Y10" s="226">
        <v>1</v>
      </c>
      <c r="Z10" s="228"/>
      <c r="AA10" s="228" t="str">
        <f>IF(C10&lt;&gt;"",'CALCULATOR SHEET'!$J$9,"")</f>
        <v/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7" t="s">
        <v>464</v>
      </c>
      <c r="C7" s="488"/>
      <c r="D7" s="489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7" t="s">
        <v>529</v>
      </c>
      <c r="G28" s="488"/>
      <c r="H28" s="489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7" t="s">
        <v>495</v>
      </c>
      <c r="C52" s="488"/>
      <c r="D52" s="489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7" t="s">
        <v>554</v>
      </c>
      <c r="G70" s="488"/>
      <c r="H70" s="489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7" t="s">
        <v>501</v>
      </c>
      <c r="C80" s="488"/>
      <c r="D80" s="489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7" t="s">
        <v>564</v>
      </c>
      <c r="G94" s="488"/>
      <c r="H94" s="489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44.5</v>
      </c>
      <c r="AL7" s="36">
        <f>'CALCULATOR SHEET'!L13</f>
        <v>64</v>
      </c>
      <c r="AM7" s="36">
        <f>IF(AK7=0,"",MATCH(CEILING(AK7,6),$E$4:$AA$4,0))</f>
        <v>5</v>
      </c>
      <c r="AN7" s="36">
        <f>IF(AL7=0,"",MATCH(CEILING(AL7,6),$D$7:$D$28,0))</f>
        <v>8</v>
      </c>
      <c r="AO7" s="57">
        <f>IF(AM7="","",INDEX($E$7:$AA$28,AN7,AM7))</f>
        <v>92</v>
      </c>
      <c r="AP7" s="58"/>
      <c r="AQ7" s="58">
        <f>IF(AK7&gt;0,HLOOKUP(CEILING(AK7,6),$E$39:$Q$40,2,0),"")</f>
        <v>68</v>
      </c>
      <c r="AR7" s="57">
        <f>IF(AK7&gt;0,HLOOKUP(CEILING(AK7,6),$E$30:$AA$31,2,0),"")</f>
        <v>62</v>
      </c>
      <c r="AS7" s="57">
        <f>IF(AK7&gt;0,HLOOKUP(CEILING(AK7,6),$E$33:$AA$34,2,0),"")</f>
        <v>47</v>
      </c>
      <c r="AT7" s="59">
        <f>IF(AK7&gt;0,HLOOKUP(CEILING(AK7,6),$E$36:$AA$37,2,0))</f>
        <v>21</v>
      </c>
      <c r="AU7" s="57">
        <f>IF(AM7="","",INDEX($AZ$6:$BV$27,AN7,AM7))</f>
        <v>471</v>
      </c>
      <c r="AV7" s="37">
        <f>IF(AL7&gt;0,VLOOKUP(CEILING(AL7,6),$AB$7:$AC$28,2,0),"")</f>
        <v>68</v>
      </c>
      <c r="AW7" s="105">
        <f>IF(AL7&gt;0,VLOOKUP(CEILING(AL7,6),$AB$7:$AD$28,3,0),"")</f>
        <v>13.25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0</v>
      </c>
      <c r="AL8" s="36">
        <f>'CALCULATOR SHEET'!L14</f>
        <v>0</v>
      </c>
      <c r="AM8" s="36" t="str">
        <f t="shared" ref="AM8:AM71" si="0">IF(AK8=0,"",MATCH(CEILING(AK8,6),$E$4:$AA$4,0))</f>
        <v/>
      </c>
      <c r="AN8" s="36" t="str">
        <f t="shared" ref="AN8:AN71" si="1">IF(AL8=0,"",MATCH(CEILING(AL8,6),$D$7:$D$28,0))</f>
        <v/>
      </c>
      <c r="AO8" s="57" t="str">
        <f t="shared" ref="AO8:AO71" si="2">IF(AM8="","",INDEX($E$7:$AA$28,AN8,AM8))</f>
        <v/>
      </c>
      <c r="AP8" s="58"/>
      <c r="AQ8" s="58" t="str">
        <f t="shared" ref="AQ8:AQ71" si="3">IF(AK8&gt;0,HLOOKUP(CEILING(AK8,6),$E$39:$Q$40,2,0),"")</f>
        <v/>
      </c>
      <c r="AR8" s="57" t="str">
        <f t="shared" ref="AR8:AR71" si="4">IF(AK8&gt;0,HLOOKUP(CEILING(AK8,6),$E$30:$AA$31,2,0),"")</f>
        <v/>
      </c>
      <c r="AS8" s="57" t="str">
        <f t="shared" ref="AS8:AS71" si="5">IF(AK8&gt;0,HLOOKUP(CEILING(AK8,6),$E$33:$AA$34,2,0),"")</f>
        <v/>
      </c>
      <c r="AT8" s="59" t="b">
        <f t="shared" ref="AT8:AT71" si="6">IF(AK8&gt;0,HLOOKUP(CEILING(AK8,6),$E$36:$AA$37,2,0))</f>
        <v>0</v>
      </c>
      <c r="AU8" s="57" t="str">
        <f t="shared" ref="AU8:AU71" si="7">IF(AM8="","",INDEX($AZ$6:$BV$27,AN8,AM8))</f>
        <v/>
      </c>
      <c r="AV8" s="37" t="str">
        <f t="shared" ref="AV8:AV71" si="8">IF(AL8&gt;0,VLOOKUP(CEILING(AL8,6),$AB$7:$AC$28,2,0),"")</f>
        <v/>
      </c>
      <c r="AW8" s="105" t="str">
        <f t="shared" ref="AW8:AW71" si="9">IF(AL8&gt;0,VLOOKUP(CEILING(AL8,6),$AB$7:$AD$28,3,0),"")</f>
        <v/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2026-01-13T22:49:18Z</cp:lastPrinted>
  <dcterms:created xsi:type="dcterms:W3CDTF">2016-09-27T19:33:28Z</dcterms:created>
  <dcterms:modified xsi:type="dcterms:W3CDTF">2026-02-12T23:09:34Z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