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nnise.flores\Desktop\COTIZACIONES 2026\FEBRERO 2026\"/>
    </mc:Choice>
  </mc:AlternateContent>
  <xr:revisionPtr revIDLastSave="0" documentId="8_{C43922C5-0325-4C35-9B2F-B613037B5369}" xr6:coauthVersionLast="47" xr6:coauthVersionMax="47" xr10:uidLastSave="{00000000-0000-0000-0000-000000000000}"/>
  <bookViews>
    <workbookView xWindow="-12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_xlnm.Print_Titles" localSheetId="0">CLIENTE!$4:$13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AD8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AF20" i="38" s="1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F17" i="38" s="1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O83" i="7" l="1"/>
  <c r="AO57" i="7"/>
  <c r="AO86" i="7"/>
  <c r="AO73" i="7"/>
  <c r="AO62" i="7"/>
  <c r="AU70" i="7"/>
  <c r="AO91" i="7"/>
  <c r="AF19" i="38"/>
  <c r="AO11" i="7"/>
  <c r="AO9" i="7"/>
  <c r="AF15" i="38" s="1"/>
  <c r="W25" i="38"/>
  <c r="W23" i="38"/>
  <c r="AF24" i="38"/>
  <c r="AU54" i="7"/>
  <c r="W38" i="38"/>
  <c r="W35" i="38"/>
  <c r="AO29" i="7"/>
  <c r="W20" i="38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V14" i="38" l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V13" i="38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  <c r="O4" i="61"/>
  <c r="N8" i="61"/>
  <c r="N7" i="61"/>
  <c r="N6" i="61"/>
  <c r="N5" i="61"/>
  <c r="N4" i="61"/>
  <c r="M10" i="61"/>
  <c r="M9" i="61"/>
  <c r="M8" i="61"/>
  <c r="M7" i="61"/>
  <c r="M6" i="61"/>
  <c r="M5" i="61"/>
  <c r="M4" i="61"/>
  <c r="L6" i="61"/>
  <c r="L5" i="61"/>
  <c r="L4" i="61"/>
  <c r="K5" i="61"/>
  <c r="K4" i="61"/>
  <c r="J9" i="61"/>
  <c r="J8" i="61"/>
  <c r="J7" i="61"/>
  <c r="J6" i="61"/>
  <c r="J5" i="61"/>
  <c r="J4" i="61"/>
  <c r="I11" i="61"/>
  <c r="I10" i="61"/>
  <c r="I9" i="61"/>
  <c r="I8" i="61"/>
  <c r="I7" i="61"/>
  <c r="I6" i="61"/>
  <c r="I5" i="61"/>
  <c r="I4" i="61"/>
  <c r="H15" i="61"/>
  <c r="H14" i="61"/>
  <c r="H13" i="61"/>
  <c r="H12" i="61"/>
  <c r="H11" i="61"/>
  <c r="H10" i="61"/>
  <c r="H9" i="61"/>
  <c r="H8" i="61"/>
  <c r="H7" i="61"/>
  <c r="H6" i="61"/>
  <c r="H5" i="61"/>
  <c r="H4" i="6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<sst xmlns="http://schemas.openxmlformats.org/spreadsheetml/2006/main" count="3754" uniqueCount="589">
  <si>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</si>
  <si>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</si>
  <si>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</si>
  <si>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</si>
  <si>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</si>
  <si>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</si>
  <si>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</si>
  <si>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</si>
  <si>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</si>
  <si>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</si>
  <si>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</si>
  <si>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</si>
  <si>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</si>
  <si>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</si>
  <si>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</si>
  <si>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</si>
  <si>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</si>
  <si>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</si>
  <si>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</si>
  <si>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</si>
  <si>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</si>
  <si>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</si>
  <si>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</si>
  <si>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</si>
  <si>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</si>
  <si>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</si>
  <si>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</si>
  <si>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</si>
  <si>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</si>
  <si>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</si>
  <si>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</si>
  <si>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</si>
  <si>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</si>
  <si>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</si>
  <si>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</si>
  <si>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</si>
  <si>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</si>
  <si>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</si>
  <si>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</si>
  <si>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</si>
  <si>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</si>
  <si>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</si>
  <si>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</si>
  <si>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</si>
  <si>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</si>
  <si>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</si>
  <si>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</si>
  <si>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</si>
  <si>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</si>
  <si>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</si>
  <si>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</si>
  <si>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</si>
  <si>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</si>
  <si>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</si>
  <si>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</si>
  <si>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</si>
  <si>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</si>
  <si>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</si>
  <si>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</si>
  <si>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</si>
  <si>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</si>
  <si>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</si>
  <si>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</si>
  <si>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</si>
  <si>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</si>
  <si>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</si>
  <si>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</si>
  <si>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</si>
  <si>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</si>
  <si>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</si>
  <si>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</si>
  <si>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</si>
  <si>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</si>
  <si>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</si>
  <si>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</si>
  <si>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</si>
  <si>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</si>
  <si>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</si>
  <si>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</si>
  <si>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</si>
  <si>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</si>
  <si>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</si>
  <si>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</si>
  <si>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</si>
  <si>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</si>
  <si>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</si>
  <si>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</si>
  <si>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</si>
  <si>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</si>
  <si>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</si>
  <si>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</si>
  <si>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</si>
  <si>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</si>
  <si>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</si>
  <si>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</si>
  <si>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</si>
  <si>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</si>
  <si>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</si>
  <si>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</si>
  <si>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</si>
  <si>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</si>
  <si>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</si>
  <si>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</si>
  <si>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</si>
  <si>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</si>
  <si>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</si>
  <si>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</si>
  <si>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</si>
  <si>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</si>
  <si>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</si>
  <si>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</si>
  <si>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</si>
  <si>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</si>
  <si>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</si>
  <si>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</si>
  <si>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</si>
  <si>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</si>
  <si>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</si>
  <si>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</si>
  <si>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</si>
  <si>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</si>
  <si>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</si>
  <si>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</si>
  <si>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</si>
  <si>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</si>
  <si>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</si>
  <si>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</si>
  <si>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</si>
  <si>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</si>
  <si>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</si>
  <si>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</si>
  <si>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</si>
  <si>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</si>
  <si>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</si>
  <si>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</si>
  <si>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</si>
  <si>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</si>
  <si>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</si>
  <si>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</si>
  <si>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</si>
  <si>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</si>
  <si>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</si>
  <si>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</si>
  <si>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</si>
  <si>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</si>
  <si>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</si>
  <si>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</si>
  <si>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</si>
  <si>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</si>
  <si>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</si>
  <si>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</si>
  <si>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</si>
  <si>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</si>
  <si>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</si>
  <si>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</si>
  <si>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</si>
  <si>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</si>
  <si>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</si>
  <si>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</si>
  <si>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</si>
  <si>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</si>
  <si>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</si>
  <si>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</si>
  <si>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</si>
  <si>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</si>
  <si>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</si>
  <si>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</si>
  <si>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</si>
  <si>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</si>
  <si>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</si>
  <si>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</si>
  <si>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</si>
  <si>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</si>
  <si>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</si>
  <si>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</si>
  <si>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</si>
  <si>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</si>
  <si>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</si>
  <si>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</si>
  <si>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</si>
  <si>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</si>
  <si>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</si>
  <si>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</si>
  <si>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</si>
  <si>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</si>
  <si>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</si>
  <si>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</si>
  <si>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</si>
  <si>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</si>
  <si>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</si>
  <si>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</si>
  <si>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</si>
  <si>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</si>
  <si>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</si>
  <si>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</si>
  <si>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</si>
  <si>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</si>
  <si>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</si>
  <si>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</si>
  <si>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</si>
  <si>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</si>
  <si>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</si>
  <si>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</si>
  <si>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</si>
  <si>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</si>
  <si>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</si>
  <si>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</si>
  <si>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</si>
  <si>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</si>
  <si>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</si>
  <si>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</si>
  <si>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</si>
  <si>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</si>
  <si>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</si>
  <si>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</si>
  <si>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</si>
  <si>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</si>
  <si>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</si>
  <si>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</si>
  <si>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</si>
  <si>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</si>
  <si>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</si>
  <si>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</si>
  <si>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</si>
  <si>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</si>
  <si>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</si>
  <si>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</si>
  <si>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</si>
  <si>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</si>
  <si>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</si>
  <si>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</si>
  <si>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</si>
  <si>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</si>
  <si>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</si>
  <si>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</si>
  <si>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</si>
  <si>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</si>
  <si>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</si>
  <si>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</si>
  <si>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</si>
  <si>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</si>
  <si>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</si>
  <si>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</si>
  <si>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</si>
  <si>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</si>
  <si>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</si>
  <si>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</si>
  <si>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</si>
  <si>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</si>
  <si>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</si>
  <si>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</si>
  <si>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</si>
  <si>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</si>
  <si>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</si>
  <si>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</si>
  <si>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</si>
  <si>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</si>
  <si>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</si>
  <si>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</si>
  <si>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</si>
  <si>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</si>
  <si>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</si>
  <si>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</si>
  <si>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</si>
  <si>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</si>
  <si>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</si>
  <si>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</si>
  <si>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</si>
  <si>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</si>
  <si>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</si>
  <si>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</si>
  <si>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</si>
  <si>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</si>
  <si>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</si>
  <si>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</si>
  <si>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</si>
  <si>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</si>
  <si>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</si>
  <si>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</si>
  <si>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</si>
  <si>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</si>
  <si>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</si>
  <si>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</si>
  <si>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</si>
  <si>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</si>
  <si>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</si>
  <si>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</si>
  <si>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</si>
  <si>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</si>
  <si>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</si>
  <si>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</si>
  <si>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</si>
  <si>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</si>
  <si>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</si>
  <si>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</si>
  <si>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</si>
  <si>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</si>
  <si>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</si>
  <si>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</si>
  <si>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</si>
  <si>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</si>
  <si>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</si>
  <si>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</si>
  <si>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</si>
  <si>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</si>
  <si>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</si>
  <si>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</si>
  <si>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</si>
  <si>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</si>
  <si>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</si>
  <si>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</si>
  <si>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</si>
  <si>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</si>
  <si>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</si>
  <si>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</si>
  <si>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</si>
  <si>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</si>
  <si>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</si>
  <si>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</si>
  <si>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</si>
  <si>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</si>
  <si>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</si>
  <si>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</si>
  <si>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</si>
  <si>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</si>
  <si>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</si>
  <si>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</si>
  <si>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</si>
  <si>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</si>
  <si>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</si>
  <si>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</si>
  <si>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</si>
  <si>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</si>
  <si>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</si>
  <si>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</si>
  <si>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</si>
  <si>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</si>
  <si>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</si>
  <si>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</si>
  <si>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</si>
  <si>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</si>
  <si>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</si>
  <si>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</si>
  <si>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</si>
  <si>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</si>
  <si>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</si>
  <si>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</si>
  <si>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</si>
  <si>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</si>
  <si>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</si>
  <si>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</si>
  <si>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</si>
  <si>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</si>
  <si>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</si>
  <si>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</si>
  <si>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</si>
  <si>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</si>
  <si>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</si>
  <si>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</si>
  <si>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</si>
  <si>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</si>
  <si>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</si>
  <si>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</si>
  <si>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</si>
  <si>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</si>
  <si>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</si>
  <si>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</si>
  <si>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</si>
  <si>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</si>
  <si>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</si>
  <si>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</si>
  <si>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</si>
  <si>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</si>
  <si>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</si>
  <si>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</si>
  <si>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</si>
  <si>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</si>
  <si>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</si>
  <si>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</si>
  <si>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</si>
  <si>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</si>
  <si>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</si>
  <si>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</si>
  <si>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</si>
  <si>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</si>
  <si>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</si>
  <si>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</si>
  <si>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</si>
  <si>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</si>
  <si>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</si>
  <si>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</si>
  <si>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</si>
  <si>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</si>
  <si>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</si>
  <si>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</si>
  <si>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</si>
  <si>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</si>
  <si>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</si>
  <si>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</si>
  <si>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</si>
  <si>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</si>
  <si>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</si>
  <si>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</si>
  <si>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</si>
  <si>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</si>
  <si>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</si>
  <si>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</si>
  <si>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</si>
  <si>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</si>
  <si>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</si>
  <si>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</si>
  <si>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</si>
  <si>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</si>
  <si>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</si>
  <si>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</si>
  <si>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</si>
  <si>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</si>
  <si>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</si>
  <si>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</si>
  <si>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</si>
  <si>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</si>
  <si>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</si>
  <si>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</si>
  <si>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</si>
  <si>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</si>
  <si>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</si>
  <si>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</si>
  <si>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</si>
  <si>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</si>
  <si>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</si>
  <si>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</si>
  <si>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</si>
  <si>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</si>
  <si>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</si>
  <si>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</si>
  <si>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</si>
  <si>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</si>
  <si>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</si>
  <si>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</si>
  <si>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</si>
  <si>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</si>
  <si>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</si>
  <si>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</si>
  <si>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</si>
  <si>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</si>
  <si>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</si>
  <si>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</si>
  <si>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</si>
  <si>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</si>
  <si>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</si>
  <si>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</si>
  <si>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</si>
  <si>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</si>
  <si>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</si>
  <si>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</si>
  <si>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</si>
  <si>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</si>
  <si>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</si>
  <si>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</si>
  <si>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</si>
  <si>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</si>
  <si>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</si>
  <si>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</si>
  <si>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</si>
  <si>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</si>
  <si>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</si>
  <si>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</si>
  <si>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</si>
  <si>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</si>
  <si>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</si>
  <si>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</si>
  <si>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</si>
  <si>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</si>
  <si>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</si>
  <si>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</si>
  <si>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</si>
  <si>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</si>
  <si>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</si>
  <si>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</si>
  <si>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</si>
  <si>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</si>
  <si>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</si>
  <si>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</si>
  <si>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</si>
  <si>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</si>
  <si>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</si>
  <si>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</si>
  <si>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</si>
  <si>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</si>
  <si>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</si>
  <si>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</si>
  <si>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</si>
  <si>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</si>
  <si>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</si>
  <si>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</si>
  <si>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</si>
  <si>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</si>
  <si>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</si>
  <si>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</si>
  <si>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</si>
  <si>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</si>
  <si>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</si>
  <si>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</si>
  <si>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</si>
  <si>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</si>
  <si>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</si>
  <si>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</si>
  <si>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</si>
  <si>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</si>
  <si>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</si>
  <si>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</si>
  <si>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</si>
  <si>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</si>
  <si>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</si>
  <si>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</si>
  <si>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</si>
  <si>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</si>
  <si>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</si>
  <si>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</si>
  <si>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</si>
  <si>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</si>
  <si>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</si>
  <si>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</si>
  <si>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</si>
  <si>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</si>
  <si>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</si>
  <si>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</si>
  <si>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</si>
  <si>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</si>
  <si>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</si>
  <si>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</si>
  <si>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</si>
  <si>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</si>
  <si>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</si>
  <si>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</si>
  <si>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</si>
  <si>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</si>
  <si>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</si>
  <si>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</si>
  <si>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</si>
  <si>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</si>
  <si>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</si>
  <si>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</si>
  <si>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</si>
  <si>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</si>
  <si>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</si>
  <si>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</si>
  <si>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</si>
  <si>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</si>
  <si>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</si>
  <si>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</si>
  <si>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</si>
  <si>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</si>
  <si>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</si>
  <si>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</si>
  <si>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</si>
  <si>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</si>
  <si>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</si>
  <si>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</si>
  <si>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</si>
  <si>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</si>
  <si>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</si>
  <si>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</si>
  <si>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</si>
  <si>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</si>
  <si>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</si>
  <si>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</si>
  <si>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</si>
  <si>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</si>
  <si>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</si>
  <si>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</si>
  <si>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</si>
  <si>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</si>
  <si>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</si>
  <si>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</si>
  <si>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</si>
  <si>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</si>
  <si>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</si>
  <si>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</si>
  <si>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</si>
  <si>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</si>
  <si>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DENNYS FLORES</t>
  </si>
  <si>
    <t>MOTOR AC - 1 CONTROL REMOTO</t>
  </si>
  <si>
    <t>PEGAR UN PANEL AL TUBO</t>
  </si>
  <si>
    <t>TRACE SHEPARD</t>
  </si>
  <si>
    <t>Rosarito</t>
  </si>
  <si>
    <t xml:space="preserve">Las Perlas </t>
  </si>
  <si>
    <t xml:space="preserve">club marena </t>
  </si>
  <si>
    <t>260209-Z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</si>
</sst>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84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Font="1" applyFill="1" applyBorder="1" applyAlignment="1">
      <alignment horizontal="center" vertical="center"/>
    </xf>
    <xf numFmtId="0" fontId="62" fillId="11" borderId="19" xfId="0" applyFont="1" applyFill="1" applyBorder="1" applyAlignment="1">
      <alignment horizontal="center" vertical="center"/>
    </xf>
    <xf numFmtId="0" fontId="62" fillId="25" borderId="19" xfId="0" applyFont="1" applyFill="1" applyBorder="1" applyAlignment="1">
      <alignment horizontal="center" vertical="center"/>
    </xf>
    <xf numFmtId="0" fontId="62" fillId="11" borderId="10" xfId="0" applyFont="1" applyFill="1" applyBorder="1" applyAlignment="1">
      <alignment horizontal="center" vertical="center"/>
    </xf>
    <xf numFmtId="0" fontId="62" fillId="11" borderId="0" xfId="0" applyFont="1" applyFill="1" applyAlignment="1">
      <alignment horizontal="center" vertical="center"/>
    </xf>
    <xf numFmtId="0" fontId="62" fillId="25" borderId="0" xfId="0" applyFont="1" applyFill="1" applyAlignment="1">
      <alignment horizontal="center" vertical="center"/>
    </xf>
    <xf numFmtId="0" fontId="63" fillId="11" borderId="0" xfId="0" applyFont="1" applyFill="1" applyAlignment="1">
      <alignment horizontal="center" vertical="center"/>
    </xf>
    <xf numFmtId="0" fontId="62" fillId="25" borderId="10" xfId="0" applyFont="1" applyFill="1" applyBorder="1" applyAlignment="1">
      <alignment horizontal="center" vertical="center"/>
    </xf>
    <xf numFmtId="0" fontId="62" fillId="25" borderId="8" xfId="0" applyFont="1" applyFill="1" applyBorder="1" applyAlignment="1">
      <alignment horizontal="center" vertical="center"/>
    </xf>
    <xf numFmtId="0" fontId="62" fillId="25" borderId="6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Font="1" applyFill="1" applyBorder="1" applyAlignment="1">
      <alignment horizontal="center" vertical="center"/>
    </xf>
    <xf numFmtId="0" fontId="62" fillId="2" borderId="19" xfId="0" applyFont="1" applyFill="1" applyBorder="1" applyAlignment="1">
      <alignment horizontal="center" vertical="center"/>
    </xf>
    <xf numFmtId="0" fontId="62" fillId="2" borderId="5" xfId="0" applyFont="1" applyFill="1" applyBorder="1" applyAlignment="1">
      <alignment horizontal="center" vertical="center"/>
    </xf>
    <xf numFmtId="0" fontId="62" fillId="26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0" fontId="62" fillId="2" borderId="16" xfId="0" applyFont="1" applyFill="1" applyBorder="1" applyAlignment="1">
      <alignment horizontal="center" vertical="center"/>
    </xf>
    <xf numFmtId="0" fontId="62" fillId="26" borderId="6" xfId="0" applyFont="1" applyFill="1" applyBorder="1" applyAlignment="1">
      <alignment horizontal="center" vertical="center"/>
    </xf>
    <xf numFmtId="0" fontId="62" fillId="2" borderId="6" xfId="0" applyFont="1" applyFill="1" applyBorder="1" applyAlignment="1">
      <alignment horizontal="center" vertical="center"/>
    </xf>
    <xf numFmtId="0" fontId="62" fillId="2" borderId="9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0" fillId="2" borderId="5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Alignment="1">
      <alignment horizontal="left" vertical="center"/>
    </xf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2" fontId="30" fillId="24" borderId="0" xfId="0" applyNumberFormat="1" applyFont="1" applyFill="1" applyAlignment="1">
      <alignment horizontal="center" vertical="center"/>
    </xf>
    <xf numFmtId="2" fontId="30" fillId="2" borderId="0" xfId="0" applyNumberFormat="1" applyFont="1" applyFill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Alignment="1">
      <alignment horizontal="center" vertical="center"/>
    </xf>
    <xf numFmtId="2" fontId="0" fillId="2" borderId="0" xfId="0" applyNumberFormat="1" applyFill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Border="1" applyAlignment="1">
      <alignment horizontal="center" vertical="center"/>
    </xf>
    <xf numFmtId="44" fontId="0" fillId="2" borderId="1" xfId="0" applyNumberForma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" xfId="3" builtinId="4"/>
    <cellStyle name="Currency 2" xfId="5" xr:uid="{00000000-0005-0000-0000-000001000000}"/>
    <cellStyle name="Hyperlink" xfId="7" builtinId="8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ercent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1109504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topLeftCell="A4" zoomScale="85" zoomScaleNormal="85" workbookViewId="0">
      <selection activeCell="J66" sqref="J66"/>
    </sheetView>
  </sheetViews>
  <sheetFormatPr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Date:</v>
      </c>
      <c r="I5" s="282">
        <f>'CALCULATOR SHEET'!V9</f>
        <v>46062</v>
      </c>
      <c r="J5" s="283"/>
      <c r="K5" s="283"/>
      <c r="L5" s="283"/>
      <c r="M5" s="284" t="str">
        <f>IF('CALCULATOR SHEET'!Y2=1,"DOCUMENT #","DOCUMENTO #")</f>
        <v>DOCUMENT #</v>
      </c>
      <c r="N5" s="454" t="str">
        <f>IF('CALCULATOR SHEET'!V5&lt;&gt;"",'CALCULATOR SHEET'!V5,"")</f>
        <v>260209-Z</v>
      </c>
      <c r="O5" s="454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/>
      </c>
      <c r="J7" s="455" t="str">
        <f>IF('CALCULATOR SHEET'!J8&lt;&gt;"","Calle: "&amp;'CALCULATOR SHEET'!J10&amp;", Numero: "&amp;'CALCULATOR SHEET'!J11,"")</f>
        <v>Calle: Las Perlas , Numero: 101</v>
      </c>
      <c r="K7" s="455"/>
      <c r="L7" s="455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PROJECT NAME</v>
      </c>
      <c r="J8" s="455" t="str">
        <f>IF('CALCULATOR SHEET'!J9&lt;&gt;"","Frac: "&amp;'CALCULATOR SHEET'!J9&amp;" - "&amp;'CALCULATOR SHEET'!J8,"")</f>
        <v>Frac: club marena  - Rosarito</v>
      </c>
      <c r="K8" s="455"/>
      <c r="L8" s="455"/>
      <c r="N8" s="9" t="str">
        <f>IF('CALCULATOR SHEET'!$Y$2=1,GENERAL!W12,GENERAL!W18)</f>
        <v>TYPE OF PAYMENT</v>
      </c>
      <c r="O8" s="3"/>
      <c r="P8" s="9" t="str">
        <f>IF('CALCULATOR SHEET'!$Y$2=1,GENERAL!Y12,GENERAL!Y18)</f>
        <v>INVOICE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ADRESS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TRACE SHEPARD</v>
      </c>
      <c r="J10" s="455" t="str">
        <f>IF('CALCULATOR SHEET'!M11&lt;&gt;"",'CALCULATOR SHEET'!$M$11&amp;" Cell: "&amp;'CALCULATOR SHEET'!M10,"")</f>
        <v/>
      </c>
      <c r="K10" s="455"/>
      <c r="L10" s="455"/>
      <c r="N10" s="455" t="str">
        <f>IF('CALCULATOR SHEET'!U70&lt;&gt;"",'CALCULATOR SHEET'!U70,"")</f>
        <v>DENNYS FLORES</v>
      </c>
      <c r="O10" s="455"/>
      <c r="P10" s="455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 NAME</v>
      </c>
      <c r="J11" s="9" t="str">
        <f>IF('CALCULATOR SHEET'!$Y$2=1,GENERAL!S15,GENERAL!S21)</f>
        <v>CONTACT INFO</v>
      </c>
      <c r="N11" s="9" t="str">
        <f>IF('CALCULATOR SHEET'!$Y$2=1,GENERAL!W15,GENERAL!W21)</f>
        <v>SALESPERSON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QTY</v>
      </c>
      <c r="E13" s="152" t="str">
        <f>IF('CALCULATOR SHEET'!$Y$2=1,GENERAL!S4,GENERAL!S6)</f>
        <v>PRODUCT</v>
      </c>
      <c r="F13" s="152" t="str">
        <f>IF('CALCULATOR SHEET'!$Y$2=1,GENERAL!T4,GENERAL!T6)</f>
        <v>FABRIC GROUP</v>
      </c>
      <c r="G13" s="152" t="str">
        <f>IF('CALCULATOR SHEET'!$Y$2=1,GENERAL!U4,GENERAL!U6)</f>
        <v>COLOR PATTERN</v>
      </c>
      <c r="H13" s="152" t="str">
        <f>IF('CALCULATOR SHEET'!$Y$2=1,GENERAL!V4,GENERAL!V6)</f>
        <v>AREA NAME</v>
      </c>
      <c r="I13" s="152" t="str">
        <f>IF('CALCULATOR SHEET'!$Y$2=1,GENERAL!W4,GENERAL!W6)</f>
        <v>FINAL WIDTH</v>
      </c>
      <c r="J13" s="152" t="str">
        <f>IF('CALCULATOR SHEET'!$Y$2=1,GENERAL!X4,GENERAL!X6)</f>
        <v>FINAL LENGTH</v>
      </c>
      <c r="K13" s="152" t="str">
        <f>IF('CALCULATOR SHEET'!$Y$2=1,GENERAL!Y4,GENERAL!Y6)</f>
        <v>CONTROL TYPE</v>
      </c>
      <c r="L13" s="152" t="str">
        <f>IF('CALCULATOR SHEET'!$Y$2=1,GENERAL!Z4,GENERAL!Z6)</f>
        <v>SIDE</v>
      </c>
      <c r="M13" s="152" t="str">
        <f>IF('CALCULATOR SHEET'!$Y$2=1,GENERAL!AA4,GENERAL!AA6)</f>
        <v>CORNICE</v>
      </c>
      <c r="N13" s="152" t="str">
        <f>IF('CALCULATOR SHEET'!$Y$2=1,GENERAL!AB4,GENERAL!AB6)</f>
        <v>EA. PRICE</v>
      </c>
      <c r="O13" s="152"/>
      <c r="P13" s="152" t="str">
        <f>IF('CALCULATOR SHEET'!$Y$2=1,GENERAL!AD4,GENERAL!AD6)</f>
        <v>PRICE ALL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2</v>
      </c>
      <c r="E14" s="163" t="str">
        <f>IF('CALCULATOR SHEET'!D13&lt;&gt;"",IF('CALCULATOR SHEET'!$Y$2=1,'CALCULATOR SHEET'!D13,VLOOKUP('CALCULATOR SHEET'!D13,GENERAL!$J$6:$K$13,2,0)),"")</f>
        <v>ROLLER</v>
      </c>
      <c r="F14" s="164" t="str">
        <f>IF('CALCULATOR SHEET'!E13&lt;&gt;"",'CALCULATOR SHEET'!E13,"")</f>
        <v/>
      </c>
      <c r="G14" s="163" t="str">
        <f>IF('CALCULATOR SHEET'!I13&lt;&gt;"",'CALCULATOR SHEET'!I13,"")</f>
        <v>MOTOR AC - 1 CONTROL REMOTO</v>
      </c>
      <c r="H14" s="164" t="str">
        <f>IF('CALCULATOR SHEET'!J13&lt;&gt;"",'CALCULATOR SHEET'!J13,"")</f>
        <v/>
      </c>
      <c r="I14" s="165"/>
      <c r="J14" s="165"/>
      <c r="K14" s="163" t="str">
        <f>IF('CALCULATOR SHEET'!M13&lt;&gt;"",IF('CALCULATOR SHEET'!$Y$2=1,'CALCULATOR SHEET'!M13,VLOOKUP('CALCULATOR SHEET'!M13,GENERAL!$H$6:$I$11,2,0)),"")</f>
        <v/>
      </c>
      <c r="L14" s="163" t="str">
        <f>IF('CALCULATOR SHEET'!O13&lt;&gt;"",'CALCULATOR SHEET'!O13,"")</f>
        <v/>
      </c>
      <c r="M14" s="163" t="str">
        <f>IF(E14&lt;&gt;"",IF(OR('CALCULATOR SHEET'!R13&lt;&gt;"NO",'CALCULATOR SHEET'!S13&lt;&gt;"NO"),"YES",""),"")</f>
        <v/>
      </c>
      <c r="N14" s="166">
        <f>IF(E14&lt;&gt;"",T14,"")</f>
        <v>200</v>
      </c>
      <c r="O14" s="158"/>
      <c r="P14" s="161">
        <f>IF(D14&lt;&gt;"",N14*D14,"")</f>
        <v>400</v>
      </c>
      <c r="Q14" s="188"/>
      <c r="R14" s="64" t="s">
        <v>193</v>
      </c>
      <c r="T14" s="154">
        <f>IF('CALCULATOR SHEET'!$V$58="PESOS",'CALCULATOR SHEET'!U13*'CALCULATOR SHEET'!$Y$6,'CALCULATOR SHEET'!U13)</f>
        <v>200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3" t="str">
        <f>IF('CALCULATOR SHEET'!D14&lt;&gt;"",IF('CALCULATOR SHEET'!$Y$2=1,'CALCULATOR SHEET'!D14,VLOOKUP('CALCULATOR SHEET'!D14,GENERAL!$J$6:$K$13,2,0)),"")</f>
        <v>ROLLER</v>
      </c>
      <c r="F15" s="169" t="str">
        <f>IF('CALCULATOR SHEET'!E14&lt;&gt;"",'CALCULATOR SHEET'!E14,"")</f>
        <v/>
      </c>
      <c r="G15" s="168" t="str">
        <f>IF('CALCULATOR SHEET'!I14&lt;&gt;"",'CALCULATOR SHEET'!I14,"")</f>
        <v>PEGAR UN PANEL AL TUBO</v>
      </c>
      <c r="H15" s="169" t="str">
        <f>IF('CALCULATOR SHEET'!J14&lt;&gt;"",'CALCULATOR SHEET'!J14,"")</f>
        <v/>
      </c>
      <c r="I15" s="170"/>
      <c r="J15" s="170"/>
      <c r="K15" s="163" t="str">
        <f>IF('CALCULATOR SHEET'!M14&lt;&gt;"",IF('CALCULATOR SHEET'!$Y$2=1,'CALCULATOR SHEET'!M14,VLOOKUP('CALCULATOR SHEET'!M14,GENERAL!$H$6:$I$11,2,0)),"")</f>
        <v/>
      </c>
      <c r="L15" s="168" t="str">
        <f>IF('CALCULATOR SHEET'!O14&lt;&gt;"",'CALCULATOR SHEET'!O14,"")</f>
        <v/>
      </c>
      <c r="M15" s="168" t="str">
        <f>IF(E15&lt;&gt;"",IF(OR('CALCULATOR SHEET'!R14&lt;&gt;"NO",'CALCULATOR SHEET'!S14&lt;&gt;"NO"),"YES",""),"")</f>
        <v/>
      </c>
      <c r="N15" s="171">
        <f>IF(E15&lt;&gt;"",T15,"")</f>
        <v>20</v>
      </c>
      <c r="O15" s="159"/>
      <c r="P15" s="160">
        <f>IF(D15&lt;&gt;"",N15*D15,"")</f>
        <v>20</v>
      </c>
      <c r="Q15" s="189"/>
      <c r="R15" s="64" t="s">
        <v>193</v>
      </c>
      <c r="T15" s="154">
        <f>IF('CALCULATOR SHEET'!$V$58="PESOS",'CALCULATOR SHEET'!U14*'CALCULATOR SHEET'!$Y$6,'CALCULATOR SHEET'!U14)</f>
        <v>20</v>
      </c>
    </row>
    <row r="16" spans="3:23" s="64" customFormat="1" ht="45" customHeight="1">
      <c r="C16" s="167">
        <f>C15+1</f>
        <v>3</v>
      </c>
      <c r="D16" s="168" t="str">
        <f>IF('CALCULATOR SHEET'!C15&lt;&gt;"",'CALCULATOR SHEET'!C15,"")</f>
        <v/>
      </c>
      <c r="E16" s="164" t="str">
        <f>IF('CALCULATOR SHEET'!D15&lt;&gt;"",IF('CALCULATOR SHEET'!$Y$2=1,'CALCULATOR SHEET'!D15,VLOOKUP('CALCULATOR SHEET'!D15,GENERAL!$J$6:$K$13,2,0)),"")</f>
        <v/>
      </c>
      <c r="F16" s="169" t="str">
        <f>IF('CALCULATOR SHEET'!E15&lt;&gt;"",'CALCULATOR SHEET'!E15,"")</f>
        <v/>
      </c>
      <c r="G16" s="169" t="str">
        <f>IF('CALCULATOR SHEET'!I15&lt;&gt;"",'CALCULATOR SHEET'!I15,"")</f>
        <v/>
      </c>
      <c r="H16" s="169" t="str">
        <f>IF('CALCULATOR SHEET'!J15&lt;&gt;"",'CALCULATOR SHEET'!J15,"")</f>
        <v/>
      </c>
      <c r="I16" s="170" t="str">
        <f>IF(E16&lt;&gt;"",'CALCULATOR SHEET'!K15,"")</f>
        <v/>
      </c>
      <c r="J16" s="170" t="str">
        <f>IF(I16&lt;&gt;"",'CALCULATOR SHEET'!L15,"")</f>
        <v/>
      </c>
      <c r="K16" s="163" t="str">
        <f>IF('CALCULATOR SHEET'!M15&lt;&gt;"",IF('CALCULATOR SHEET'!$Y$2=1,'CALCULATOR SHEET'!M15,VLOOKUP('CALCULATOR SHEET'!M15,GENERAL!$H$6:$I$11,2,0)),"")</f>
        <v/>
      </c>
      <c r="L16" s="168" t="str">
        <f>IF('CALCULATOR SHEET'!O15&lt;&gt;"",'CALCULATOR SHEET'!O15,"")</f>
        <v/>
      </c>
      <c r="M16" s="168" t="str">
        <f>IF(E16&lt;&gt;"",IF(OR('CALCULATOR SHEET'!R15&lt;&gt;"NO",'CALCULATOR SHEET'!S15&lt;&gt;"NO"),"YES",""),"")</f>
        <v/>
      </c>
      <c r="N16" s="171" t="str">
        <f t="shared" ref="N16:N52" si="0">IF(E16&lt;&gt;"",T16,"")</f>
        <v/>
      </c>
      <c r="O16" s="159"/>
      <c r="P16" s="160" t="str">
        <f t="shared" ref="P16:P53" si="1">IF(D16&lt;&gt;"",N16*D16,"")</f>
        <v/>
      </c>
      <c r="Q16" s="189"/>
      <c r="R16" s="64" t="s">
        <v>193</v>
      </c>
      <c r="T16" s="154">
        <f>IF('CALCULATOR SHEET'!$V$58="PESOS",'CALCULATOR SHEET'!U15*'CALCULATOR SHEET'!$Y$6,'CALCULATOR SHEET'!U15)</f>
        <v>0</v>
      </c>
    </row>
    <row r="17" spans="3:22" s="64" customFormat="1" ht="45" customHeight="1">
      <c r="C17" s="167">
        <f t="shared" ref="C17:C53" si="2">C16+1</f>
        <v>4</v>
      </c>
      <c r="D17" s="168" t="str">
        <f>IF('CALCULATOR SHEET'!C16&lt;&gt;"",'CALCULATOR SHEET'!C16,"")</f>
        <v/>
      </c>
      <c r="E17" s="164" t="str">
        <f>IF('CALCULATOR SHEET'!D16&lt;&gt;"",IF('CALCULATOR SHEET'!$Y$2=1,'CALCULATOR SHEET'!D16,VLOOKUP('CALCULATOR SHEET'!D16,GENERAL!$J$6:$K$13,2,0)),"")</f>
        <v/>
      </c>
      <c r="F17" s="169" t="str">
        <f>IF('CALCULATOR SHEET'!E16&lt;&gt;"",'CALCULATOR SHEET'!E16,"")</f>
        <v/>
      </c>
      <c r="G17" s="169" t="str">
        <f>IF('CALCULATOR SHEET'!I16&lt;&gt;"",'CALCULATOR SHEET'!I16,"")</f>
        <v/>
      </c>
      <c r="H17" s="169" t="str">
        <f>IF('CALCULATOR SHEET'!J16&lt;&gt;"",'CALCULATOR SHEET'!J16,"")</f>
        <v/>
      </c>
      <c r="I17" s="170" t="str">
        <f>IF(E17&lt;&gt;"",'CALCULATOR SHEET'!K16,"")</f>
        <v/>
      </c>
      <c r="J17" s="170" t="str">
        <f>IF(I17&lt;&gt;"",'CALCULATOR SHEET'!L16,"")</f>
        <v/>
      </c>
      <c r="K17" s="163" t="str">
        <f>IF('CALCULATOR SHEET'!M16&lt;&gt;"",IF('CALCULATOR SHEET'!$Y$2=1,'CALCULATOR SHEET'!M16,VLOOKUP('CALCULATOR SHEET'!M16,GENERAL!$H$6:$I$11,2,0)),"")</f>
        <v/>
      </c>
      <c r="L17" s="168" t="str">
        <f>IF('CALCULATOR SHEET'!O16&lt;&gt;"",'CALCULATOR SHEET'!O16,"")</f>
        <v/>
      </c>
      <c r="M17" s="168" t="str">
        <f>IF(E17&lt;&gt;"",IF(OR('CALCULATOR SHEET'!R16&lt;&gt;"NO",'CALCULATOR SHEET'!S16&lt;&gt;"NO"),"YES",""),"")</f>
        <v/>
      </c>
      <c r="N17" s="171" t="str">
        <f t="shared" si="0"/>
        <v/>
      </c>
      <c r="O17" s="159"/>
      <c r="P17" s="160" t="str">
        <f t="shared" si="1"/>
        <v/>
      </c>
      <c r="Q17" s="189"/>
      <c r="R17" s="64" t="s">
        <v>193</v>
      </c>
      <c r="T17" s="154">
        <f>IF('CALCULATOR SHEET'!$V$58="PESOS",'CALCULATOR SHEET'!U16*'CALCULATOR SHEET'!$Y$6,'CALCULATOR SHEET'!U16)</f>
        <v>0</v>
      </c>
    </row>
    <row r="18" spans="3:22" s="64" customFormat="1" ht="45" customHeight="1">
      <c r="C18" s="167">
        <f t="shared" si="2"/>
        <v>5</v>
      </c>
      <c r="D18" s="168" t="str">
        <f>IF('CALCULATOR SHEET'!C17&lt;&gt;"",'CALCULATOR SHEET'!C17,"")</f>
        <v/>
      </c>
      <c r="E18" s="164" t="str">
        <f>IF('CALCULATOR SHEET'!D17&lt;&gt;"",IF('CALCULATOR SHEET'!$Y$2=1,'CALCULATOR SHEET'!D17,VLOOKUP('CALCULATOR SHEET'!D17,GENERAL!$J$6:$K$13,2,0)),"")</f>
        <v/>
      </c>
      <c r="F18" s="169" t="str">
        <f>IF('CALCULATOR SHEET'!E17&lt;&gt;"",'CALCULATOR SHEET'!E17,"")</f>
        <v/>
      </c>
      <c r="G18" s="169" t="str">
        <f>IF('CALCULATOR SHEET'!I17&lt;&gt;"",'CALCULATOR SHEET'!I17,"")</f>
        <v/>
      </c>
      <c r="H18" s="169" t="str">
        <f>IF('CALCULATOR SHEET'!J17&lt;&gt;"",'CALCULATOR SHEET'!J17,"")</f>
        <v/>
      </c>
      <c r="I18" s="170" t="str">
        <f>IF(E18&lt;&gt;"",'CALCULATOR SHEET'!K17,"")</f>
        <v/>
      </c>
      <c r="J18" s="170" t="str">
        <f>IF(I18&lt;&gt;"",'CALCULATOR SHEET'!L17,"")</f>
        <v/>
      </c>
      <c r="K18" s="163" t="str">
        <f>IF('CALCULATOR SHEET'!M17&lt;&gt;"",IF('CALCULATOR SHEET'!$Y$2=1,'CALCULATOR SHEET'!M17,VLOOKUP('CALCULATOR SHEET'!M17,GENERAL!$H$6:$I$11,2,0)),"")</f>
        <v/>
      </c>
      <c r="L18" s="168" t="str">
        <f>IF('CALCULATOR SHEET'!O17&lt;&gt;"",'CALCULATOR SHEET'!O17,"")</f>
        <v/>
      </c>
      <c r="M18" s="168" t="str">
        <f>IF(E18&lt;&gt;"",IF(OR('CALCULATOR SHEET'!R17&lt;&gt;"NO",'CALCULATOR SHEET'!S17&lt;&gt;"NO"),"YES",""),"")</f>
        <v/>
      </c>
      <c r="N18" s="171" t="str">
        <f t="shared" si="0"/>
        <v/>
      </c>
      <c r="O18" s="159"/>
      <c r="P18" s="160" t="str">
        <f t="shared" si="1"/>
        <v/>
      </c>
      <c r="Q18" s="189"/>
      <c r="R18" s="64" t="s">
        <v>193</v>
      </c>
      <c r="T18" s="154">
        <f>IF('CALCULATOR SHEET'!$V$58="PESOS",'CALCULATOR SHEET'!U17*'CALCULATOR SHEET'!$Y$6,'CALCULATOR SHEET'!U17)</f>
        <v>0</v>
      </c>
    </row>
    <row r="19" spans="3:22" s="64" customFormat="1" ht="45" hidden="1" customHeight="1">
      <c r="C19" s="167">
        <f t="shared" si="2"/>
        <v>6</v>
      </c>
      <c r="D19" s="168" t="str">
        <f>IF('CALCULATOR SHEET'!C18&lt;&gt;"",'CALCULATOR SHEET'!C18,"")</f>
        <v/>
      </c>
      <c r="E19" s="164" t="str">
        <f>IF('CALCULATOR SHEET'!D18&lt;&gt;"",IF('CALCULATOR SHEET'!$Y$2=1,'CALCULATOR SHEET'!D18,VLOOKUP('CALCULATOR SHEET'!D18,GENERAL!$J$6:$K$13,2,0)),"")</f>
        <v/>
      </c>
      <c r="F19" s="169" t="str">
        <f>IF('CALCULATOR SHEET'!E18&lt;&gt;"",'CALCULATOR SHEET'!E18,"")</f>
        <v/>
      </c>
      <c r="G19" s="169" t="str">
        <f>IF('CALCULATOR SHEET'!I18&lt;&gt;"",'CALCULATOR SHEET'!I18,"")</f>
        <v/>
      </c>
      <c r="H19" s="169" t="str">
        <f>IF('CALCULATOR SHEET'!J18&lt;&gt;"",'CALCULATOR SHEET'!J18,"")</f>
        <v/>
      </c>
      <c r="I19" s="170" t="str">
        <f>IF(E19&lt;&gt;"",'CALCULATOR SHEET'!K18,"")</f>
        <v/>
      </c>
      <c r="J19" s="170" t="str">
        <f>IF(I19&lt;&gt;"",'CALCULATOR SHEET'!L18,"")</f>
        <v/>
      </c>
      <c r="K19" s="163" t="str">
        <f>IF('CALCULATOR SHEET'!M18&lt;&gt;"",IF('CALCULATOR SHEET'!$Y$2=1,'CALCULATOR SHEET'!M18,VLOOKUP('CALCULATOR SHEET'!M18,GENERAL!$H$6:$I$11,2,0)),"")</f>
        <v/>
      </c>
      <c r="L19" s="168" t="str">
        <f>IF('CALCULATOR SHEET'!O18&lt;&gt;"",'CALCULATOR SHEET'!O18,"")</f>
        <v/>
      </c>
      <c r="M19" s="168" t="str">
        <f>IF(E19&lt;&gt;"",IF(OR('CALCULATOR SHEET'!R18&lt;&gt;"NO",'CALCULATOR SHEET'!S18&lt;&gt;"NO"),"YES",""),"")</f>
        <v/>
      </c>
      <c r="N19" s="171" t="str">
        <f t="shared" si="0"/>
        <v/>
      </c>
      <c r="O19" s="159"/>
      <c r="P19" s="160" t="str">
        <f t="shared" si="1"/>
        <v/>
      </c>
      <c r="Q19" s="189"/>
      <c r="R19" s="64" t="str">
        <f t="shared" ref="R19:R60" si="3">IF(E19&lt;&gt;"","VERDADERO","FALSO")</f>
        <v>FALSO</v>
      </c>
      <c r="T19" s="154">
        <f>IF('CALCULATOR SHEET'!$V$58="PESOS",'CALCULATOR SHEET'!U18*'CALCULATOR SHEET'!$Y$6,'CALCULATOR SHEET'!U18)</f>
        <v>0</v>
      </c>
    </row>
    <row r="20" spans="3:22" s="64" customFormat="1" ht="45" hidden="1" customHeight="1">
      <c r="C20" s="167">
        <f t="shared" si="2"/>
        <v>7</v>
      </c>
      <c r="D20" s="168" t="str">
        <f>IF('CALCULATOR SHEET'!C19&lt;&gt;"",'CALCULATOR SHEET'!C19,"")</f>
        <v/>
      </c>
      <c r="E20" s="164" t="str">
        <f>IF('CALCULATOR SHEET'!D19&lt;&gt;"",IF('CALCULATOR SHEET'!$Y$2=1,'CALCULATOR SHEET'!D19,VLOOKUP('CALCULATOR SHEET'!D19,GENERAL!$J$6:$K$13,2,0)),"")</f>
        <v/>
      </c>
      <c r="F20" s="169" t="str">
        <f>IF('CALCULATOR SHEET'!E19&lt;&gt;"",'CALCULATOR SHEET'!E19,"")</f>
        <v/>
      </c>
      <c r="G20" s="169" t="str">
        <f>IF('CALCULATOR SHEET'!I19&lt;&gt;"",'CALCULATOR SHEET'!I19,"")</f>
        <v/>
      </c>
      <c r="H20" s="169" t="str">
        <f>IF('CALCULATOR SHEET'!J19&lt;&gt;"",'CALCULATOR SHEET'!J19,"")</f>
        <v/>
      </c>
      <c r="I20" s="170" t="str">
        <f>IF(E20&lt;&gt;"",'CALCULATOR SHEET'!K19,"")</f>
        <v/>
      </c>
      <c r="J20" s="170" t="str">
        <f>IF(I20&lt;&gt;"",'CALCULATOR SHEET'!L19,"")</f>
        <v/>
      </c>
      <c r="K20" s="163" t="str">
        <f>IF('CALCULATOR SHEET'!M19&lt;&gt;"",IF('CALCULATOR SHEET'!$Y$2=1,'CALCULATOR SHEET'!M19,VLOOKUP('CALCULATOR SHEET'!M19,GENERAL!$H$6:$I$11,2,0)),"")</f>
        <v/>
      </c>
      <c r="L20" s="168" t="str">
        <f>IF('CALCULATOR SHEET'!O19&lt;&gt;"",'CALCULATOR SHEET'!O19,"")</f>
        <v/>
      </c>
      <c r="M20" s="168" t="str">
        <f>IF(E20&lt;&gt;"",IF(OR('CALCULATOR SHEET'!R19&lt;&gt;"NO",'CALCULATOR SHEET'!S19&lt;&gt;"NO"),"YES",""),"")</f>
        <v/>
      </c>
      <c r="N20" s="171" t="str">
        <f t="shared" si="0"/>
        <v/>
      </c>
      <c r="O20" s="159"/>
      <c r="P20" s="160" t="str">
        <f t="shared" si="1"/>
        <v/>
      </c>
      <c r="Q20" s="189"/>
      <c r="R20" s="64" t="str">
        <f t="shared" si="3"/>
        <v>FALSO</v>
      </c>
      <c r="T20" s="154">
        <f>IF('CALCULATOR SHEET'!$V$58="PESOS",'CALCULATOR SHEET'!U19*'CALCULATOR SHEET'!$Y$6,'CALCULATOR SHEET'!U19)</f>
        <v>0</v>
      </c>
      <c r="V20" s="156"/>
    </row>
    <row r="21" spans="3:22" s="64" customFormat="1" ht="45" hidden="1" customHeight="1">
      <c r="C21" s="167">
        <f t="shared" si="2"/>
        <v>8</v>
      </c>
      <c r="D21" s="168" t="str">
        <f>IF('CALCULATOR SHEET'!C20&lt;&gt;"",'CALCULATOR SHEET'!C20,"")</f>
        <v/>
      </c>
      <c r="E21" s="164" t="str">
        <f>IF('CALCULATOR SHEET'!D20&lt;&gt;"",IF('CALCULATOR SHEET'!$Y$2=1,'CALCULATOR SHEET'!D20,VLOOKUP('CALCULATOR SHEET'!D20,GENERAL!$J$6:$K$13,2,0)),"")</f>
        <v/>
      </c>
      <c r="F21" s="169" t="str">
        <f>IF('CALCULATOR SHEET'!E20&lt;&gt;"",'CALCULATOR SHEET'!E20,"")</f>
        <v/>
      </c>
      <c r="G21" s="169" t="str">
        <f>IF('CALCULATOR SHEET'!I20&lt;&gt;"",'CALCULATOR SHEET'!I20,"")</f>
        <v/>
      </c>
      <c r="H21" s="169" t="str">
        <f>IF('CALCULATOR SHEET'!J20&lt;&gt;"",'CALCULATOR SHEET'!J20,"")</f>
        <v/>
      </c>
      <c r="I21" s="170" t="str">
        <f>IF(E21&lt;&gt;"",'CALCULATOR SHEET'!K20,"")</f>
        <v/>
      </c>
      <c r="J21" s="170" t="str">
        <f>IF(I21&lt;&gt;"",'CALCULATOR SHEET'!L20,"")</f>
        <v/>
      </c>
      <c r="K21" s="163" t="str">
        <f>IF('CALCULATOR SHEET'!M20&lt;&gt;"",IF('CALCULATOR SHEET'!$Y$2=1,'CALCULATOR SHEET'!M20,VLOOKUP('CALCULATOR SHEET'!M20,GENERAL!$H$6:$I$11,2,0)),"")</f>
        <v/>
      </c>
      <c r="L21" s="168" t="str">
        <f>IF('CALCULATOR SHEET'!O20&lt;&gt;"",'CALCULATOR SHEET'!O20,"")</f>
        <v/>
      </c>
      <c r="M21" s="168" t="str">
        <f>IF(E21&lt;&gt;"",IF(OR('CALCULATOR SHEET'!R20&lt;&gt;"NO",'CALCULATOR SHEET'!S20&lt;&gt;"NO"),"YES",""),"")</f>
        <v/>
      </c>
      <c r="N21" s="171" t="str">
        <f t="shared" si="0"/>
        <v/>
      </c>
      <c r="O21" s="159"/>
      <c r="P21" s="160" t="str">
        <f t="shared" si="1"/>
        <v/>
      </c>
      <c r="Q21" s="189"/>
      <c r="R21" s="64" t="str">
        <f t="shared" si="3"/>
        <v>FALSO</v>
      </c>
      <c r="T21" s="154">
        <f>IF('CALCULATOR SHEET'!$V$58="PESOS",'CALCULATOR SHEET'!U20*'CALCULATOR SHEET'!$Y$6,'CALCULATOR SHEET'!U20)</f>
        <v>0</v>
      </c>
      <c r="V21" s="156"/>
    </row>
    <row r="22" spans="3:22" s="64" customFormat="1" ht="45" hidden="1" customHeight="1">
      <c r="C22" s="167">
        <f t="shared" si="2"/>
        <v>9</v>
      </c>
      <c r="D22" s="168" t="str">
        <f>IF('CALCULATOR SHEET'!C21&lt;&gt;"",'CALCULATOR SHEET'!C21,"")</f>
        <v/>
      </c>
      <c r="E22" s="164" t="str">
        <f>IF('CALCULATOR SHEET'!D21&lt;&gt;"",IF('CALCULATOR SHEET'!$Y$2=1,'CALCULATOR SHEET'!D21,VLOOKUP('CALCULATOR SHEET'!D21,GENERAL!$J$6:$K$13,2,0)),"")</f>
        <v/>
      </c>
      <c r="F22" s="169" t="str">
        <f>IF('CALCULATOR SHEET'!E21&lt;&gt;"",'CALCULATOR SHEET'!E21,"")</f>
        <v/>
      </c>
      <c r="G22" s="169" t="str">
        <f>IF('CALCULATOR SHEET'!I21&lt;&gt;"",'CALCULATOR SHEET'!I21,"")</f>
        <v/>
      </c>
      <c r="H22" s="169" t="str">
        <f>IF('CALCULATOR SHEET'!J21&lt;&gt;"",'CALCULATOR SHEET'!J21,"")</f>
        <v/>
      </c>
      <c r="I22" s="170" t="str">
        <f>IF(E22&lt;&gt;"",'CALCULATOR SHEET'!K21,"")</f>
        <v/>
      </c>
      <c r="J22" s="170" t="str">
        <f>IF(I22&lt;&gt;"",'CALCULATOR SHEET'!L21,"")</f>
        <v/>
      </c>
      <c r="K22" s="163" t="str">
        <f>IF('CALCULATOR SHEET'!M21&lt;&gt;"",IF('CALCULATOR SHEET'!$Y$2=1,'CALCULATOR SHEET'!M21,VLOOKUP('CALCULATOR SHEET'!M21,GENERAL!$H$6:$I$11,2,0)),"")</f>
        <v/>
      </c>
      <c r="L22" s="168" t="str">
        <f>IF('CALCULATOR SHEET'!O21&lt;&gt;"",'CALCULATOR SHEET'!O21,"")</f>
        <v/>
      </c>
      <c r="M22" s="168" t="str">
        <f>IF(E22&lt;&gt;"",IF(OR('CALCULATOR SHEET'!R21&lt;&gt;"NO",'CALCULATOR SHEET'!S21&lt;&gt;"NO"),"YES",""),"")</f>
        <v/>
      </c>
      <c r="N22" s="171" t="str">
        <f t="shared" si="0"/>
        <v/>
      </c>
      <c r="O22" s="159"/>
      <c r="P22" s="160" t="str">
        <f t="shared" si="1"/>
        <v/>
      </c>
      <c r="Q22" s="189"/>
      <c r="R22" s="64" t="str">
        <f t="shared" si="3"/>
        <v>FALSO</v>
      </c>
      <c r="T22" s="154">
        <f>IF('CALCULATOR SHEET'!$V$58="PESOS",'CALCULATOR SHEET'!U21*'CALCULATOR SHEET'!$Y$6,'CALCULATOR SHEET'!U21)</f>
        <v>0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Qty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hidden="1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/>
      <c r="N62" s="292"/>
      <c r="O62" s="292" t="str">
        <f>IF('CALCULATOR SHEET'!V59&lt;&gt;0,CLIENTE!X62,"")</f>
        <v>SUB TOTAL</v>
      </c>
      <c r="P62" s="293">
        <f>IF(O62&lt;&gt;"",SUM(P14:P53),"")</f>
        <v>420</v>
      </c>
      <c r="Q62" s="182"/>
      <c r="X62" s="157" t="str">
        <f>IF('CALCULATOR SHEET'!$Y$2=1,GENERAL!Q35,GENERAL!S35)</f>
        <v>SUB TOTAL</v>
      </c>
      <c r="Y62" s="216">
        <f>P62</f>
        <v>420</v>
      </c>
    </row>
    <row r="63" spans="3:25" s="64" customFormat="1" ht="20.100000000000001" customHeight="1">
      <c r="C63" s="64" t="str">
        <f>IF('CALCULATOR SHEET'!$Y$2=2,'CALCULATOR SHEET'!B90,'CALCULATOR SHEET'!B82)</f>
        <v>50% of grand total is required to start production</v>
      </c>
      <c r="O63" s="157" t="str">
        <f>IF('CALCULATOR SHEET'!V60&lt;&gt;0,CLIENTE!X63,"")</f>
        <v/>
      </c>
      <c r="P63" s="175" t="str">
        <f>IF(O63&lt;&gt;"",'CALCULATOR SHEET'!V60,"")</f>
        <v/>
      </c>
      <c r="Q63" s="176"/>
      <c r="R63" s="173"/>
      <c r="S63" s="173"/>
      <c r="X63" s="157" t="str">
        <f>IF('CALCULATOR SHEET'!$Y$2=1,GENERAL!Q36,GENERAL!S36)</f>
        <v>DISCOUNT %</v>
      </c>
      <c r="Y63" s="215">
        <f>IF(O63&lt;&gt;"",'CALCULATOR SHEET'!V60,0)</f>
        <v>0</v>
      </c>
    </row>
    <row r="64" spans="3:25" s="64" customFormat="1" ht="20.100000000000001" customHeight="1">
      <c r="C64" s="64" t="str">
        <f>IF('CALCULATOR SHEET'!$Y$2=2,'CALCULATOR SHEET'!B91,'CALCULATOR SHEET'!B83)</f>
        <v>Product delivery may vary depending on components or fabric stock</v>
      </c>
      <c r="G64" s="17"/>
      <c r="O64" s="157" t="str">
        <f>IF(O63&lt;&gt;"",X64,"")</f>
        <v/>
      </c>
      <c r="P64" s="181" t="str">
        <f>IF(P63&lt;&gt;"",'CALCULATOR SHEET'!V61,"")</f>
        <v/>
      </c>
      <c r="Q64" s="181"/>
      <c r="R64" s="173"/>
      <c r="S64" s="173"/>
      <c r="X64" s="157" t="str">
        <f>IF('CALCULATOR SHEET'!$Y$2=1,GENERAL!Q37,GENERAL!S37)</f>
        <v>TOTAL DISC.</v>
      </c>
      <c r="Y64" s="214">
        <f>IF(Y63&gt;0,'CALCULATOR SHEET'!V63,0)</f>
        <v>0</v>
      </c>
    </row>
    <row r="65" spans="3:25" s="64" customFormat="1" ht="20.100000000000001" customHeight="1">
      <c r="C65" s="64" t="str">
        <f>IF('CALCULATOR SHEET'!$Y$2=2,'CALCULATOR SHEET'!B92,'CALCULATOR SHEET'!B84)</f>
        <v>On automated systems, property must supply electric outputs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DISC</v>
      </c>
      <c r="Y65" s="214">
        <f>IF(P64&lt;&gt;"",'CALCULATOR SHEET'!V63,0)</f>
        <v>0</v>
      </c>
    </row>
    <row r="66" spans="3:25" s="64" customFormat="1" ht="20.100000000000001" customHeight="1">
      <c r="C66" s="64" t="str">
        <f>IF('CALCULATOR SHEET'!$Y$2=2,'CALCULATOR SHEET'!B93,'CALCULATOR SHEET'!B85)</f>
        <v>Property must be ready for installation or charges will be apply</v>
      </c>
      <c r="O66" s="157" t="str">
        <f>IF(Y63&gt;0,X65,"")</f>
        <v/>
      </c>
      <c r="P66" s="341" t="str">
        <f>IF(Y65=0,"",Y65)</f>
        <v/>
      </c>
      <c r="Q66" s="190"/>
      <c r="R66" s="174"/>
      <c r="S66" s="174"/>
      <c r="X66" s="157" t="str">
        <f>IF('CALCULATOR SHEET'!$Y$2=1,GENERAL!Q39,GENERAL!S39)</f>
        <v>SERVICES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On wifi system integration, a technician must evaluate the conditions to make proper installations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TAX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Experts In: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GRAND TOTAL=</v>
      </c>
      <c r="Y69" s="216">
        <f>'CALCULATOR SHEET'!V66</f>
        <v>420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GRAND TOTAL=</v>
      </c>
      <c r="P70" s="340">
        <f>Y69</f>
        <v>420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Quote by:</v>
      </c>
      <c r="P74" s="157" t="str">
        <f>IF('CALCULATOR SHEET'!U70="","",'CALCULATOR SHEET'!U70)</f>
        <v>DENNYS FLORES</v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76">
        <v>44656</v>
      </c>
      <c r="Z1" s="476"/>
      <c r="AG1" s="8"/>
      <c r="AH1" s="8"/>
    </row>
    <row r="2" spans="2:41" s="1" customFormat="1" ht="18" customHeight="1">
      <c r="F2" s="20"/>
      <c r="M2" s="478" t="s">
        <v>446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43">
        <v>209</v>
      </c>
      <c r="S7" s="444">
        <v>216</v>
      </c>
      <c r="T7" s="444">
        <v>224</v>
      </c>
      <c r="U7" s="444">
        <v>231</v>
      </c>
      <c r="V7" s="445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0</v>
      </c>
      <c r="AL7" s="53">
        <f>'CALCULATOR SHEET'!L13</f>
        <v>0</v>
      </c>
      <c r="AM7" s="53" t="str">
        <f>IF(AK7=0,"",MATCH(CEILING(AK7,6),$E$4:$AA$4,0))</f>
        <v/>
      </c>
      <c r="AN7" s="53" t="str">
        <f>IF(AL7=0,"",MATCH(CEILING(AL7,6),$D$7:$D$28,0))</f>
        <v/>
      </c>
      <c r="AO7" s="54" t="str">
        <f>IF(AM7="","",INDEX($E$7:$AA$28,AN7,AM7))</f>
        <v/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383">
        <v>72</v>
      </c>
      <c r="G8" s="383">
        <v>77</v>
      </c>
      <c r="H8" s="383">
        <v>85</v>
      </c>
      <c r="I8" s="383">
        <v>91</v>
      </c>
      <c r="J8" s="383">
        <v>98</v>
      </c>
      <c r="K8" s="383">
        <v>104</v>
      </c>
      <c r="L8" s="383">
        <v>111</v>
      </c>
      <c r="M8" s="383">
        <v>116</v>
      </c>
      <c r="N8" s="384">
        <v>139</v>
      </c>
      <c r="O8" s="384">
        <v>145</v>
      </c>
      <c r="P8" s="384">
        <v>153</v>
      </c>
      <c r="Q8" s="384">
        <v>171</v>
      </c>
      <c r="R8" s="441">
        <v>218</v>
      </c>
      <c r="S8" s="442">
        <v>224</v>
      </c>
      <c r="T8" s="442">
        <v>233</v>
      </c>
      <c r="U8" s="442">
        <v>240</v>
      </c>
      <c r="V8" s="446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383">
        <v>75</v>
      </c>
      <c r="G9" s="383">
        <v>80</v>
      </c>
      <c r="H9" s="383">
        <v>89</v>
      </c>
      <c r="I9" s="383">
        <v>95</v>
      </c>
      <c r="J9" s="383">
        <v>103</v>
      </c>
      <c r="K9" s="383">
        <v>109</v>
      </c>
      <c r="L9" s="383">
        <v>117</v>
      </c>
      <c r="M9" s="383">
        <v>123</v>
      </c>
      <c r="N9" s="384">
        <v>146</v>
      </c>
      <c r="O9" s="384">
        <v>153</v>
      </c>
      <c r="P9" s="384">
        <v>161</v>
      </c>
      <c r="Q9" s="384">
        <v>179</v>
      </c>
      <c r="R9" s="441">
        <v>226</v>
      </c>
      <c r="S9" s="442">
        <v>233</v>
      </c>
      <c r="T9" s="442">
        <v>243</v>
      </c>
      <c r="U9" s="442">
        <v>250</v>
      </c>
      <c r="V9" s="446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383">
        <v>78</v>
      </c>
      <c r="G10" s="383">
        <v>84</v>
      </c>
      <c r="H10" s="383">
        <v>93</v>
      </c>
      <c r="I10" s="383">
        <v>100</v>
      </c>
      <c r="J10" s="383">
        <v>108</v>
      </c>
      <c r="K10" s="383">
        <v>114</v>
      </c>
      <c r="L10" s="383">
        <v>122</v>
      </c>
      <c r="M10" s="383">
        <v>129</v>
      </c>
      <c r="N10" s="384">
        <v>153</v>
      </c>
      <c r="O10" s="384">
        <v>159</v>
      </c>
      <c r="P10" s="384">
        <v>168</v>
      </c>
      <c r="Q10" s="384">
        <v>187</v>
      </c>
      <c r="R10" s="441">
        <v>234</v>
      </c>
      <c r="S10" s="442">
        <v>242</v>
      </c>
      <c r="T10" s="442">
        <v>252</v>
      </c>
      <c r="U10" s="442">
        <v>259</v>
      </c>
      <c r="V10" s="446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383">
        <v>81</v>
      </c>
      <c r="G11" s="383">
        <v>87</v>
      </c>
      <c r="H11" s="383">
        <v>97</v>
      </c>
      <c r="I11" s="383">
        <v>104</v>
      </c>
      <c r="J11" s="383">
        <v>113</v>
      </c>
      <c r="K11" s="383">
        <v>119</v>
      </c>
      <c r="L11" s="383">
        <v>128</v>
      </c>
      <c r="M11" s="383">
        <v>135</v>
      </c>
      <c r="N11" s="384">
        <v>159</v>
      </c>
      <c r="O11" s="384">
        <v>167</v>
      </c>
      <c r="P11" s="384">
        <v>176</v>
      </c>
      <c r="Q11" s="384">
        <v>195</v>
      </c>
      <c r="R11" s="441">
        <v>243</v>
      </c>
      <c r="S11" s="442">
        <v>251</v>
      </c>
      <c r="T11" s="442">
        <v>261</v>
      </c>
      <c r="U11" s="442">
        <v>269</v>
      </c>
      <c r="V11" s="446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383">
        <v>84</v>
      </c>
      <c r="G12" s="383">
        <v>90</v>
      </c>
      <c r="H12" s="383">
        <v>101</v>
      </c>
      <c r="I12" s="383">
        <v>108</v>
      </c>
      <c r="J12" s="383">
        <v>118</v>
      </c>
      <c r="K12" s="385">
        <v>125</v>
      </c>
      <c r="L12" s="383">
        <v>134</v>
      </c>
      <c r="M12" s="383">
        <v>141</v>
      </c>
      <c r="N12" s="384">
        <v>166</v>
      </c>
      <c r="O12" s="384">
        <v>174</v>
      </c>
      <c r="P12" s="384">
        <v>183</v>
      </c>
      <c r="Q12" s="384">
        <v>203</v>
      </c>
      <c r="R12" s="441">
        <v>251</v>
      </c>
      <c r="S12" s="442">
        <v>260</v>
      </c>
      <c r="T12" s="442">
        <v>270</v>
      </c>
      <c r="U12" s="442">
        <v>279</v>
      </c>
      <c r="V12" s="446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383">
        <v>87</v>
      </c>
      <c r="G13" s="383">
        <v>94</v>
      </c>
      <c r="H13" s="383">
        <v>105</v>
      </c>
      <c r="I13" s="383">
        <v>113</v>
      </c>
      <c r="J13" s="383">
        <v>122</v>
      </c>
      <c r="K13" s="383">
        <v>130</v>
      </c>
      <c r="L13" s="383">
        <v>140</v>
      </c>
      <c r="M13" s="383">
        <v>147</v>
      </c>
      <c r="N13" s="384">
        <v>172</v>
      </c>
      <c r="O13" s="384">
        <v>181</v>
      </c>
      <c r="P13" s="384">
        <v>191</v>
      </c>
      <c r="Q13" s="384">
        <v>211</v>
      </c>
      <c r="R13" s="441">
        <v>259</v>
      </c>
      <c r="S13" s="442">
        <v>268</v>
      </c>
      <c r="T13" s="442">
        <v>279</v>
      </c>
      <c r="U13" s="442">
        <v>288</v>
      </c>
      <c r="V13" s="446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383">
        <v>90</v>
      </c>
      <c r="G14" s="383">
        <v>97</v>
      </c>
      <c r="H14" s="383">
        <v>109</v>
      </c>
      <c r="I14" s="383">
        <v>117</v>
      </c>
      <c r="J14" s="383">
        <v>127</v>
      </c>
      <c r="K14" s="383">
        <v>135</v>
      </c>
      <c r="L14" s="383">
        <v>145</v>
      </c>
      <c r="M14" s="383">
        <v>153</v>
      </c>
      <c r="N14" s="384">
        <v>179</v>
      </c>
      <c r="O14" s="384">
        <v>188</v>
      </c>
      <c r="P14" s="384">
        <v>198</v>
      </c>
      <c r="Q14" s="384">
        <v>218</v>
      </c>
      <c r="R14" s="441">
        <v>268</v>
      </c>
      <c r="S14" s="442">
        <v>277</v>
      </c>
      <c r="T14" s="442">
        <v>289</v>
      </c>
      <c r="U14" s="442">
        <v>298</v>
      </c>
      <c r="V14" s="446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383">
        <v>93</v>
      </c>
      <c r="G15" s="383">
        <v>101</v>
      </c>
      <c r="H15" s="383">
        <v>113</v>
      </c>
      <c r="I15" s="383">
        <v>122</v>
      </c>
      <c r="J15" s="383">
        <v>132</v>
      </c>
      <c r="K15" s="383">
        <v>141</v>
      </c>
      <c r="L15" s="383">
        <v>151</v>
      </c>
      <c r="M15" s="383">
        <v>160</v>
      </c>
      <c r="N15" s="384">
        <v>186</v>
      </c>
      <c r="O15" s="384">
        <v>195</v>
      </c>
      <c r="P15" s="384">
        <v>206</v>
      </c>
      <c r="Q15" s="384">
        <v>226</v>
      </c>
      <c r="R15" s="441">
        <v>276</v>
      </c>
      <c r="S15" s="442">
        <v>286</v>
      </c>
      <c r="T15" s="442">
        <v>298</v>
      </c>
      <c r="U15" s="442">
        <v>308</v>
      </c>
      <c r="V15" s="446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383">
        <v>96</v>
      </c>
      <c r="G16" s="383">
        <v>104</v>
      </c>
      <c r="H16" s="383">
        <v>117</v>
      </c>
      <c r="I16" s="383">
        <v>126</v>
      </c>
      <c r="J16" s="383">
        <v>137</v>
      </c>
      <c r="K16" s="383">
        <v>146</v>
      </c>
      <c r="L16" s="383">
        <v>157</v>
      </c>
      <c r="M16" s="383">
        <v>166</v>
      </c>
      <c r="N16" s="384">
        <v>192</v>
      </c>
      <c r="O16" s="384">
        <v>202</v>
      </c>
      <c r="P16" s="384">
        <v>213</v>
      </c>
      <c r="Q16" s="384">
        <v>234</v>
      </c>
      <c r="R16" s="441">
        <v>284</v>
      </c>
      <c r="S16" s="442">
        <v>295</v>
      </c>
      <c r="T16" s="442">
        <v>307</v>
      </c>
      <c r="U16" s="442">
        <v>317</v>
      </c>
      <c r="V16" s="446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2">
        <v>88</v>
      </c>
      <c r="F17" s="383">
        <v>99</v>
      </c>
      <c r="G17" s="383">
        <v>108</v>
      </c>
      <c r="H17" s="383">
        <v>121</v>
      </c>
      <c r="I17" s="383">
        <v>131</v>
      </c>
      <c r="J17" s="383">
        <v>142</v>
      </c>
      <c r="K17" s="383">
        <v>151</v>
      </c>
      <c r="L17" s="383">
        <v>163</v>
      </c>
      <c r="M17" s="383">
        <v>172</v>
      </c>
      <c r="N17" s="384">
        <v>199</v>
      </c>
      <c r="O17" s="384">
        <v>209</v>
      </c>
      <c r="P17" s="384">
        <v>221</v>
      </c>
      <c r="Q17" s="384">
        <v>242</v>
      </c>
      <c r="R17" s="441">
        <v>293</v>
      </c>
      <c r="S17" s="442">
        <v>303</v>
      </c>
      <c r="T17" s="442">
        <v>316</v>
      </c>
      <c r="U17" s="442">
        <v>327</v>
      </c>
      <c r="V17" s="446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2">
        <v>90</v>
      </c>
      <c r="F18" s="383">
        <v>102</v>
      </c>
      <c r="G18" s="383">
        <v>111</v>
      </c>
      <c r="H18" s="383">
        <v>125</v>
      </c>
      <c r="I18" s="383">
        <v>135</v>
      </c>
      <c r="J18" s="383">
        <v>147</v>
      </c>
      <c r="K18" s="383">
        <v>157</v>
      </c>
      <c r="L18" s="383">
        <v>168</v>
      </c>
      <c r="M18" s="383">
        <v>178</v>
      </c>
      <c r="N18" s="384">
        <v>205</v>
      </c>
      <c r="O18" s="384">
        <v>216</v>
      </c>
      <c r="P18" s="384">
        <v>228</v>
      </c>
      <c r="Q18" s="384">
        <v>250</v>
      </c>
      <c r="R18" s="441">
        <v>301</v>
      </c>
      <c r="S18" s="442">
        <v>312</v>
      </c>
      <c r="T18" s="442">
        <v>325</v>
      </c>
      <c r="U18" s="442">
        <v>337</v>
      </c>
      <c r="V18" s="446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6">
        <v>103</v>
      </c>
      <c r="F19" s="384">
        <v>116</v>
      </c>
      <c r="G19" s="384">
        <v>126</v>
      </c>
      <c r="H19" s="384">
        <v>141</v>
      </c>
      <c r="I19" s="384">
        <v>152</v>
      </c>
      <c r="J19" s="384">
        <v>165</v>
      </c>
      <c r="K19" s="384">
        <v>176</v>
      </c>
      <c r="L19" s="384">
        <v>189</v>
      </c>
      <c r="M19" s="384">
        <v>199</v>
      </c>
      <c r="N19" s="384">
        <v>212</v>
      </c>
      <c r="O19" s="384">
        <v>223</v>
      </c>
      <c r="P19" s="384">
        <v>236</v>
      </c>
      <c r="Q19" s="384">
        <v>258</v>
      </c>
      <c r="R19" s="441">
        <v>309</v>
      </c>
      <c r="S19" s="442">
        <v>321</v>
      </c>
      <c r="T19" s="442">
        <v>335</v>
      </c>
      <c r="U19" s="442">
        <v>346</v>
      </c>
      <c r="V19" s="446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6">
        <v>106</v>
      </c>
      <c r="F20" s="384">
        <v>119</v>
      </c>
      <c r="G20" s="384">
        <v>129</v>
      </c>
      <c r="H20" s="384">
        <v>145</v>
      </c>
      <c r="I20" s="384">
        <v>157</v>
      </c>
      <c r="J20" s="384">
        <v>170</v>
      </c>
      <c r="K20" s="384">
        <v>181</v>
      </c>
      <c r="L20" s="384">
        <v>194</v>
      </c>
      <c r="M20" s="384">
        <v>205</v>
      </c>
      <c r="N20" s="384">
        <v>219</v>
      </c>
      <c r="O20" s="384">
        <v>230</v>
      </c>
      <c r="P20" s="384">
        <v>243</v>
      </c>
      <c r="Q20" s="384">
        <v>266</v>
      </c>
      <c r="R20" s="441">
        <v>318</v>
      </c>
      <c r="S20" s="442">
        <v>330</v>
      </c>
      <c r="T20" s="442">
        <v>344</v>
      </c>
      <c r="U20" s="442">
        <v>356</v>
      </c>
      <c r="V20" s="446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6">
        <v>108</v>
      </c>
      <c r="F21" s="384">
        <v>121</v>
      </c>
      <c r="G21" s="384">
        <v>133</v>
      </c>
      <c r="H21" s="384">
        <v>149</v>
      </c>
      <c r="I21" s="384">
        <v>161</v>
      </c>
      <c r="J21" s="384">
        <v>175</v>
      </c>
      <c r="K21" s="384">
        <v>186</v>
      </c>
      <c r="L21" s="384">
        <v>200</v>
      </c>
      <c r="M21" s="384">
        <v>212</v>
      </c>
      <c r="N21" s="384">
        <v>225</v>
      </c>
      <c r="O21" s="384">
        <v>237</v>
      </c>
      <c r="P21" s="384">
        <v>251</v>
      </c>
      <c r="Q21" s="384">
        <v>274</v>
      </c>
      <c r="R21" s="441">
        <v>326</v>
      </c>
      <c r="S21" s="442">
        <v>338</v>
      </c>
      <c r="T21" s="442">
        <v>353</v>
      </c>
      <c r="U21" s="442">
        <v>365</v>
      </c>
      <c r="V21" s="446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6">
        <v>111</v>
      </c>
      <c r="F22" s="384">
        <v>125</v>
      </c>
      <c r="G22" s="384">
        <v>136</v>
      </c>
      <c r="H22" s="384">
        <v>153</v>
      </c>
      <c r="I22" s="384">
        <v>166</v>
      </c>
      <c r="J22" s="384">
        <v>180</v>
      </c>
      <c r="K22" s="384">
        <v>192</v>
      </c>
      <c r="L22" s="384">
        <v>206</v>
      </c>
      <c r="M22" s="384">
        <v>218</v>
      </c>
      <c r="N22" s="384">
        <v>232</v>
      </c>
      <c r="O22" s="384">
        <v>244</v>
      </c>
      <c r="P22" s="384">
        <v>258</v>
      </c>
      <c r="Q22" s="384">
        <v>282</v>
      </c>
      <c r="R22" s="441">
        <v>334</v>
      </c>
      <c r="S22" s="442">
        <v>347</v>
      </c>
      <c r="T22" s="442">
        <v>362</v>
      </c>
      <c r="U22" s="442">
        <v>375</v>
      </c>
      <c r="V22" s="446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6">
        <v>114</v>
      </c>
      <c r="F23" s="384">
        <v>128</v>
      </c>
      <c r="G23" s="384">
        <v>140</v>
      </c>
      <c r="H23" s="384">
        <v>157</v>
      </c>
      <c r="I23" s="384">
        <v>170</v>
      </c>
      <c r="J23" s="384">
        <v>184</v>
      </c>
      <c r="K23" s="384">
        <v>197</v>
      </c>
      <c r="L23" s="384">
        <v>211</v>
      </c>
      <c r="M23" s="384">
        <v>224</v>
      </c>
      <c r="N23" s="384">
        <v>238</v>
      </c>
      <c r="O23" s="384">
        <v>251</v>
      </c>
      <c r="P23" s="384">
        <v>265</v>
      </c>
      <c r="Q23" s="384">
        <v>290</v>
      </c>
      <c r="R23" s="441">
        <v>343</v>
      </c>
      <c r="S23" s="442">
        <v>356</v>
      </c>
      <c r="T23" s="442">
        <v>371</v>
      </c>
      <c r="U23" s="442">
        <v>385</v>
      </c>
      <c r="V23" s="446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6">
        <v>116</v>
      </c>
      <c r="F24" s="384">
        <v>131</v>
      </c>
      <c r="G24" s="384">
        <v>143</v>
      </c>
      <c r="H24" s="384">
        <v>161</v>
      </c>
      <c r="I24" s="384">
        <v>174</v>
      </c>
      <c r="J24" s="384">
        <v>189</v>
      </c>
      <c r="K24" s="384">
        <v>202</v>
      </c>
      <c r="L24" s="384">
        <v>217</v>
      </c>
      <c r="M24" s="384">
        <v>230</v>
      </c>
      <c r="N24" s="384">
        <v>245</v>
      </c>
      <c r="O24" s="384">
        <v>258</v>
      </c>
      <c r="P24" s="384">
        <v>273</v>
      </c>
      <c r="Q24" s="384">
        <v>297</v>
      </c>
      <c r="R24" s="441">
        <v>351</v>
      </c>
      <c r="S24" s="442">
        <v>365</v>
      </c>
      <c r="T24" s="442">
        <v>381</v>
      </c>
      <c r="U24" s="442">
        <v>394</v>
      </c>
      <c r="V24" s="446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384">
        <v>134</v>
      </c>
      <c r="G25" s="384">
        <v>146</v>
      </c>
      <c r="H25" s="384">
        <v>165</v>
      </c>
      <c r="I25" s="384">
        <v>179</v>
      </c>
      <c r="J25" s="384">
        <v>194</v>
      </c>
      <c r="K25" s="384">
        <v>208</v>
      </c>
      <c r="L25" s="384">
        <v>223</v>
      </c>
      <c r="M25" s="384">
        <v>236</v>
      </c>
      <c r="N25" s="384">
        <v>252</v>
      </c>
      <c r="O25" s="384">
        <v>265</v>
      </c>
      <c r="P25" s="384">
        <v>280</v>
      </c>
      <c r="Q25" s="384">
        <v>305</v>
      </c>
      <c r="R25" s="441">
        <v>359</v>
      </c>
      <c r="S25" s="442">
        <v>374</v>
      </c>
      <c r="T25" s="442">
        <v>390</v>
      </c>
      <c r="U25" s="442">
        <v>404</v>
      </c>
      <c r="V25" s="446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47">
        <v>368</v>
      </c>
      <c r="S26" s="448">
        <v>382</v>
      </c>
      <c r="T26" s="448">
        <v>399</v>
      </c>
      <c r="U26" s="448">
        <v>414</v>
      </c>
      <c r="V26" s="449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449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0</v>
      </c>
      <c r="AL7" s="53">
        <f>'CALCULATOR SHEET'!L13</f>
        <v>0</v>
      </c>
      <c r="AM7" s="53" t="str">
        <f t="shared" ref="AM7:AM70" si="0">IF(AK7=0,"",MATCH(CEILING(AK7,6),$E$4:$AA$4,0))</f>
        <v/>
      </c>
      <c r="AN7" s="53" t="str">
        <f>IF(AL7=0,"",MATCH(CEILING(AL7,6),$D$7:$D$28,0))</f>
        <v/>
      </c>
      <c r="AO7" s="54" t="str">
        <f t="shared" ref="AO7:AO70" si="1">IF(AM7="","",INDEX($E$7:$AA$28,AN7,AM7))</f>
        <v/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G2" s="21"/>
      <c r="H2" s="21"/>
      <c r="I2" s="21"/>
      <c r="J2" s="21"/>
      <c r="M2" s="478" t="s">
        <v>448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93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34">
        <v>247</v>
      </c>
      <c r="S7" s="435">
        <v>256</v>
      </c>
      <c r="T7" s="435">
        <v>266</v>
      </c>
      <c r="U7" s="435">
        <v>275</v>
      </c>
      <c r="V7" s="436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0</v>
      </c>
      <c r="AL7" s="53">
        <f>'CALCULATOR SHEET'!L13</f>
        <v>0</v>
      </c>
      <c r="AM7" s="53" t="str">
        <f>IF(AK7=0,"",MATCH(CEILING(AK7,6),$E$4:$AA$4,0))</f>
        <v/>
      </c>
      <c r="AN7" s="53" t="str">
        <f>IF(AL7=0,"",MATCH(CEILING(AL7,6),$D$7:$D$28,0))</f>
        <v/>
      </c>
      <c r="AO7" s="54" t="str">
        <f>IF(AM7="","",INDEX($E$7:$AA$28,AN7,AM7))</f>
        <v/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383">
        <v>84</v>
      </c>
      <c r="G8" s="383">
        <v>91</v>
      </c>
      <c r="H8" s="383">
        <v>103</v>
      </c>
      <c r="I8" s="383">
        <v>111</v>
      </c>
      <c r="J8" s="383">
        <v>121</v>
      </c>
      <c r="K8" s="383">
        <v>129</v>
      </c>
      <c r="L8" s="383">
        <v>139</v>
      </c>
      <c r="M8" s="383">
        <v>147</v>
      </c>
      <c r="N8" s="384">
        <v>173</v>
      </c>
      <c r="O8" s="384">
        <v>181</v>
      </c>
      <c r="P8" s="384">
        <v>192</v>
      </c>
      <c r="Q8" s="384">
        <v>212</v>
      </c>
      <c r="R8" s="432">
        <v>261</v>
      </c>
      <c r="S8" s="433">
        <v>271</v>
      </c>
      <c r="T8" s="433">
        <v>282</v>
      </c>
      <c r="U8" s="433">
        <v>291</v>
      </c>
      <c r="V8" s="437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0</v>
      </c>
      <c r="AL8" s="53">
        <f>'CALCULATOR SHEET'!L14</f>
        <v>0</v>
      </c>
      <c r="AM8" s="53" t="str">
        <f t="shared" ref="AM8:AM71" si="0">IF(AK8=0,"",MATCH(CEILING(AK8,6),$E$4:$AA$4,0))</f>
        <v/>
      </c>
      <c r="AN8" s="53" t="str">
        <f t="shared" ref="AN8:AN71" si="1">IF(AL8=0,"",MATCH(CEILING(AL8,6),$D$7:$D$28,0))</f>
        <v/>
      </c>
      <c r="AO8" s="54" t="str">
        <f t="shared" ref="AO8:AO71" si="2">IF(AM8="","",INDEX($E$7:$AA$28,AN8,AM8))</f>
        <v/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383">
        <v>88</v>
      </c>
      <c r="G9" s="383">
        <v>97</v>
      </c>
      <c r="H9" s="383">
        <v>110</v>
      </c>
      <c r="I9" s="383">
        <v>119</v>
      </c>
      <c r="J9" s="383">
        <v>129</v>
      </c>
      <c r="K9" s="383">
        <v>138</v>
      </c>
      <c r="L9" s="383">
        <v>149</v>
      </c>
      <c r="M9" s="383">
        <v>158</v>
      </c>
      <c r="N9" s="384">
        <v>184</v>
      </c>
      <c r="O9" s="384">
        <v>193</v>
      </c>
      <c r="P9" s="384">
        <v>204</v>
      </c>
      <c r="Q9" s="384">
        <v>226</v>
      </c>
      <c r="R9" s="432">
        <v>275</v>
      </c>
      <c r="S9" s="433">
        <v>286</v>
      </c>
      <c r="T9" s="433">
        <v>298</v>
      </c>
      <c r="U9" s="433">
        <v>308</v>
      </c>
      <c r="V9" s="437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1"/>
        <v/>
      </c>
      <c r="AO9" s="54" t="str">
        <f t="shared" si="2"/>
        <v/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383">
        <v>93</v>
      </c>
      <c r="G10" s="383">
        <v>102</v>
      </c>
      <c r="H10" s="383">
        <v>116</v>
      </c>
      <c r="I10" s="383">
        <v>126</v>
      </c>
      <c r="J10" s="383">
        <v>137</v>
      </c>
      <c r="K10" s="383">
        <v>147</v>
      </c>
      <c r="L10" s="383">
        <v>158</v>
      </c>
      <c r="M10" s="383">
        <v>168</v>
      </c>
      <c r="N10" s="384">
        <v>195</v>
      </c>
      <c r="O10" s="384">
        <v>205</v>
      </c>
      <c r="P10" s="384">
        <v>217</v>
      </c>
      <c r="Q10" s="384">
        <v>239</v>
      </c>
      <c r="R10" s="432">
        <v>289</v>
      </c>
      <c r="S10" s="433">
        <v>300</v>
      </c>
      <c r="T10" s="433">
        <v>313</v>
      </c>
      <c r="U10" s="433">
        <v>324</v>
      </c>
      <c r="V10" s="437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1"/>
        <v/>
      </c>
      <c r="AO10" s="54" t="str">
        <f t="shared" si="2"/>
        <v/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383">
        <v>97</v>
      </c>
      <c r="G11" s="383">
        <v>107</v>
      </c>
      <c r="H11" s="383">
        <v>123</v>
      </c>
      <c r="I11" s="383">
        <v>133</v>
      </c>
      <c r="J11" s="383">
        <v>145</v>
      </c>
      <c r="K11" s="383">
        <v>155</v>
      </c>
      <c r="L11" s="383">
        <v>168</v>
      </c>
      <c r="M11" s="383">
        <v>178</v>
      </c>
      <c r="N11" s="384">
        <v>206</v>
      </c>
      <c r="O11" s="384">
        <v>217</v>
      </c>
      <c r="P11" s="384">
        <v>230</v>
      </c>
      <c r="Q11" s="384">
        <v>252</v>
      </c>
      <c r="R11" s="432">
        <v>304</v>
      </c>
      <c r="S11" s="433">
        <v>315</v>
      </c>
      <c r="T11" s="433">
        <v>329</v>
      </c>
      <c r="U11" s="433">
        <v>341</v>
      </c>
      <c r="V11" s="437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1"/>
        <v/>
      </c>
      <c r="AO11" s="54" t="str">
        <f t="shared" si="2"/>
        <v/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383">
        <v>102</v>
      </c>
      <c r="G12" s="383">
        <v>113</v>
      </c>
      <c r="H12" s="383">
        <v>129</v>
      </c>
      <c r="I12" s="383">
        <v>140</v>
      </c>
      <c r="J12" s="383">
        <v>153</v>
      </c>
      <c r="K12" s="385">
        <v>164</v>
      </c>
      <c r="L12" s="383">
        <v>177</v>
      </c>
      <c r="M12" s="383">
        <v>188</v>
      </c>
      <c r="N12" s="384">
        <v>217</v>
      </c>
      <c r="O12" s="384">
        <v>229</v>
      </c>
      <c r="P12" s="384">
        <v>242</v>
      </c>
      <c r="Q12" s="384">
        <v>265</v>
      </c>
      <c r="R12" s="432">
        <v>318</v>
      </c>
      <c r="S12" s="433">
        <v>330</v>
      </c>
      <c r="T12" s="433">
        <v>345</v>
      </c>
      <c r="U12" s="433">
        <v>357</v>
      </c>
      <c r="V12" s="437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1"/>
        <v/>
      </c>
      <c r="AO12" s="54" t="str">
        <f t="shared" si="2"/>
        <v/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383">
        <v>107</v>
      </c>
      <c r="G13" s="383">
        <v>118</v>
      </c>
      <c r="H13" s="383">
        <v>135</v>
      </c>
      <c r="I13" s="383">
        <v>147</v>
      </c>
      <c r="J13" s="383">
        <v>161</v>
      </c>
      <c r="K13" s="383">
        <v>173</v>
      </c>
      <c r="L13" s="383">
        <v>187</v>
      </c>
      <c r="M13" s="383">
        <v>198</v>
      </c>
      <c r="N13" s="384">
        <v>228</v>
      </c>
      <c r="O13" s="384">
        <v>240</v>
      </c>
      <c r="P13" s="384">
        <v>255</v>
      </c>
      <c r="Q13" s="384">
        <v>279</v>
      </c>
      <c r="R13" s="432">
        <v>332</v>
      </c>
      <c r="S13" s="433">
        <v>345</v>
      </c>
      <c r="T13" s="433">
        <v>361</v>
      </c>
      <c r="U13" s="433">
        <v>374</v>
      </c>
      <c r="V13" s="437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1"/>
        <v/>
      </c>
      <c r="AO13" s="54" t="str">
        <f t="shared" si="2"/>
        <v/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383">
        <v>111</v>
      </c>
      <c r="G14" s="383">
        <v>123</v>
      </c>
      <c r="H14" s="383">
        <v>142</v>
      </c>
      <c r="I14" s="383">
        <v>154</v>
      </c>
      <c r="J14" s="383">
        <v>169</v>
      </c>
      <c r="K14" s="383">
        <v>181</v>
      </c>
      <c r="L14" s="383">
        <v>196</v>
      </c>
      <c r="M14" s="383">
        <v>209</v>
      </c>
      <c r="N14" s="384">
        <v>239</v>
      </c>
      <c r="O14" s="384">
        <v>252</v>
      </c>
      <c r="P14" s="384">
        <v>268</v>
      </c>
      <c r="Q14" s="384">
        <v>292</v>
      </c>
      <c r="R14" s="432">
        <v>346</v>
      </c>
      <c r="S14" s="433">
        <v>360</v>
      </c>
      <c r="T14" s="433">
        <v>376</v>
      </c>
      <c r="U14" s="433">
        <v>390</v>
      </c>
      <c r="V14" s="437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1"/>
        <v/>
      </c>
      <c r="AO14" s="54" t="str">
        <f t="shared" si="2"/>
        <v/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383">
        <v>116</v>
      </c>
      <c r="G15" s="383">
        <v>129</v>
      </c>
      <c r="H15" s="383">
        <v>148</v>
      </c>
      <c r="I15" s="383">
        <v>161</v>
      </c>
      <c r="J15" s="383">
        <v>177</v>
      </c>
      <c r="K15" s="383">
        <v>190</v>
      </c>
      <c r="L15" s="383">
        <v>206</v>
      </c>
      <c r="M15" s="383">
        <v>219</v>
      </c>
      <c r="N15" s="384">
        <v>250</v>
      </c>
      <c r="O15" s="384">
        <v>264</v>
      </c>
      <c r="P15" s="384">
        <v>280</v>
      </c>
      <c r="Q15" s="384">
        <v>306</v>
      </c>
      <c r="R15" s="432">
        <v>360</v>
      </c>
      <c r="S15" s="433">
        <v>375</v>
      </c>
      <c r="T15" s="433">
        <v>392</v>
      </c>
      <c r="U15" s="433">
        <v>407</v>
      </c>
      <c r="V15" s="437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1"/>
        <v/>
      </c>
      <c r="AO15" s="54" t="str">
        <f t="shared" si="2"/>
        <v/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383">
        <v>121</v>
      </c>
      <c r="G16" s="383">
        <v>134</v>
      </c>
      <c r="H16" s="383">
        <v>154</v>
      </c>
      <c r="I16" s="383">
        <v>169</v>
      </c>
      <c r="J16" s="383">
        <v>185</v>
      </c>
      <c r="K16" s="383">
        <v>199</v>
      </c>
      <c r="L16" s="383">
        <v>215</v>
      </c>
      <c r="M16" s="383">
        <v>229</v>
      </c>
      <c r="N16" s="384">
        <v>261</v>
      </c>
      <c r="O16" s="384">
        <v>276</v>
      </c>
      <c r="P16" s="384">
        <v>293</v>
      </c>
      <c r="Q16" s="384">
        <v>319</v>
      </c>
      <c r="R16" s="432">
        <v>374</v>
      </c>
      <c r="S16" s="433">
        <v>390</v>
      </c>
      <c r="T16" s="433">
        <v>408</v>
      </c>
      <c r="U16" s="433">
        <v>423</v>
      </c>
      <c r="V16" s="437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383">
        <v>125</v>
      </c>
      <c r="G17" s="383">
        <v>139</v>
      </c>
      <c r="H17" s="383">
        <v>161</v>
      </c>
      <c r="I17" s="383">
        <v>176</v>
      </c>
      <c r="J17" s="383">
        <v>193</v>
      </c>
      <c r="K17" s="383">
        <v>208</v>
      </c>
      <c r="L17" s="383">
        <v>225</v>
      </c>
      <c r="M17" s="383">
        <v>240</v>
      </c>
      <c r="N17" s="384">
        <v>272</v>
      </c>
      <c r="O17" s="384">
        <v>288</v>
      </c>
      <c r="P17" s="384">
        <v>305</v>
      </c>
      <c r="Q17" s="384">
        <v>332</v>
      </c>
      <c r="R17" s="432">
        <v>388</v>
      </c>
      <c r="S17" s="433">
        <v>405</v>
      </c>
      <c r="T17" s="433">
        <v>423</v>
      </c>
      <c r="U17" s="433">
        <v>440</v>
      </c>
      <c r="V17" s="437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383">
        <v>130</v>
      </c>
      <c r="G18" s="383">
        <v>145</v>
      </c>
      <c r="H18" s="383">
        <v>167</v>
      </c>
      <c r="I18" s="383">
        <v>183</v>
      </c>
      <c r="J18" s="383">
        <v>201</v>
      </c>
      <c r="K18" s="383">
        <v>216</v>
      </c>
      <c r="L18" s="383">
        <v>234</v>
      </c>
      <c r="M18" s="383">
        <v>250</v>
      </c>
      <c r="N18" s="384">
        <v>283</v>
      </c>
      <c r="O18" s="384">
        <v>300</v>
      </c>
      <c r="P18" s="384">
        <v>318</v>
      </c>
      <c r="Q18" s="384">
        <v>346</v>
      </c>
      <c r="R18" s="432">
        <v>403</v>
      </c>
      <c r="S18" s="433">
        <v>420</v>
      </c>
      <c r="T18" s="433">
        <v>439</v>
      </c>
      <c r="U18" s="433">
        <v>456</v>
      </c>
      <c r="V18" s="437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384">
        <v>145</v>
      </c>
      <c r="G19" s="384">
        <v>162</v>
      </c>
      <c r="H19" s="384">
        <v>186</v>
      </c>
      <c r="I19" s="384">
        <v>203</v>
      </c>
      <c r="J19" s="384">
        <v>222</v>
      </c>
      <c r="K19" s="384">
        <v>239</v>
      </c>
      <c r="L19" s="384">
        <v>258</v>
      </c>
      <c r="M19" s="384">
        <v>275</v>
      </c>
      <c r="N19" s="384">
        <v>294</v>
      </c>
      <c r="O19" s="384">
        <v>311</v>
      </c>
      <c r="P19" s="384">
        <v>330</v>
      </c>
      <c r="Q19" s="384">
        <v>359</v>
      </c>
      <c r="R19" s="432">
        <v>417</v>
      </c>
      <c r="S19" s="433">
        <v>435</v>
      </c>
      <c r="T19" s="433">
        <v>455</v>
      </c>
      <c r="U19" s="433">
        <v>473</v>
      </c>
      <c r="V19" s="437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384">
        <v>150</v>
      </c>
      <c r="G20" s="384">
        <v>167</v>
      </c>
      <c r="H20" s="384">
        <v>192</v>
      </c>
      <c r="I20" s="384">
        <v>210</v>
      </c>
      <c r="J20" s="384">
        <v>230</v>
      </c>
      <c r="K20" s="384">
        <v>248</v>
      </c>
      <c r="L20" s="384">
        <v>268</v>
      </c>
      <c r="M20" s="384">
        <v>285</v>
      </c>
      <c r="N20" s="384">
        <v>305</v>
      </c>
      <c r="O20" s="384">
        <v>323</v>
      </c>
      <c r="P20" s="384">
        <v>343</v>
      </c>
      <c r="Q20" s="384">
        <v>373</v>
      </c>
      <c r="R20" s="432">
        <v>431</v>
      </c>
      <c r="S20" s="433">
        <v>450</v>
      </c>
      <c r="T20" s="433">
        <v>470</v>
      </c>
      <c r="U20" s="433">
        <v>489</v>
      </c>
      <c r="V20" s="437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384">
        <v>154</v>
      </c>
      <c r="G21" s="384">
        <v>172</v>
      </c>
      <c r="H21" s="384">
        <v>199</v>
      </c>
      <c r="I21" s="384">
        <v>217</v>
      </c>
      <c r="J21" s="384">
        <v>238</v>
      </c>
      <c r="K21" s="384">
        <v>256</v>
      </c>
      <c r="L21" s="384">
        <v>277</v>
      </c>
      <c r="M21" s="384">
        <v>296</v>
      </c>
      <c r="N21" s="384">
        <v>316</v>
      </c>
      <c r="O21" s="384">
        <v>335</v>
      </c>
      <c r="P21" s="384">
        <v>356</v>
      </c>
      <c r="Q21" s="384">
        <v>386</v>
      </c>
      <c r="R21" s="432">
        <v>445</v>
      </c>
      <c r="S21" s="433">
        <v>465</v>
      </c>
      <c r="T21" s="433">
        <v>486</v>
      </c>
      <c r="U21" s="433">
        <v>506</v>
      </c>
      <c r="V21" s="437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384">
        <v>159</v>
      </c>
      <c r="G22" s="384">
        <v>178</v>
      </c>
      <c r="H22" s="384">
        <v>205</v>
      </c>
      <c r="I22" s="384">
        <v>224</v>
      </c>
      <c r="J22" s="384">
        <v>246</v>
      </c>
      <c r="K22" s="384">
        <v>265</v>
      </c>
      <c r="L22" s="384">
        <v>287</v>
      </c>
      <c r="M22" s="384">
        <v>306</v>
      </c>
      <c r="N22" s="384">
        <v>327</v>
      </c>
      <c r="O22" s="384">
        <v>347</v>
      </c>
      <c r="P22" s="384">
        <v>368</v>
      </c>
      <c r="Q22" s="384">
        <v>399</v>
      </c>
      <c r="R22" s="432">
        <v>459</v>
      </c>
      <c r="S22" s="433">
        <v>479</v>
      </c>
      <c r="T22" s="433">
        <v>502</v>
      </c>
      <c r="U22" s="433">
        <v>522</v>
      </c>
      <c r="V22" s="437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384">
        <v>164</v>
      </c>
      <c r="G23" s="384">
        <v>183</v>
      </c>
      <c r="H23" s="384">
        <v>211</v>
      </c>
      <c r="I23" s="384">
        <v>231</v>
      </c>
      <c r="J23" s="384">
        <v>254</v>
      </c>
      <c r="K23" s="384">
        <v>274</v>
      </c>
      <c r="L23" s="384">
        <v>296</v>
      </c>
      <c r="M23" s="384">
        <v>316</v>
      </c>
      <c r="N23" s="384">
        <v>338</v>
      </c>
      <c r="O23" s="384">
        <v>359</v>
      </c>
      <c r="P23" s="384">
        <v>381</v>
      </c>
      <c r="Q23" s="384">
        <v>413</v>
      </c>
      <c r="R23" s="432">
        <v>473</v>
      </c>
      <c r="S23" s="433">
        <v>494</v>
      </c>
      <c r="T23" s="433">
        <v>518</v>
      </c>
      <c r="U23" s="433">
        <v>539</v>
      </c>
      <c r="V23" s="437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384">
        <v>168</v>
      </c>
      <c r="G24" s="384">
        <v>188</v>
      </c>
      <c r="H24" s="384">
        <v>218</v>
      </c>
      <c r="I24" s="384">
        <v>239</v>
      </c>
      <c r="J24" s="384">
        <v>262</v>
      </c>
      <c r="K24" s="384">
        <v>282</v>
      </c>
      <c r="L24" s="384">
        <v>306</v>
      </c>
      <c r="M24" s="384">
        <v>327</v>
      </c>
      <c r="N24" s="384">
        <v>349</v>
      </c>
      <c r="O24" s="384">
        <v>370</v>
      </c>
      <c r="P24" s="384">
        <v>393</v>
      </c>
      <c r="Q24" s="384">
        <v>426</v>
      </c>
      <c r="R24" s="432">
        <v>488</v>
      </c>
      <c r="S24" s="433">
        <v>509</v>
      </c>
      <c r="T24" s="433">
        <v>533</v>
      </c>
      <c r="U24" s="433">
        <v>555</v>
      </c>
      <c r="V24" s="437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384">
        <v>173</v>
      </c>
      <c r="G25" s="384">
        <v>194</v>
      </c>
      <c r="H25" s="384">
        <v>224</v>
      </c>
      <c r="I25" s="384">
        <v>246</v>
      </c>
      <c r="J25" s="384">
        <v>270</v>
      </c>
      <c r="K25" s="384">
        <v>291</v>
      </c>
      <c r="L25" s="384">
        <v>315</v>
      </c>
      <c r="M25" s="384">
        <v>337</v>
      </c>
      <c r="N25" s="384">
        <v>360</v>
      </c>
      <c r="O25" s="384">
        <v>382</v>
      </c>
      <c r="P25" s="384">
        <v>406</v>
      </c>
      <c r="Q25" s="384">
        <v>439</v>
      </c>
      <c r="R25" s="432">
        <v>502</v>
      </c>
      <c r="S25" s="433">
        <v>524</v>
      </c>
      <c r="T25" s="433">
        <v>549</v>
      </c>
      <c r="U25" s="433">
        <v>572</v>
      </c>
      <c r="V25" s="437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38">
        <v>516</v>
      </c>
      <c r="S26" s="439">
        <v>539</v>
      </c>
      <c r="T26" s="439">
        <v>565</v>
      </c>
      <c r="U26" s="439">
        <v>588</v>
      </c>
      <c r="V26" s="440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76">
        <v>44656</v>
      </c>
      <c r="Z1" s="476"/>
    </row>
    <row r="2" spans="1:41" ht="18" customHeight="1">
      <c r="F2" s="20"/>
      <c r="M2" s="478" t="s">
        <v>447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</row>
    <row r="3" spans="1:4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0</v>
      </c>
      <c r="AL7" s="53">
        <f>'CALCULATOR SHEET'!L13</f>
        <v>0</v>
      </c>
      <c r="AM7" s="53" t="str">
        <f t="shared" ref="AM7:AM70" si="0">IF(AK7=0,"",MATCH(CEILING(AK7,6),$E$4:$AA$4,0))</f>
        <v/>
      </c>
      <c r="AN7" s="53" t="str">
        <f>IF(AL7=0,"",MATCH(CEILING(AL7,6),$D$7:$D$28,0))</f>
        <v/>
      </c>
      <c r="AO7" s="54" t="str">
        <f t="shared" ref="AO7:AO70" si="1">IF(AM7="","",INDEX($E$7:$AA$28,AN7,AM7))</f>
        <v/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0</v>
      </c>
      <c r="AL8" s="53">
        <f>'CALCULATOR SHEET'!L14</f>
        <v>0</v>
      </c>
      <c r="AM8" s="53" t="str">
        <f t="shared" si="0"/>
        <v/>
      </c>
      <c r="AN8" s="53" t="str">
        <f t="shared" ref="AN8:AN71" si="2">IF(AL8=0,"",MATCH(CEILING(AL8,6),$D$7:$D$28,0))</f>
        <v/>
      </c>
      <c r="AO8" s="54" t="str">
        <f t="shared" si="1"/>
        <v/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0</v>
      </c>
      <c r="AL9" s="53">
        <f>'CALCULATOR SHEET'!L15</f>
        <v>0</v>
      </c>
      <c r="AM9" s="53" t="str">
        <f t="shared" si="0"/>
        <v/>
      </c>
      <c r="AN9" s="53" t="str">
        <f t="shared" si="2"/>
        <v/>
      </c>
      <c r="AO9" s="54" t="str">
        <f t="shared" si="1"/>
        <v/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0</v>
      </c>
      <c r="AL10" s="53">
        <f>'CALCULATOR SHEET'!L16</f>
        <v>0</v>
      </c>
      <c r="AM10" s="53" t="str">
        <f t="shared" si="0"/>
        <v/>
      </c>
      <c r="AN10" s="53" t="str">
        <f t="shared" si="2"/>
        <v/>
      </c>
      <c r="AO10" s="54" t="str">
        <f t="shared" si="1"/>
        <v/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0</v>
      </c>
      <c r="AL11" s="53">
        <f>'CALCULATOR SHEET'!L17</f>
        <v>0</v>
      </c>
      <c r="AM11" s="53" t="str">
        <f t="shared" si="0"/>
        <v/>
      </c>
      <c r="AN11" s="53" t="str">
        <f t="shared" si="2"/>
        <v/>
      </c>
      <c r="AO11" s="54" t="str">
        <f t="shared" si="1"/>
        <v/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0</v>
      </c>
      <c r="AL12" s="53">
        <f>'CALCULATOR SHEET'!L18</f>
        <v>0</v>
      </c>
      <c r="AM12" s="53" t="str">
        <f t="shared" si="0"/>
        <v/>
      </c>
      <c r="AN12" s="53" t="str">
        <f t="shared" si="2"/>
        <v/>
      </c>
      <c r="AO12" s="54" t="str">
        <f t="shared" si="1"/>
        <v/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0</v>
      </c>
      <c r="AL13" s="53">
        <f>'CALCULATOR SHEET'!L19</f>
        <v>0</v>
      </c>
      <c r="AM13" s="53" t="str">
        <f t="shared" si="0"/>
        <v/>
      </c>
      <c r="AN13" s="53" t="str">
        <f t="shared" si="2"/>
        <v/>
      </c>
      <c r="AO13" s="54" t="str">
        <f t="shared" si="1"/>
        <v/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0</v>
      </c>
      <c r="AL14" s="53">
        <f>'CALCULATOR SHEET'!L20</f>
        <v>0</v>
      </c>
      <c r="AM14" s="53" t="str">
        <f t="shared" si="0"/>
        <v/>
      </c>
      <c r="AN14" s="53" t="str">
        <f t="shared" si="2"/>
        <v/>
      </c>
      <c r="AO14" s="54" t="str">
        <f t="shared" si="1"/>
        <v/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0</v>
      </c>
      <c r="AL15" s="53">
        <f>'CALCULATOR SHEET'!L21</f>
        <v>0</v>
      </c>
      <c r="AM15" s="53" t="str">
        <f t="shared" si="0"/>
        <v/>
      </c>
      <c r="AN15" s="53" t="str">
        <f t="shared" si="2"/>
        <v/>
      </c>
      <c r="AO15" s="54" t="str">
        <f t="shared" si="1"/>
        <v/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80" t="s">
        <v>209</v>
      </c>
      <c r="V7" s="141"/>
      <c r="W7" s="141">
        <f>'CALCULATOR SHEET'!E13</f>
        <v>0</v>
      </c>
      <c r="X7" s="1">
        <v>1</v>
      </c>
      <c r="Y7" s="7">
        <f>'CALCULATOR SHEET'!K13</f>
        <v>0</v>
      </c>
      <c r="Z7" s="7">
        <f>'CALCULATOR SHEET'!L13</f>
        <v>0</v>
      </c>
      <c r="AA7" s="7" t="str">
        <f>IF(Y7=0,"",MATCH(CEILING(Y7,6),$C$7:$R$7,0))</f>
        <v/>
      </c>
      <c r="AB7" s="7" t="str">
        <f>IF(Z7=0,"",MATCH(CEILING(Z7,6),$B$10:$B$26,0))</f>
        <v/>
      </c>
      <c r="AC7" s="140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 t="str">
        <f>IF(AB7&lt;&gt;"",VLOOKUP(AB7,$T$10:$U$26,2,FALSE),"")</f>
        <v/>
      </c>
      <c r="AF7" s="13" t="str">
        <f>IF(Y7&gt;0,HLOOKUP(AA7,$C$29:$R$30,2,FALSE),"")</f>
        <v/>
      </c>
    </row>
    <row r="8" spans="2:32" ht="15.75">
      <c r="U8" s="480"/>
      <c r="V8" s="141"/>
      <c r="W8" s="141">
        <f>'CALCULATOR SHEET'!E14</f>
        <v>0</v>
      </c>
      <c r="X8" s="1">
        <f>+X7+1</f>
        <v>2</v>
      </c>
      <c r="Y8" s="7">
        <f>'CALCULATOR SHEET'!K14</f>
        <v>0</v>
      </c>
      <c r="Z8" s="7">
        <f>'CALCULATOR SHEET'!L14</f>
        <v>0</v>
      </c>
      <c r="AA8" s="7" t="str">
        <f t="shared" ref="AA8:AA28" si="1">IF(Y8=0,"",MATCH(CEILING(Y8,6),$C$7:$R$7,0))</f>
        <v/>
      </c>
      <c r="AB8" s="7" t="str">
        <f t="shared" ref="AB8:AB28" si="2">IF(Z8=0,"",MATCH(CEILING(Z8,6),$B$10:$B$26,0))</f>
        <v/>
      </c>
      <c r="AC8" s="140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 t="str">
        <f t="shared" ref="AE8:AE28" si="4">IF(AB8&lt;&gt;"",VLOOKUP(AB8,$T$10:$U$26,2,FALSE),"")</f>
        <v/>
      </c>
      <c r="AF8" s="13" t="str">
        <f t="shared" ref="AF8:AF71" si="5">IF(Y8&gt;0,HLOOKUP(AA8,$C$29:$R$30,2,FALSE),"")</f>
        <v/>
      </c>
    </row>
    <row r="9" spans="2:32" ht="15.75">
      <c r="B9" s="130" t="s">
        <v>96</v>
      </c>
      <c r="S9" s="130" t="s">
        <v>96</v>
      </c>
      <c r="U9" s="25"/>
      <c r="V9" s="25"/>
      <c r="W9" s="141">
        <f>'CALCULATOR SHEET'!E15</f>
        <v>0</v>
      </c>
      <c r="X9" s="1">
        <f t="shared" ref="X9:X28" si="6">+X8+1</f>
        <v>3</v>
      </c>
      <c r="Y9" s="7">
        <f>'CALCULATOR SHEET'!K15</f>
        <v>0</v>
      </c>
      <c r="Z9" s="7">
        <f>'CALCULATOR SHEET'!L15</f>
        <v>0</v>
      </c>
      <c r="AA9" s="7" t="str">
        <f t="shared" si="1"/>
        <v/>
      </c>
      <c r="AB9" s="7" t="str">
        <f t="shared" si="2"/>
        <v/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 t="str">
        <f t="shared" si="4"/>
        <v/>
      </c>
      <c r="AF9" s="13" t="str">
        <f t="shared" si="5"/>
        <v/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>
        <f>'CALCULATOR SHEET'!E16</f>
        <v>0</v>
      </c>
      <c r="X10" s="1">
        <f t="shared" si="6"/>
        <v>4</v>
      </c>
      <c r="Y10" s="7">
        <f>'CALCULATOR SHEET'!K16</f>
        <v>0</v>
      </c>
      <c r="Z10" s="7">
        <f>'CALCULATOR SHEET'!L16</f>
        <v>0</v>
      </c>
      <c r="AA10" s="7" t="str">
        <f t="shared" si="1"/>
        <v/>
      </c>
      <c r="AB10" s="7" t="str">
        <f t="shared" si="2"/>
        <v/>
      </c>
      <c r="AC10" s="140" t="str">
        <f t="shared" si="3"/>
        <v/>
      </c>
      <c r="AD10" s="13" t="str">
        <f>IF(AND('CALCULATOR SHEET'!R16="YES",'CALCULATOR SHEET'!S16="YES"),HLOOKUP(CEILING(Y10,6),$C$28:$Q$31,3,FALSE),"")</f>
        <v/>
      </c>
      <c r="AE10" s="13" t="str">
        <f t="shared" si="4"/>
        <v/>
      </c>
      <c r="AF10" s="13" t="str">
        <f t="shared" si="5"/>
        <v/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>
        <f>'CALCULATOR SHEET'!E17</f>
        <v>0</v>
      </c>
      <c r="X11" s="1">
        <f t="shared" si="6"/>
        <v>5</v>
      </c>
      <c r="Y11" s="7">
        <f>'CALCULATOR SHEET'!K17</f>
        <v>0</v>
      </c>
      <c r="Z11" s="7">
        <f>'CALCULATOR SHEET'!L17</f>
        <v>0</v>
      </c>
      <c r="AA11" s="7" t="str">
        <f t="shared" si="1"/>
        <v/>
      </c>
      <c r="AB11" s="7" t="str">
        <f t="shared" si="2"/>
        <v/>
      </c>
      <c r="AC11" s="140" t="str">
        <f t="shared" si="3"/>
        <v/>
      </c>
      <c r="AD11" s="13" t="str">
        <f>IF(AND('CALCULATOR SHEET'!R17="YES",'CALCULATOR SHEET'!S17="YES"),HLOOKUP(CEILING(Y11,6),$C$28:$Q$31,3,FALSE),"")</f>
        <v/>
      </c>
      <c r="AE11" s="13" t="str">
        <f t="shared" si="4"/>
        <v/>
      </c>
      <c r="AF11" s="13" t="str">
        <f t="shared" si="5"/>
        <v/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>
        <f>'CALCULATOR SHEET'!E18</f>
        <v>0</v>
      </c>
      <c r="X12" s="1">
        <f t="shared" si="6"/>
        <v>6</v>
      </c>
      <c r="Y12" s="7">
        <f>'CALCULATOR SHEET'!K18</f>
        <v>0</v>
      </c>
      <c r="Z12" s="7">
        <f>'CALCULATOR SHEET'!L18</f>
        <v>0</v>
      </c>
      <c r="AA12" s="7" t="str">
        <f t="shared" si="1"/>
        <v/>
      </c>
      <c r="AB12" s="7" t="str">
        <f t="shared" si="2"/>
        <v/>
      </c>
      <c r="AC12" s="140" t="str">
        <f t="shared" si="3"/>
        <v/>
      </c>
      <c r="AD12" s="13" t="str">
        <f>IF(AND('CALCULATOR SHEET'!R18="YES",'CALCULATOR SHEET'!S18="YES"),HLOOKUP(CEILING(Y12,6),$C$28:$Q$31,3,FALSE),"")</f>
        <v/>
      </c>
      <c r="AE12" s="13" t="str">
        <f t="shared" si="4"/>
        <v/>
      </c>
      <c r="AF12" s="13" t="str">
        <f t="shared" si="5"/>
        <v/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>
        <f>'CALCULATOR SHEET'!E19</f>
        <v>0</v>
      </c>
      <c r="X13" s="1">
        <f t="shared" si="6"/>
        <v>7</v>
      </c>
      <c r="Y13" s="7">
        <f>'CALCULATOR SHEET'!K19</f>
        <v>0</v>
      </c>
      <c r="Z13" s="7">
        <f>'CALCULATOR SHEET'!L19</f>
        <v>0</v>
      </c>
      <c r="AA13" s="7" t="str">
        <f t="shared" si="1"/>
        <v/>
      </c>
      <c r="AB13" s="7" t="str">
        <f t="shared" si="2"/>
        <v/>
      </c>
      <c r="AC13" s="140" t="str">
        <f t="shared" si="3"/>
        <v/>
      </c>
      <c r="AD13" s="13" t="str">
        <f>IF(AND('CALCULATOR SHEET'!R19="YES",'CALCULATOR SHEET'!S19="YES"),HLOOKUP(CEILING(Y13,6),$C$28:$Q$31,3,FALSE),"")</f>
        <v/>
      </c>
      <c r="AE13" s="13" t="str">
        <f t="shared" si="4"/>
        <v/>
      </c>
      <c r="AF13" s="13" t="str">
        <f t="shared" si="5"/>
        <v/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>
        <f>'CALCULATOR SHEET'!E20</f>
        <v>0</v>
      </c>
      <c r="X14" s="1">
        <f t="shared" si="6"/>
        <v>8</v>
      </c>
      <c r="Y14" s="7">
        <f>'CALCULATOR SHEET'!K20</f>
        <v>0</v>
      </c>
      <c r="Z14" s="7">
        <f>'CALCULATOR SHEET'!L20</f>
        <v>0</v>
      </c>
      <c r="AA14" s="7" t="str">
        <f t="shared" si="1"/>
        <v/>
      </c>
      <c r="AB14" s="7" t="str">
        <f t="shared" si="2"/>
        <v/>
      </c>
      <c r="AC14" s="140" t="str">
        <f t="shared" si="3"/>
        <v/>
      </c>
      <c r="AD14" s="13" t="str">
        <f>IF(AND('CALCULATOR SHEET'!R20="YES",'CALCULATOR SHEET'!S20="YES"),HLOOKUP(CEILING(Y14,6),$C$28:$Q$31,3,FALSE),"")</f>
        <v/>
      </c>
      <c r="AE14" s="13" t="str">
        <f t="shared" si="4"/>
        <v/>
      </c>
      <c r="AF14" s="13" t="str">
        <f t="shared" si="5"/>
        <v/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>
        <f>'CALCULATOR SHEET'!E21</f>
        <v>0</v>
      </c>
      <c r="X15" s="1">
        <f t="shared" si="6"/>
        <v>9</v>
      </c>
      <c r="Y15" s="7">
        <f>'CALCULATOR SHEET'!K21</f>
        <v>0</v>
      </c>
      <c r="Z15" s="7">
        <f>'CALCULATOR SHEET'!L21</f>
        <v>0</v>
      </c>
      <c r="AA15" s="7" t="str">
        <f t="shared" si="1"/>
        <v/>
      </c>
      <c r="AB15" s="7" t="str">
        <f t="shared" si="2"/>
        <v/>
      </c>
      <c r="AC15" s="140" t="str">
        <f t="shared" si="3"/>
        <v/>
      </c>
      <c r="AD15" s="13" t="str">
        <f>IF(AND('CALCULATOR SHEET'!R21="YES",'CALCULATOR SHEET'!S21="YES"),HLOOKUP(CEILING(Y15,6),$C$28:$Q$31,3,FALSE),"")</f>
        <v/>
      </c>
      <c r="AE15" s="13" t="str">
        <f t="shared" si="4"/>
        <v/>
      </c>
      <c r="AF15" s="13" t="str">
        <f t="shared" si="5"/>
        <v/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0</v>
      </c>
      <c r="W7" s="7">
        <f>'CALCULATOR SHEET'!L13</f>
        <v>0</v>
      </c>
      <c r="X7" s="7" t="str">
        <f>IF(V7=0,"",MATCH(CEILING(V7,6),$C$8:$Q$8,0))</f>
        <v/>
      </c>
      <c r="Y7" s="7" t="str">
        <f>IF(W7=0,"",MATCH(CEILING(W7,6),$B$10:$B$26,0))</f>
        <v/>
      </c>
      <c r="Z7" s="140" t="str">
        <f>IF(X7="","",INDEX($C$12:$Q$26,Y7,X7))</f>
        <v/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0</v>
      </c>
      <c r="W8" s="7">
        <f>'CALCULATOR SHEET'!L14</f>
        <v>0</v>
      </c>
      <c r="X8" s="7" t="str">
        <f t="shared" ref="X8:X73" si="0">IF(V8=0,"",MATCH(CEILING(V8,6),$C$8:$Q$8,0))</f>
        <v/>
      </c>
      <c r="Y8" s="7" t="str">
        <f t="shared" ref="Y8:Y71" si="1">IF(W8=0,"",MATCH(CEILING(W8,6),$B$10:$B$26,0))</f>
        <v/>
      </c>
      <c r="Z8" s="140" t="str">
        <f>IF(X8="","",INDEX($C$12:$Q$26,Y8,X8))</f>
        <v/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0</v>
      </c>
      <c r="W9" s="7">
        <f>'CALCULATOR SHEET'!L15</f>
        <v>0</v>
      </c>
      <c r="X9" s="7" t="str">
        <f t="shared" si="0"/>
        <v/>
      </c>
      <c r="Y9" s="7" t="str">
        <f t="shared" si="1"/>
        <v/>
      </c>
      <c r="Z9" s="140" t="str">
        <f>IF(X9="","",INDEX($C$12:$Q$26,Y9,X9))</f>
        <v/>
      </c>
      <c r="AA9" s="13" t="str">
        <f>IF(AND('CALCULATOR SHEET'!R15="YES",'CALCULATOR SHEET'!S15="YES"),HLOOKUP(CEILING(V9,6),$C$30:$Q$32,3,FALSE),"")</f>
        <v/>
      </c>
      <c r="AB9" s="13" t="str">
        <f>IF(AND('CALCULATOR SHEET'!R15="YES",'CALCULATOR SHEET'!S15="NO"),HLOOKUP(CEILING(V9,6),$C$30:$Q$35,6,FALSE),"")</f>
        <v/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0</v>
      </c>
      <c r="W12" s="7">
        <f>'CALCULATOR SHEET'!L16</f>
        <v>0</v>
      </c>
      <c r="X12" s="7" t="str">
        <f t="shared" si="0"/>
        <v/>
      </c>
      <c r="Y12" s="7" t="str">
        <f t="shared" si="1"/>
        <v/>
      </c>
      <c r="Z12" s="140" t="str">
        <f t="shared" ref="Z12:Z43" si="3">IF(X12="","",INDEX($C$12:$Q$26,Y12,X12))</f>
        <v/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0</v>
      </c>
      <c r="W13" s="7">
        <f>'CALCULATOR SHEET'!L17</f>
        <v>0</v>
      </c>
      <c r="X13" s="7" t="str">
        <f t="shared" si="0"/>
        <v/>
      </c>
      <c r="Y13" s="7" t="str">
        <f t="shared" si="1"/>
        <v/>
      </c>
      <c r="Z13" s="140" t="str">
        <f t="shared" si="3"/>
        <v/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0</v>
      </c>
      <c r="W14" s="7">
        <f>'CALCULATOR SHEET'!L18</f>
        <v>0</v>
      </c>
      <c r="X14" s="7" t="str">
        <f t="shared" si="0"/>
        <v/>
      </c>
      <c r="Y14" s="7" t="str">
        <f t="shared" si="1"/>
        <v/>
      </c>
      <c r="Z14" s="140" t="str">
        <f t="shared" si="3"/>
        <v/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0</v>
      </c>
      <c r="W15" s="7">
        <f>'CALCULATOR SHEET'!L19</f>
        <v>0</v>
      </c>
      <c r="X15" s="7" t="str">
        <f t="shared" si="0"/>
        <v/>
      </c>
      <c r="Y15" s="7" t="str">
        <f t="shared" si="1"/>
        <v/>
      </c>
      <c r="Z15" s="140" t="str">
        <f t="shared" si="3"/>
        <v/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0</v>
      </c>
      <c r="W16" s="7">
        <f>'CALCULATOR SHEET'!L20</f>
        <v>0</v>
      </c>
      <c r="X16" s="7" t="str">
        <f t="shared" si="0"/>
        <v/>
      </c>
      <c r="Y16" s="7" t="str">
        <f t="shared" si="1"/>
        <v/>
      </c>
      <c r="Z16" s="140" t="str">
        <f t="shared" si="3"/>
        <v/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0</v>
      </c>
      <c r="W17" s="7">
        <f>'CALCULATOR SHEET'!L21</f>
        <v>0</v>
      </c>
      <c r="X17" s="7" t="str">
        <f t="shared" si="0"/>
        <v/>
      </c>
      <c r="Y17" s="7" t="str">
        <f t="shared" si="1"/>
        <v/>
      </c>
      <c r="Z17" s="140" t="str">
        <f t="shared" si="3"/>
        <v/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81" t="s">
        <v>14</v>
      </c>
      <c r="J3" s="481"/>
      <c r="K3" s="481"/>
      <c r="L3" s="481"/>
      <c r="U3" s="34" t="s">
        <v>375</v>
      </c>
    </row>
    <row r="4" spans="2:32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0</v>
      </c>
      <c r="AA7" s="7">
        <f>'CALCULATOR SHEET'!L13</f>
        <v>0</v>
      </c>
      <c r="AB7" s="7" t="str">
        <f>IF(Z7=0,"",MATCH(CEILING(Z7,6),$C$7:$Q$7,0))</f>
        <v/>
      </c>
      <c r="AC7" s="7" t="str">
        <f>IF(AA7=0,"",MATCH(CEILING(AA7,6),$B$10:$B$26,0))</f>
        <v/>
      </c>
      <c r="AD7" s="140" t="str">
        <f>IF(AB7="","",INDEX($C$10:$Q$26,AC7,AB7))</f>
        <v/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80"/>
      <c r="X8" s="141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IF(Z8=0,"",MATCH(CEILING(Z8,6),$C$7:$Q$7,0))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IF(AB8="","",INDEX($C$10:$Q$26,AC8,AB8))</f>
        <v/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  <c r="AE9" s="13" t="str">
        <f>IF(AND('CALCULATOR SHEET'!R15="YES",'CALCULATOR SHEET'!S15="YES"),HLOOKUP(CEILING(Z9,6),$C$28:$Q$30,3,FALSE),"")</f>
        <v/>
      </c>
      <c r="AF9" s="13" t="str">
        <f>IF(AND('CALCULATOR SHEET'!R15="YES",'CALCULATOR SHEET'!S15="NO"),HLOOKUP(CEILING(Z9,6),$C$28:$Q$33,6,FALSE),"")</f>
        <v/>
      </c>
    </row>
    <row r="10" spans="2:32" ht="15.75">
      <c r="B10" s="130">
        <v>24</v>
      </c>
      <c r="C10" s="450">
        <v>153</v>
      </c>
      <c r="D10" s="450">
        <v>163</v>
      </c>
      <c r="E10" s="450">
        <v>181</v>
      </c>
      <c r="F10" s="450">
        <v>195</v>
      </c>
      <c r="G10" s="451">
        <v>205</v>
      </c>
      <c r="H10" s="451">
        <v>218</v>
      </c>
      <c r="I10" s="451">
        <v>235</v>
      </c>
      <c r="J10" s="451">
        <v>253</v>
      </c>
      <c r="K10" s="451">
        <v>266</v>
      </c>
      <c r="L10" s="451">
        <v>299</v>
      </c>
      <c r="M10" s="451">
        <v>316</v>
      </c>
      <c r="N10" s="451">
        <v>328</v>
      </c>
      <c r="O10" s="451">
        <v>338</v>
      </c>
      <c r="P10" s="451">
        <v>356</v>
      </c>
      <c r="Q10" s="452">
        <v>373</v>
      </c>
      <c r="R10" s="452">
        <v>386</v>
      </c>
      <c r="S10" s="452">
        <v>436</v>
      </c>
      <c r="T10" s="452" t="s">
        <v>6</v>
      </c>
      <c r="U10" s="130">
        <v>24</v>
      </c>
      <c r="W10" s="420">
        <v>6.5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50">
        <v>156</v>
      </c>
      <c r="D11" s="450">
        <v>167</v>
      </c>
      <c r="E11" s="450">
        <v>185</v>
      </c>
      <c r="F11" s="450">
        <v>200</v>
      </c>
      <c r="G11" s="451">
        <v>210</v>
      </c>
      <c r="H11" s="451">
        <v>223</v>
      </c>
      <c r="I11" s="451">
        <v>241</v>
      </c>
      <c r="J11" s="451">
        <v>260</v>
      </c>
      <c r="K11" s="451">
        <v>273</v>
      </c>
      <c r="L11" s="451">
        <v>307</v>
      </c>
      <c r="M11" s="451">
        <v>324</v>
      </c>
      <c r="N11" s="451">
        <v>337</v>
      </c>
      <c r="O11" s="451">
        <v>348</v>
      </c>
      <c r="P11" s="451">
        <v>366</v>
      </c>
      <c r="Q11" s="452">
        <v>384</v>
      </c>
      <c r="R11" s="452">
        <v>397</v>
      </c>
      <c r="S11" s="452">
        <v>448</v>
      </c>
      <c r="T11" s="452" t="s">
        <v>6</v>
      </c>
      <c r="U11" s="130">
        <v>30</v>
      </c>
      <c r="W11" s="420">
        <v>7.5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50">
        <v>159</v>
      </c>
      <c r="D12" s="450">
        <v>170</v>
      </c>
      <c r="E12" s="450">
        <v>189</v>
      </c>
      <c r="F12" s="450">
        <v>204</v>
      </c>
      <c r="G12" s="451">
        <v>215</v>
      </c>
      <c r="H12" s="451">
        <v>229</v>
      </c>
      <c r="I12" s="451">
        <v>248</v>
      </c>
      <c r="J12" s="451">
        <v>267</v>
      </c>
      <c r="K12" s="451">
        <v>280</v>
      </c>
      <c r="L12" s="451">
        <v>315</v>
      </c>
      <c r="M12" s="451">
        <v>332</v>
      </c>
      <c r="N12" s="451">
        <v>346</v>
      </c>
      <c r="O12" s="451">
        <v>357</v>
      </c>
      <c r="P12" s="451">
        <v>376</v>
      </c>
      <c r="Q12" s="452">
        <v>394</v>
      </c>
      <c r="R12" s="452">
        <v>408</v>
      </c>
      <c r="S12" s="452">
        <v>459</v>
      </c>
      <c r="T12" s="452" t="s">
        <v>6</v>
      </c>
      <c r="U12" s="130">
        <v>36</v>
      </c>
      <c r="W12" s="420">
        <v>8.5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50">
        <v>162</v>
      </c>
      <c r="D13" s="450">
        <v>174</v>
      </c>
      <c r="E13" s="450">
        <v>194</v>
      </c>
      <c r="F13" s="450">
        <v>209</v>
      </c>
      <c r="G13" s="451">
        <v>221</v>
      </c>
      <c r="H13" s="451">
        <v>235</v>
      </c>
      <c r="I13" s="451">
        <v>254</v>
      </c>
      <c r="J13" s="451">
        <v>273</v>
      </c>
      <c r="K13" s="451">
        <v>288</v>
      </c>
      <c r="L13" s="451">
        <v>323</v>
      </c>
      <c r="M13" s="451">
        <v>341</v>
      </c>
      <c r="N13" s="451">
        <v>355</v>
      </c>
      <c r="O13" s="451">
        <v>367</v>
      </c>
      <c r="P13" s="451">
        <v>386</v>
      </c>
      <c r="Q13" s="452">
        <v>405</v>
      </c>
      <c r="R13" s="452">
        <v>419</v>
      </c>
      <c r="S13" s="452">
        <v>471</v>
      </c>
      <c r="T13" s="452" t="s">
        <v>6</v>
      </c>
      <c r="U13" s="130">
        <v>42</v>
      </c>
      <c r="W13" s="420">
        <v>9.5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51">
        <v>166</v>
      </c>
      <c r="D14" s="451">
        <v>178</v>
      </c>
      <c r="E14" s="451">
        <v>198</v>
      </c>
      <c r="F14" s="451">
        <v>214</v>
      </c>
      <c r="G14" s="451">
        <v>226</v>
      </c>
      <c r="H14" s="451">
        <v>241</v>
      </c>
      <c r="I14" s="451">
        <v>260</v>
      </c>
      <c r="J14" s="451">
        <v>280</v>
      </c>
      <c r="K14" s="451">
        <v>295</v>
      </c>
      <c r="L14" s="451">
        <v>330</v>
      </c>
      <c r="M14" s="451">
        <v>349</v>
      </c>
      <c r="N14" s="451">
        <v>364</v>
      </c>
      <c r="O14" s="451">
        <v>376</v>
      </c>
      <c r="P14" s="451">
        <v>396</v>
      </c>
      <c r="Q14" s="452">
        <v>415</v>
      </c>
      <c r="R14" s="452">
        <v>430</v>
      </c>
      <c r="S14" s="452">
        <v>482</v>
      </c>
      <c r="T14" s="452" t="s">
        <v>6</v>
      </c>
      <c r="U14" s="130">
        <v>48</v>
      </c>
      <c r="W14" s="420">
        <v>10.5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51">
        <v>169</v>
      </c>
      <c r="D15" s="451">
        <v>181</v>
      </c>
      <c r="E15" s="451">
        <v>202</v>
      </c>
      <c r="F15" s="451">
        <v>218</v>
      </c>
      <c r="G15" s="451">
        <v>231</v>
      </c>
      <c r="H15" s="451">
        <v>246</v>
      </c>
      <c r="I15" s="451">
        <v>266</v>
      </c>
      <c r="J15" s="451">
        <v>287</v>
      </c>
      <c r="K15" s="451">
        <v>302</v>
      </c>
      <c r="L15" s="451">
        <v>338</v>
      </c>
      <c r="M15" s="451">
        <v>358</v>
      </c>
      <c r="N15" s="451">
        <v>373</v>
      </c>
      <c r="O15" s="451">
        <v>386</v>
      </c>
      <c r="P15" s="451">
        <v>406</v>
      </c>
      <c r="Q15" s="452">
        <v>426</v>
      </c>
      <c r="R15" s="452">
        <v>441</v>
      </c>
      <c r="S15" s="452">
        <v>494</v>
      </c>
      <c r="T15" s="452" t="s">
        <v>6</v>
      </c>
      <c r="U15" s="130">
        <v>54</v>
      </c>
      <c r="W15" s="420">
        <v>11.25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51">
        <v>172</v>
      </c>
      <c r="D16" s="451">
        <v>185</v>
      </c>
      <c r="E16" s="451">
        <v>206</v>
      </c>
      <c r="F16" s="451">
        <v>223</v>
      </c>
      <c r="G16" s="451">
        <v>236</v>
      </c>
      <c r="H16" s="451">
        <v>252</v>
      </c>
      <c r="I16" s="451">
        <v>273</v>
      </c>
      <c r="J16" s="451">
        <v>294</v>
      </c>
      <c r="K16" s="451">
        <v>310</v>
      </c>
      <c r="L16" s="451">
        <v>346</v>
      </c>
      <c r="M16" s="451">
        <v>366</v>
      </c>
      <c r="N16" s="451">
        <v>382</v>
      </c>
      <c r="O16" s="451">
        <v>395</v>
      </c>
      <c r="P16" s="451">
        <v>416</v>
      </c>
      <c r="Q16" s="452">
        <v>436</v>
      </c>
      <c r="R16" s="452">
        <v>452</v>
      </c>
      <c r="S16" s="452">
        <v>505</v>
      </c>
      <c r="T16" s="452" t="s">
        <v>6</v>
      </c>
      <c r="U16" s="130">
        <v>60</v>
      </c>
      <c r="W16" s="420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51">
        <v>175</v>
      </c>
      <c r="D17" s="451">
        <v>188</v>
      </c>
      <c r="E17" s="451">
        <v>210</v>
      </c>
      <c r="F17" s="451">
        <v>228</v>
      </c>
      <c r="G17" s="451">
        <v>241</v>
      </c>
      <c r="H17" s="451">
        <v>258</v>
      </c>
      <c r="I17" s="451">
        <v>279</v>
      </c>
      <c r="J17" s="451">
        <v>301</v>
      </c>
      <c r="K17" s="451">
        <v>317</v>
      </c>
      <c r="L17" s="451">
        <v>354</v>
      </c>
      <c r="M17" s="451">
        <v>374</v>
      </c>
      <c r="N17" s="451">
        <v>391</v>
      </c>
      <c r="O17" s="451">
        <v>404</v>
      </c>
      <c r="P17" s="451">
        <v>426</v>
      </c>
      <c r="Q17" s="452">
        <v>447</v>
      </c>
      <c r="R17" s="452">
        <v>463</v>
      </c>
      <c r="S17" s="452">
        <v>517</v>
      </c>
      <c r="T17" s="452" t="s">
        <v>6</v>
      </c>
      <c r="U17" s="130">
        <v>66</v>
      </c>
      <c r="W17" s="420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51">
        <v>178</v>
      </c>
      <c r="D18" s="451">
        <v>192</v>
      </c>
      <c r="E18" s="451">
        <v>214</v>
      </c>
      <c r="F18" s="451">
        <v>232</v>
      </c>
      <c r="G18" s="451">
        <v>247</v>
      </c>
      <c r="H18" s="451">
        <v>264</v>
      </c>
      <c r="I18" s="450">
        <v>285</v>
      </c>
      <c r="J18" s="451">
        <v>307</v>
      </c>
      <c r="K18" s="451">
        <v>324</v>
      </c>
      <c r="L18" s="451">
        <v>362</v>
      </c>
      <c r="M18" s="451">
        <v>383</v>
      </c>
      <c r="N18" s="451">
        <v>400</v>
      </c>
      <c r="O18" s="451">
        <v>414</v>
      </c>
      <c r="P18" s="451">
        <v>436</v>
      </c>
      <c r="Q18" s="452">
        <v>457</v>
      </c>
      <c r="R18" s="452">
        <v>474</v>
      </c>
      <c r="S18" s="452">
        <v>529</v>
      </c>
      <c r="T18" s="452" t="s">
        <v>6</v>
      </c>
      <c r="U18" s="130">
        <v>72</v>
      </c>
      <c r="V18" s="135"/>
      <c r="W18" s="420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51">
        <v>181</v>
      </c>
      <c r="D19" s="451">
        <v>196</v>
      </c>
      <c r="E19" s="451">
        <v>218</v>
      </c>
      <c r="F19" s="451">
        <v>237</v>
      </c>
      <c r="G19" s="451">
        <v>252</v>
      </c>
      <c r="H19" s="451">
        <v>269</v>
      </c>
      <c r="I19" s="451">
        <v>291</v>
      </c>
      <c r="J19" s="451">
        <v>314</v>
      </c>
      <c r="K19" s="451">
        <v>332</v>
      </c>
      <c r="L19" s="451">
        <v>370</v>
      </c>
      <c r="M19" s="451">
        <v>391</v>
      </c>
      <c r="N19" s="451">
        <v>409</v>
      </c>
      <c r="O19" s="451">
        <v>423</v>
      </c>
      <c r="P19" s="451">
        <v>446</v>
      </c>
      <c r="Q19" s="452">
        <v>468</v>
      </c>
      <c r="R19" s="452">
        <v>485</v>
      </c>
      <c r="S19" s="452">
        <v>540</v>
      </c>
      <c r="T19" s="452" t="s">
        <v>6</v>
      </c>
      <c r="U19" s="130">
        <v>78</v>
      </c>
      <c r="W19" s="420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51">
        <v>184</v>
      </c>
      <c r="D20" s="451">
        <v>199</v>
      </c>
      <c r="E20" s="451">
        <v>223</v>
      </c>
      <c r="F20" s="451">
        <v>242</v>
      </c>
      <c r="G20" s="451">
        <v>257</v>
      </c>
      <c r="H20" s="451">
        <v>275</v>
      </c>
      <c r="I20" s="451">
        <v>298</v>
      </c>
      <c r="J20" s="451">
        <v>321</v>
      </c>
      <c r="K20" s="451">
        <v>339</v>
      </c>
      <c r="L20" s="451">
        <v>377</v>
      </c>
      <c r="M20" s="451">
        <v>400</v>
      </c>
      <c r="N20" s="451">
        <v>418</v>
      </c>
      <c r="O20" s="451">
        <v>433</v>
      </c>
      <c r="P20" s="451">
        <v>456</v>
      </c>
      <c r="Q20" s="452">
        <v>478</v>
      </c>
      <c r="R20" s="452">
        <v>496</v>
      </c>
      <c r="S20" s="452">
        <v>552</v>
      </c>
      <c r="T20" s="452" t="s">
        <v>6</v>
      </c>
      <c r="U20" s="130">
        <v>84</v>
      </c>
      <c r="W20" s="420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51">
        <v>187</v>
      </c>
      <c r="D21" s="451">
        <v>203</v>
      </c>
      <c r="E21" s="451">
        <v>227</v>
      </c>
      <c r="F21" s="451">
        <v>246</v>
      </c>
      <c r="G21" s="451">
        <v>262</v>
      </c>
      <c r="H21" s="451">
        <v>281</v>
      </c>
      <c r="I21" s="451">
        <v>304</v>
      </c>
      <c r="J21" s="451">
        <v>328</v>
      </c>
      <c r="K21" s="451">
        <v>346</v>
      </c>
      <c r="L21" s="451">
        <v>385</v>
      </c>
      <c r="M21" s="451">
        <v>408</v>
      </c>
      <c r="N21" s="451">
        <v>427</v>
      </c>
      <c r="O21" s="451">
        <v>442</v>
      </c>
      <c r="P21" s="451">
        <v>466</v>
      </c>
      <c r="Q21" s="452">
        <v>489</v>
      </c>
      <c r="R21" s="452">
        <v>507</v>
      </c>
      <c r="S21" s="452">
        <v>563</v>
      </c>
      <c r="T21" s="452" t="s">
        <v>6</v>
      </c>
      <c r="U21" s="130">
        <v>90</v>
      </c>
      <c r="W21" s="420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51">
        <v>190</v>
      </c>
      <c r="D22" s="451">
        <v>206</v>
      </c>
      <c r="E22" s="451">
        <v>231</v>
      </c>
      <c r="F22" s="451">
        <v>251</v>
      </c>
      <c r="G22" s="451">
        <v>267</v>
      </c>
      <c r="H22" s="451">
        <v>287</v>
      </c>
      <c r="I22" s="451">
        <v>310</v>
      </c>
      <c r="J22" s="451">
        <v>334</v>
      </c>
      <c r="K22" s="451">
        <v>354</v>
      </c>
      <c r="L22" s="451">
        <v>393</v>
      </c>
      <c r="M22" s="451">
        <v>416</v>
      </c>
      <c r="N22" s="451">
        <v>435</v>
      </c>
      <c r="O22" s="451">
        <v>452</v>
      </c>
      <c r="P22" s="451">
        <v>476</v>
      </c>
      <c r="Q22" s="452">
        <v>499</v>
      </c>
      <c r="R22" s="452">
        <v>518</v>
      </c>
      <c r="S22" s="452">
        <v>575</v>
      </c>
      <c r="T22" s="452" t="s">
        <v>6</v>
      </c>
      <c r="U22" s="130">
        <v>96</v>
      </c>
      <c r="W22" s="420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51">
        <v>193</v>
      </c>
      <c r="D23" s="451">
        <v>210</v>
      </c>
      <c r="E23" s="451">
        <v>235</v>
      </c>
      <c r="F23" s="451">
        <v>256</v>
      </c>
      <c r="G23" s="451">
        <v>273</v>
      </c>
      <c r="H23" s="451">
        <v>292</v>
      </c>
      <c r="I23" s="451">
        <v>317</v>
      </c>
      <c r="J23" s="451">
        <v>341</v>
      </c>
      <c r="K23" s="451">
        <v>361</v>
      </c>
      <c r="L23" s="451">
        <v>401</v>
      </c>
      <c r="M23" s="451">
        <v>425</v>
      </c>
      <c r="N23" s="451">
        <v>444</v>
      </c>
      <c r="O23" s="451">
        <v>461</v>
      </c>
      <c r="P23" s="451">
        <v>486</v>
      </c>
      <c r="Q23" s="452">
        <v>510</v>
      </c>
      <c r="R23" s="452">
        <v>529</v>
      </c>
      <c r="S23" s="452">
        <v>586</v>
      </c>
      <c r="T23" s="452" t="s">
        <v>6</v>
      </c>
      <c r="U23" s="130">
        <v>102</v>
      </c>
      <c r="W23" s="420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51">
        <v>196</v>
      </c>
      <c r="D24" s="451">
        <v>214</v>
      </c>
      <c r="E24" s="451">
        <v>239</v>
      </c>
      <c r="F24" s="451">
        <v>260</v>
      </c>
      <c r="G24" s="451">
        <v>278</v>
      </c>
      <c r="H24" s="451">
        <v>298</v>
      </c>
      <c r="I24" s="451">
        <v>323</v>
      </c>
      <c r="J24" s="451">
        <v>348</v>
      </c>
      <c r="K24" s="451">
        <v>368</v>
      </c>
      <c r="L24" s="451">
        <v>409</v>
      </c>
      <c r="M24" s="451">
        <v>433</v>
      </c>
      <c r="N24" s="451">
        <v>453</v>
      </c>
      <c r="O24" s="451">
        <v>471</v>
      </c>
      <c r="P24" s="451">
        <v>496</v>
      </c>
      <c r="Q24" s="452">
        <v>520</v>
      </c>
      <c r="R24" s="452">
        <v>540</v>
      </c>
      <c r="S24" s="452">
        <v>598</v>
      </c>
      <c r="T24" s="452" t="s">
        <v>6</v>
      </c>
      <c r="U24" s="130">
        <v>108</v>
      </c>
      <c r="W24" s="420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51">
        <v>199</v>
      </c>
      <c r="D25" s="451">
        <v>217</v>
      </c>
      <c r="E25" s="451">
        <v>243</v>
      </c>
      <c r="F25" s="451">
        <v>265</v>
      </c>
      <c r="G25" s="451">
        <v>283</v>
      </c>
      <c r="H25" s="451">
        <v>304</v>
      </c>
      <c r="I25" s="451">
        <v>329</v>
      </c>
      <c r="J25" s="451">
        <v>355</v>
      </c>
      <c r="K25" s="451">
        <v>376</v>
      </c>
      <c r="L25" s="451">
        <v>417</v>
      </c>
      <c r="M25" s="451">
        <v>441</v>
      </c>
      <c r="N25" s="451">
        <v>462</v>
      </c>
      <c r="O25" s="451">
        <v>480</v>
      </c>
      <c r="P25" s="451">
        <v>506</v>
      </c>
      <c r="Q25" s="452">
        <v>531</v>
      </c>
      <c r="R25" s="452">
        <v>552</v>
      </c>
      <c r="S25" s="452">
        <v>610</v>
      </c>
      <c r="T25" s="452" t="s">
        <v>6</v>
      </c>
      <c r="U25" s="130">
        <v>114</v>
      </c>
      <c r="W25" s="420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51">
        <v>202</v>
      </c>
      <c r="D26" s="451">
        <v>221</v>
      </c>
      <c r="E26" s="451">
        <v>247</v>
      </c>
      <c r="F26" s="451">
        <v>270</v>
      </c>
      <c r="G26" s="451">
        <v>288</v>
      </c>
      <c r="H26" s="451">
        <v>309</v>
      </c>
      <c r="I26" s="451">
        <v>335</v>
      </c>
      <c r="J26" s="451">
        <v>362</v>
      </c>
      <c r="K26" s="451">
        <v>383</v>
      </c>
      <c r="L26" s="451">
        <v>425</v>
      </c>
      <c r="M26" s="451">
        <v>450</v>
      </c>
      <c r="N26" s="451">
        <v>471</v>
      </c>
      <c r="O26" s="451">
        <v>489</v>
      </c>
      <c r="P26" s="451">
        <v>516</v>
      </c>
      <c r="Q26" s="452">
        <v>541</v>
      </c>
      <c r="R26" s="452">
        <v>563</v>
      </c>
      <c r="S26" s="452">
        <v>621</v>
      </c>
      <c r="T26" s="452" t="s">
        <v>6</v>
      </c>
      <c r="U26" s="130">
        <v>120</v>
      </c>
      <c r="W26" s="420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19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19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19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19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19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8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Y7" s="1">
        <v>1</v>
      </c>
      <c r="Z7" s="7">
        <f>'CALCULATOR SHEET'!K13</f>
        <v>0</v>
      </c>
      <c r="AA7" s="7">
        <f>'CALCULATOR SHEET'!L13</f>
        <v>0</v>
      </c>
      <c r="AB7" s="7" t="str">
        <f>IF(Z7=0,"",MATCH(CEILING(Z7,6),$C$7:$Q$7,0))</f>
        <v/>
      </c>
      <c r="AC7" s="7" t="str">
        <f>IF(AA7=0,"",MATCH(CEILING(AA7,6),$B$10:$B$26,0))</f>
        <v/>
      </c>
      <c r="AD7" s="140" t="str">
        <f>IF(AB7="","",INDEX($C$10:$Q$26,AC7,AB7))</f>
        <v/>
      </c>
    </row>
    <row r="8" spans="2:30">
      <c r="W8" s="480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IF(Z8=0,"",MATCH(CEILING(Z8,6),$C$7:$Q$7,0))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IF(AB8="","",INDEX($C$10:$Q$26,AC8,AB8))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52">
        <v>163</v>
      </c>
      <c r="D10" s="452">
        <v>175</v>
      </c>
      <c r="E10" s="452">
        <v>196</v>
      </c>
      <c r="F10" s="452">
        <v>212</v>
      </c>
      <c r="G10" s="452">
        <v>225</v>
      </c>
      <c r="H10" s="452">
        <v>240</v>
      </c>
      <c r="I10" s="452">
        <v>260</v>
      </c>
      <c r="J10" s="452">
        <v>280</v>
      </c>
      <c r="K10" s="452">
        <v>295</v>
      </c>
      <c r="L10" s="452">
        <v>331</v>
      </c>
      <c r="M10" s="452">
        <v>350</v>
      </c>
      <c r="N10" s="452">
        <v>365</v>
      </c>
      <c r="O10" s="452">
        <v>377</v>
      </c>
      <c r="P10" s="452">
        <v>398</v>
      </c>
      <c r="Q10" s="452">
        <v>417</v>
      </c>
      <c r="R10" s="452">
        <v>432</v>
      </c>
      <c r="S10" s="452">
        <v>485</v>
      </c>
      <c r="T10" s="452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52">
        <v>168</v>
      </c>
      <c r="D11" s="452">
        <v>181</v>
      </c>
      <c r="E11" s="452">
        <v>203</v>
      </c>
      <c r="F11" s="452">
        <v>220</v>
      </c>
      <c r="G11" s="452">
        <v>233</v>
      </c>
      <c r="H11" s="452">
        <v>250</v>
      </c>
      <c r="I11" s="452">
        <v>271</v>
      </c>
      <c r="J11" s="452">
        <v>292</v>
      </c>
      <c r="K11" s="452">
        <v>308</v>
      </c>
      <c r="L11" s="452">
        <v>344</v>
      </c>
      <c r="M11" s="452">
        <v>365</v>
      </c>
      <c r="N11" s="452">
        <v>381</v>
      </c>
      <c r="O11" s="452">
        <v>394</v>
      </c>
      <c r="P11" s="452">
        <v>416</v>
      </c>
      <c r="Q11" s="452">
        <v>436</v>
      </c>
      <c r="R11" s="452">
        <v>452</v>
      </c>
      <c r="S11" s="452">
        <v>506</v>
      </c>
      <c r="T11" s="452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52">
        <v>173</v>
      </c>
      <c r="D12" s="452">
        <v>187</v>
      </c>
      <c r="E12" s="452">
        <v>210</v>
      </c>
      <c r="F12" s="452">
        <v>228</v>
      </c>
      <c r="G12" s="452">
        <v>242</v>
      </c>
      <c r="H12" s="452">
        <v>259</v>
      </c>
      <c r="I12" s="452">
        <v>281</v>
      </c>
      <c r="J12" s="452">
        <v>304</v>
      </c>
      <c r="K12" s="452">
        <v>321</v>
      </c>
      <c r="L12" s="452">
        <v>358</v>
      </c>
      <c r="M12" s="452">
        <v>380</v>
      </c>
      <c r="N12" s="452">
        <v>397</v>
      </c>
      <c r="O12" s="452">
        <v>411</v>
      </c>
      <c r="P12" s="452">
        <v>433</v>
      </c>
      <c r="Q12" s="452">
        <v>455</v>
      </c>
      <c r="R12" s="452">
        <v>472</v>
      </c>
      <c r="S12" s="452">
        <v>526</v>
      </c>
      <c r="T12" s="452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52">
        <v>178</v>
      </c>
      <c r="D13" s="452">
        <v>193</v>
      </c>
      <c r="E13" s="452">
        <v>217</v>
      </c>
      <c r="F13" s="452">
        <v>236</v>
      </c>
      <c r="G13" s="452">
        <v>251</v>
      </c>
      <c r="H13" s="452">
        <v>269</v>
      </c>
      <c r="I13" s="452">
        <v>292</v>
      </c>
      <c r="J13" s="452">
        <v>316</v>
      </c>
      <c r="K13" s="452">
        <v>334</v>
      </c>
      <c r="L13" s="452">
        <v>372</v>
      </c>
      <c r="M13" s="452">
        <v>394</v>
      </c>
      <c r="N13" s="452">
        <v>413</v>
      </c>
      <c r="O13" s="452">
        <v>428</v>
      </c>
      <c r="P13" s="452">
        <v>451</v>
      </c>
      <c r="Q13" s="452">
        <v>474</v>
      </c>
      <c r="R13" s="452">
        <v>492</v>
      </c>
      <c r="S13" s="452">
        <v>547</v>
      </c>
      <c r="T13" s="452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52">
        <v>183</v>
      </c>
      <c r="D14" s="452">
        <v>199</v>
      </c>
      <c r="E14" s="452">
        <v>224</v>
      </c>
      <c r="F14" s="452">
        <v>244</v>
      </c>
      <c r="G14" s="452">
        <v>260</v>
      </c>
      <c r="H14" s="452">
        <v>279</v>
      </c>
      <c r="I14" s="452">
        <v>303</v>
      </c>
      <c r="J14" s="452">
        <v>327</v>
      </c>
      <c r="K14" s="452">
        <v>347</v>
      </c>
      <c r="L14" s="452">
        <v>386</v>
      </c>
      <c r="M14" s="452">
        <v>409</v>
      </c>
      <c r="N14" s="452">
        <v>429</v>
      </c>
      <c r="O14" s="452">
        <v>445</v>
      </c>
      <c r="P14" s="452">
        <v>469</v>
      </c>
      <c r="Q14" s="452">
        <v>492</v>
      </c>
      <c r="R14" s="452">
        <v>512</v>
      </c>
      <c r="S14" s="452">
        <v>568</v>
      </c>
      <c r="T14" s="452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52">
        <v>188</v>
      </c>
      <c r="D15" s="452">
        <v>205</v>
      </c>
      <c r="E15" s="452">
        <v>230</v>
      </c>
      <c r="F15" s="452">
        <v>252</v>
      </c>
      <c r="G15" s="452">
        <v>269</v>
      </c>
      <c r="H15" s="452">
        <v>289</v>
      </c>
      <c r="I15" s="452">
        <v>314</v>
      </c>
      <c r="J15" s="452">
        <v>339</v>
      </c>
      <c r="K15" s="452">
        <v>360</v>
      </c>
      <c r="L15" s="452">
        <v>400</v>
      </c>
      <c r="M15" s="452">
        <v>424</v>
      </c>
      <c r="N15" s="452">
        <v>444</v>
      </c>
      <c r="O15" s="452">
        <v>462</v>
      </c>
      <c r="P15" s="452">
        <v>487</v>
      </c>
      <c r="Q15" s="452">
        <v>511</v>
      </c>
      <c r="R15" s="452">
        <v>532</v>
      </c>
      <c r="S15" s="452">
        <v>589</v>
      </c>
      <c r="T15" s="452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52">
        <v>193</v>
      </c>
      <c r="D16" s="452">
        <v>211</v>
      </c>
      <c r="E16" s="452">
        <v>237</v>
      </c>
      <c r="F16" s="452">
        <v>260</v>
      </c>
      <c r="G16" s="452">
        <v>278</v>
      </c>
      <c r="H16" s="452">
        <v>299</v>
      </c>
      <c r="I16" s="452">
        <v>325</v>
      </c>
      <c r="J16" s="452">
        <v>351</v>
      </c>
      <c r="K16" s="452">
        <v>372</v>
      </c>
      <c r="L16" s="452">
        <v>414</v>
      </c>
      <c r="M16" s="452">
        <v>439</v>
      </c>
      <c r="N16" s="452">
        <v>460</v>
      </c>
      <c r="O16" s="452">
        <v>479</v>
      </c>
      <c r="P16" s="452">
        <v>505</v>
      </c>
      <c r="Q16" s="452">
        <v>530</v>
      </c>
      <c r="R16" s="452">
        <v>551</v>
      </c>
      <c r="S16" s="452">
        <v>610</v>
      </c>
      <c r="T16" s="452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52">
        <v>197</v>
      </c>
      <c r="D17" s="452">
        <v>217</v>
      </c>
      <c r="E17" s="452">
        <v>244</v>
      </c>
      <c r="F17" s="452">
        <v>268</v>
      </c>
      <c r="G17" s="452">
        <v>287</v>
      </c>
      <c r="H17" s="452">
        <v>309</v>
      </c>
      <c r="I17" s="452">
        <v>336</v>
      </c>
      <c r="J17" s="452">
        <v>363</v>
      </c>
      <c r="K17" s="452">
        <v>385</v>
      </c>
      <c r="L17" s="452">
        <v>428</v>
      </c>
      <c r="M17" s="452">
        <v>454</v>
      </c>
      <c r="N17" s="452">
        <v>476</v>
      </c>
      <c r="O17" s="452">
        <v>495</v>
      </c>
      <c r="P17" s="452">
        <v>523</v>
      </c>
      <c r="Q17" s="452">
        <v>549</v>
      </c>
      <c r="R17" s="452">
        <v>571</v>
      </c>
      <c r="S17" s="452">
        <v>631</v>
      </c>
      <c r="T17" s="452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52">
        <v>202</v>
      </c>
      <c r="D18" s="452">
        <v>223</v>
      </c>
      <c r="E18" s="452">
        <v>251</v>
      </c>
      <c r="F18" s="452">
        <v>275</v>
      </c>
      <c r="G18" s="452">
        <v>296</v>
      </c>
      <c r="H18" s="452">
        <v>319</v>
      </c>
      <c r="I18" s="453">
        <v>347</v>
      </c>
      <c r="J18" s="453">
        <v>375</v>
      </c>
      <c r="K18" s="453">
        <v>398</v>
      </c>
      <c r="L18" s="452">
        <v>442</v>
      </c>
      <c r="M18" s="452">
        <v>469</v>
      </c>
      <c r="N18" s="452">
        <v>492</v>
      </c>
      <c r="O18" s="452">
        <v>512</v>
      </c>
      <c r="P18" s="452">
        <v>541</v>
      </c>
      <c r="Q18" s="452">
        <v>568</v>
      </c>
      <c r="R18" s="452">
        <v>591</v>
      </c>
      <c r="S18" s="452">
        <v>652</v>
      </c>
      <c r="T18" s="452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52">
        <v>207</v>
      </c>
      <c r="D19" s="452">
        <v>229</v>
      </c>
      <c r="E19" s="452">
        <v>258</v>
      </c>
      <c r="F19" s="452">
        <v>283</v>
      </c>
      <c r="G19" s="452">
        <v>305</v>
      </c>
      <c r="H19" s="452">
        <v>329</v>
      </c>
      <c r="I19" s="453">
        <v>358</v>
      </c>
      <c r="J19" s="453">
        <v>387</v>
      </c>
      <c r="K19" s="453">
        <v>411</v>
      </c>
      <c r="L19" s="452">
        <v>456</v>
      </c>
      <c r="M19" s="452">
        <v>484</v>
      </c>
      <c r="N19" s="452">
        <v>508</v>
      </c>
      <c r="O19" s="452">
        <v>529</v>
      </c>
      <c r="P19" s="452">
        <v>558</v>
      </c>
      <c r="Q19" s="452">
        <v>587</v>
      </c>
      <c r="R19" s="452">
        <v>611</v>
      </c>
      <c r="S19" s="452">
        <v>672</v>
      </c>
      <c r="T19" s="452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52">
        <v>212</v>
      </c>
      <c r="D20" s="452">
        <v>235</v>
      </c>
      <c r="E20" s="452">
        <v>265</v>
      </c>
      <c r="F20" s="452">
        <v>291</v>
      </c>
      <c r="G20" s="452">
        <v>314</v>
      </c>
      <c r="H20" s="452">
        <v>339</v>
      </c>
      <c r="I20" s="453">
        <v>369</v>
      </c>
      <c r="J20" s="453">
        <v>399</v>
      </c>
      <c r="K20" s="453">
        <v>424</v>
      </c>
      <c r="L20" s="452">
        <v>469</v>
      </c>
      <c r="M20" s="452">
        <v>499</v>
      </c>
      <c r="N20" s="452">
        <v>524</v>
      </c>
      <c r="O20" s="452">
        <v>546</v>
      </c>
      <c r="P20" s="452">
        <v>576</v>
      </c>
      <c r="Q20" s="452">
        <v>606</v>
      </c>
      <c r="R20" s="452">
        <v>631</v>
      </c>
      <c r="S20" s="452">
        <v>693</v>
      </c>
      <c r="T20" s="452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52">
        <v>217</v>
      </c>
      <c r="D21" s="452">
        <v>240</v>
      </c>
      <c r="E21" s="452">
        <v>272</v>
      </c>
      <c r="F21" s="452">
        <v>299</v>
      </c>
      <c r="G21" s="452">
        <v>322</v>
      </c>
      <c r="H21" s="452">
        <v>349</v>
      </c>
      <c r="I21" s="452">
        <v>379</v>
      </c>
      <c r="J21" s="452">
        <v>411</v>
      </c>
      <c r="K21" s="452">
        <v>437</v>
      </c>
      <c r="L21" s="452">
        <v>483</v>
      </c>
      <c r="M21" s="452">
        <v>513</v>
      </c>
      <c r="N21" s="452">
        <v>540</v>
      </c>
      <c r="O21" s="452">
        <v>563</v>
      </c>
      <c r="P21" s="452">
        <v>594</v>
      </c>
      <c r="Q21" s="452">
        <v>624</v>
      </c>
      <c r="R21" s="452">
        <v>651</v>
      </c>
      <c r="S21" s="452">
        <v>714</v>
      </c>
      <c r="T21" s="452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52">
        <v>222</v>
      </c>
      <c r="D22" s="452">
        <v>246</v>
      </c>
      <c r="E22" s="452">
        <v>279</v>
      </c>
      <c r="F22" s="452">
        <v>307</v>
      </c>
      <c r="G22" s="452">
        <v>331</v>
      </c>
      <c r="H22" s="452">
        <v>359</v>
      </c>
      <c r="I22" s="452">
        <v>390</v>
      </c>
      <c r="J22" s="452">
        <v>422</v>
      </c>
      <c r="K22" s="452">
        <v>450</v>
      </c>
      <c r="L22" s="452">
        <v>497</v>
      </c>
      <c r="M22" s="452">
        <v>528</v>
      </c>
      <c r="N22" s="452">
        <v>555</v>
      </c>
      <c r="O22" s="452">
        <v>580</v>
      </c>
      <c r="P22" s="452">
        <v>612</v>
      </c>
      <c r="Q22" s="452">
        <v>643</v>
      </c>
      <c r="R22" s="452">
        <v>670</v>
      </c>
      <c r="S22" s="452">
        <v>735</v>
      </c>
      <c r="T22" s="452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52">
        <v>227</v>
      </c>
      <c r="D23" s="452">
        <v>252</v>
      </c>
      <c r="E23" s="452">
        <v>286</v>
      </c>
      <c r="F23" s="452">
        <v>315</v>
      </c>
      <c r="G23" s="452">
        <v>340</v>
      </c>
      <c r="H23" s="452">
        <v>368</v>
      </c>
      <c r="I23" s="452">
        <v>401</v>
      </c>
      <c r="J23" s="452">
        <v>434</v>
      </c>
      <c r="K23" s="452">
        <v>463</v>
      </c>
      <c r="L23" s="452">
        <v>511</v>
      </c>
      <c r="M23" s="452">
        <v>543</v>
      </c>
      <c r="N23" s="452">
        <v>571</v>
      </c>
      <c r="O23" s="452">
        <v>597</v>
      </c>
      <c r="P23" s="452">
        <v>630</v>
      </c>
      <c r="Q23" s="452">
        <v>662</v>
      </c>
      <c r="R23" s="452">
        <v>690</v>
      </c>
      <c r="S23" s="452">
        <v>756</v>
      </c>
      <c r="T23" s="452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52">
        <v>232</v>
      </c>
      <c r="D24" s="452">
        <v>258</v>
      </c>
      <c r="E24" s="452">
        <v>293</v>
      </c>
      <c r="F24" s="452">
        <v>323</v>
      </c>
      <c r="G24" s="452">
        <v>349</v>
      </c>
      <c r="H24" s="452">
        <v>378</v>
      </c>
      <c r="I24" s="452">
        <v>412</v>
      </c>
      <c r="J24" s="452">
        <v>446</v>
      </c>
      <c r="K24" s="452">
        <v>476</v>
      </c>
      <c r="L24" s="452">
        <v>525</v>
      </c>
      <c r="M24" s="452">
        <v>558</v>
      </c>
      <c r="N24" s="452">
        <v>587</v>
      </c>
      <c r="O24" s="452">
        <v>613</v>
      </c>
      <c r="P24" s="452">
        <v>648</v>
      </c>
      <c r="Q24" s="452">
        <v>681</v>
      </c>
      <c r="R24" s="452">
        <v>710</v>
      </c>
      <c r="S24" s="452">
        <v>777</v>
      </c>
      <c r="T24" s="452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237</v>
      </c>
      <c r="D25" s="452">
        <v>264</v>
      </c>
      <c r="E25" s="452">
        <v>300</v>
      </c>
      <c r="F25" s="452">
        <v>331</v>
      </c>
      <c r="G25" s="452">
        <v>358</v>
      </c>
      <c r="H25" s="452">
        <v>388</v>
      </c>
      <c r="I25" s="452">
        <v>423</v>
      </c>
      <c r="J25" s="452">
        <v>458</v>
      </c>
      <c r="K25" s="452">
        <v>488</v>
      </c>
      <c r="L25" s="452">
        <v>539</v>
      </c>
      <c r="M25" s="452">
        <v>573</v>
      </c>
      <c r="N25" s="452">
        <v>603</v>
      </c>
      <c r="O25" s="452">
        <v>630</v>
      </c>
      <c r="P25" s="452">
        <v>666</v>
      </c>
      <c r="Q25" s="452">
        <v>700</v>
      </c>
      <c r="R25" s="452">
        <v>730</v>
      </c>
      <c r="S25" s="452">
        <v>797</v>
      </c>
      <c r="T25" s="452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242</v>
      </c>
      <c r="D26" s="452">
        <v>270</v>
      </c>
      <c r="E26" s="452">
        <v>306</v>
      </c>
      <c r="F26" s="452">
        <v>339</v>
      </c>
      <c r="G26" s="452">
        <v>367</v>
      </c>
      <c r="H26" s="452">
        <v>398</v>
      </c>
      <c r="I26" s="452">
        <v>434</v>
      </c>
      <c r="J26" s="452">
        <v>470</v>
      </c>
      <c r="K26" s="452">
        <v>501</v>
      </c>
      <c r="L26" s="452">
        <v>553</v>
      </c>
      <c r="M26" s="452">
        <v>588</v>
      </c>
      <c r="N26" s="452">
        <v>619</v>
      </c>
      <c r="O26" s="452">
        <v>647</v>
      </c>
      <c r="P26" s="452">
        <v>683</v>
      </c>
      <c r="Q26" s="452">
        <v>719</v>
      </c>
      <c r="R26" s="452">
        <v>750</v>
      </c>
      <c r="S26" s="452">
        <v>818</v>
      </c>
      <c r="T26" s="452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81" t="s">
        <v>9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80" t="s">
        <v>72</v>
      </c>
      <c r="X7" s="141"/>
      <c r="Y7" s="1">
        <v>1</v>
      </c>
      <c r="Z7" s="7">
        <f>'CALCULATOR SHEET'!K13</f>
        <v>0</v>
      </c>
      <c r="AA7" s="7">
        <f>'CALCULATOR SHEET'!L13</f>
        <v>0</v>
      </c>
      <c r="AB7" s="7" t="str">
        <f>IF(Z7=0,"",MATCH(CEILING(Z7,6),$C$7:$R$7,0))</f>
        <v/>
      </c>
      <c r="AC7" s="7" t="str">
        <f>IF(AA7=0,"",MATCH(CEILING(AA7,6),$B$10:$B$26,0))</f>
        <v/>
      </c>
      <c r="AD7" s="140" t="str">
        <f>IF(AB7="","",INDEX($C$10:$R$26,AC7,AB7))</f>
        <v/>
      </c>
    </row>
    <row r="8" spans="2:30" ht="15.75">
      <c r="W8" s="480"/>
      <c r="X8" s="141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1">IF(Z8=0,"",MATCH(CEILING(Z8,6),$C$7:$R$7,0))</f>
        <v/>
      </c>
      <c r="AC8" s="7" t="str">
        <f t="shared" ref="AC8:AC71" si="2">IF(AA8=0,"",MATCH(CEILING(AA8,6),$B$10:$B$26,0))</f>
        <v/>
      </c>
      <c r="AD8" s="140" t="str">
        <f t="shared" ref="AD8:AD71" si="3">IF(AB8="","",INDEX($C$10:$R$26,AC8,AB8))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0</v>
      </c>
      <c r="AA9" s="7">
        <f>'CALCULATOR SHEET'!L15</f>
        <v>0</v>
      </c>
      <c r="AB9" s="7" t="str">
        <f t="shared" si="1"/>
        <v/>
      </c>
      <c r="AC9" s="7" t="str">
        <f t="shared" si="2"/>
        <v/>
      </c>
      <c r="AD9" s="140" t="str">
        <f t="shared" si="3"/>
        <v/>
      </c>
    </row>
    <row r="10" spans="2:30" ht="15.75">
      <c r="B10" s="130">
        <v>24</v>
      </c>
      <c r="C10" s="452">
        <v>176</v>
      </c>
      <c r="D10" s="452">
        <v>192</v>
      </c>
      <c r="E10" s="452">
        <v>215</v>
      </c>
      <c r="F10" s="452">
        <v>235</v>
      </c>
      <c r="G10" s="452">
        <v>250</v>
      </c>
      <c r="H10" s="452">
        <v>269</v>
      </c>
      <c r="I10" s="452">
        <v>292</v>
      </c>
      <c r="J10" s="452">
        <v>316</v>
      </c>
      <c r="K10" s="452">
        <v>334</v>
      </c>
      <c r="L10" s="452">
        <v>373</v>
      </c>
      <c r="M10" s="452">
        <v>395</v>
      </c>
      <c r="N10" s="452">
        <v>414</v>
      </c>
      <c r="O10" s="452">
        <v>429</v>
      </c>
      <c r="P10" s="452">
        <v>453</v>
      </c>
      <c r="Q10" s="452">
        <v>475</v>
      </c>
      <c r="R10" s="452">
        <v>494</v>
      </c>
      <c r="S10" s="452">
        <v>550</v>
      </c>
      <c r="T10" s="452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0</v>
      </c>
      <c r="AA10" s="7">
        <f>'CALCULATOR SHEET'!L16</f>
        <v>0</v>
      </c>
      <c r="AB10" s="7" t="str">
        <f t="shared" si="1"/>
        <v/>
      </c>
      <c r="AC10" s="7" t="str">
        <f t="shared" si="2"/>
        <v/>
      </c>
      <c r="AD10" s="140" t="str">
        <f t="shared" si="3"/>
        <v/>
      </c>
    </row>
    <row r="11" spans="2:30" ht="15.75">
      <c r="B11" s="130">
        <v>30</v>
      </c>
      <c r="C11" s="452">
        <v>183</v>
      </c>
      <c r="D11" s="452">
        <v>201</v>
      </c>
      <c r="E11" s="452">
        <v>226</v>
      </c>
      <c r="F11" s="452">
        <v>247</v>
      </c>
      <c r="G11" s="452">
        <v>264</v>
      </c>
      <c r="H11" s="452">
        <v>284</v>
      </c>
      <c r="I11" s="452">
        <v>309</v>
      </c>
      <c r="J11" s="452">
        <v>334</v>
      </c>
      <c r="K11" s="452">
        <v>354</v>
      </c>
      <c r="L11" s="452">
        <v>395</v>
      </c>
      <c r="M11" s="452">
        <v>419</v>
      </c>
      <c r="N11" s="452">
        <v>439</v>
      </c>
      <c r="O11" s="452">
        <v>456</v>
      </c>
      <c r="P11" s="452">
        <v>481</v>
      </c>
      <c r="Q11" s="452">
        <v>505</v>
      </c>
      <c r="R11" s="452">
        <v>525</v>
      </c>
      <c r="S11" s="452">
        <v>583</v>
      </c>
      <c r="T11" s="452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0</v>
      </c>
      <c r="AA11" s="7">
        <f>'CALCULATOR SHEET'!L17</f>
        <v>0</v>
      </c>
      <c r="AB11" s="7" t="str">
        <f t="shared" si="1"/>
        <v/>
      </c>
      <c r="AC11" s="7" t="str">
        <f t="shared" si="2"/>
        <v/>
      </c>
      <c r="AD11" s="140" t="str">
        <f t="shared" si="3"/>
        <v/>
      </c>
    </row>
    <row r="12" spans="2:30" ht="15.75">
      <c r="B12" s="130">
        <v>36</v>
      </c>
      <c r="C12" s="452">
        <v>191</v>
      </c>
      <c r="D12" s="452">
        <v>210</v>
      </c>
      <c r="E12" s="452">
        <v>237</v>
      </c>
      <c r="F12" s="452">
        <v>259</v>
      </c>
      <c r="G12" s="452">
        <v>278</v>
      </c>
      <c r="H12" s="452">
        <v>300</v>
      </c>
      <c r="I12" s="452">
        <v>326</v>
      </c>
      <c r="J12" s="452">
        <v>353</v>
      </c>
      <c r="K12" s="452">
        <v>375</v>
      </c>
      <c r="L12" s="452">
        <v>417</v>
      </c>
      <c r="M12" s="452">
        <v>442</v>
      </c>
      <c r="N12" s="452">
        <v>464</v>
      </c>
      <c r="O12" s="452">
        <v>483</v>
      </c>
      <c r="P12" s="452">
        <v>510</v>
      </c>
      <c r="Q12" s="452">
        <v>535</v>
      </c>
      <c r="R12" s="452">
        <v>557</v>
      </c>
      <c r="S12" s="452">
        <v>616</v>
      </c>
      <c r="T12" s="452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0</v>
      </c>
      <c r="AA12" s="7">
        <f>'CALCULATOR SHEET'!L18</f>
        <v>0</v>
      </c>
      <c r="AB12" s="7" t="str">
        <f t="shared" si="1"/>
        <v/>
      </c>
      <c r="AC12" s="7" t="str">
        <f t="shared" si="2"/>
        <v/>
      </c>
      <c r="AD12" s="140" t="str">
        <f t="shared" si="3"/>
        <v/>
      </c>
    </row>
    <row r="13" spans="2:30" ht="15.75">
      <c r="B13" s="130">
        <v>42</v>
      </c>
      <c r="C13" s="452">
        <v>198</v>
      </c>
      <c r="D13" s="452">
        <v>219</v>
      </c>
      <c r="E13" s="452">
        <v>247</v>
      </c>
      <c r="F13" s="452">
        <v>272</v>
      </c>
      <c r="G13" s="452">
        <v>292</v>
      </c>
      <c r="H13" s="452">
        <v>315</v>
      </c>
      <c r="I13" s="452">
        <v>343</v>
      </c>
      <c r="J13" s="452">
        <v>372</v>
      </c>
      <c r="K13" s="452">
        <v>395</v>
      </c>
      <c r="L13" s="452">
        <v>438</v>
      </c>
      <c r="M13" s="452">
        <v>466</v>
      </c>
      <c r="N13" s="452">
        <v>489</v>
      </c>
      <c r="O13" s="452">
        <v>509</v>
      </c>
      <c r="P13" s="452">
        <v>538</v>
      </c>
      <c r="Q13" s="452">
        <v>565</v>
      </c>
      <c r="R13" s="452">
        <v>589</v>
      </c>
      <c r="S13" s="452">
        <v>649</v>
      </c>
      <c r="T13" s="452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0</v>
      </c>
      <c r="AA13" s="7">
        <f>'CALCULATOR SHEET'!L19</f>
        <v>0</v>
      </c>
      <c r="AB13" s="7" t="str">
        <f t="shared" si="1"/>
        <v/>
      </c>
      <c r="AC13" s="7" t="str">
        <f t="shared" si="2"/>
        <v/>
      </c>
      <c r="AD13" s="140" t="str">
        <f t="shared" si="3"/>
        <v/>
      </c>
    </row>
    <row r="14" spans="2:30" ht="15.75">
      <c r="B14" s="130">
        <v>48</v>
      </c>
      <c r="C14" s="452">
        <v>206</v>
      </c>
      <c r="D14" s="452">
        <v>228</v>
      </c>
      <c r="E14" s="452">
        <v>258</v>
      </c>
      <c r="F14" s="452">
        <v>284</v>
      </c>
      <c r="G14" s="452">
        <v>306</v>
      </c>
      <c r="H14" s="452">
        <v>331</v>
      </c>
      <c r="I14" s="452">
        <v>360</v>
      </c>
      <c r="J14" s="452">
        <v>390</v>
      </c>
      <c r="K14" s="452">
        <v>415</v>
      </c>
      <c r="L14" s="452">
        <v>460</v>
      </c>
      <c r="M14" s="452">
        <v>489</v>
      </c>
      <c r="N14" s="452">
        <v>514</v>
      </c>
      <c r="O14" s="452">
        <v>536</v>
      </c>
      <c r="P14" s="452">
        <v>566</v>
      </c>
      <c r="Q14" s="452">
        <v>595</v>
      </c>
      <c r="R14" s="452">
        <v>620</v>
      </c>
      <c r="S14" s="452">
        <v>682</v>
      </c>
      <c r="T14" s="452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0</v>
      </c>
      <c r="AA14" s="7">
        <f>'CALCULATOR SHEET'!L20</f>
        <v>0</v>
      </c>
      <c r="AB14" s="7" t="str">
        <f t="shared" si="1"/>
        <v/>
      </c>
      <c r="AC14" s="7" t="str">
        <f t="shared" si="2"/>
        <v/>
      </c>
      <c r="AD14" s="140" t="str">
        <f t="shared" si="3"/>
        <v/>
      </c>
    </row>
    <row r="15" spans="2:30" ht="15.75">
      <c r="B15" s="130">
        <v>54</v>
      </c>
      <c r="C15" s="452">
        <v>213</v>
      </c>
      <c r="D15" s="452">
        <v>237</v>
      </c>
      <c r="E15" s="452">
        <v>268</v>
      </c>
      <c r="F15" s="452">
        <v>296</v>
      </c>
      <c r="G15" s="452">
        <v>320</v>
      </c>
      <c r="H15" s="452">
        <v>346</v>
      </c>
      <c r="I15" s="452">
        <v>377</v>
      </c>
      <c r="J15" s="452">
        <v>409</v>
      </c>
      <c r="K15" s="452">
        <v>435</v>
      </c>
      <c r="L15" s="452">
        <v>482</v>
      </c>
      <c r="M15" s="452">
        <v>513</v>
      </c>
      <c r="N15" s="452">
        <v>539</v>
      </c>
      <c r="O15" s="452">
        <v>563</v>
      </c>
      <c r="P15" s="452">
        <v>594</v>
      </c>
      <c r="Q15" s="452">
        <v>625</v>
      </c>
      <c r="R15" s="452">
        <v>652</v>
      </c>
      <c r="S15" s="452">
        <v>715</v>
      </c>
      <c r="T15" s="452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0</v>
      </c>
      <c r="AA15" s="7">
        <f>'CALCULATOR SHEET'!L21</f>
        <v>0</v>
      </c>
      <c r="AB15" s="7" t="str">
        <f t="shared" si="1"/>
        <v/>
      </c>
      <c r="AC15" s="7" t="str">
        <f t="shared" si="2"/>
        <v/>
      </c>
      <c r="AD15" s="140" t="str">
        <f t="shared" si="3"/>
        <v/>
      </c>
    </row>
    <row r="16" spans="2:30" ht="15.75">
      <c r="B16" s="130">
        <v>60</v>
      </c>
      <c r="C16" s="452">
        <v>220</v>
      </c>
      <c r="D16" s="452">
        <v>246</v>
      </c>
      <c r="E16" s="452">
        <v>279</v>
      </c>
      <c r="F16" s="452">
        <v>308</v>
      </c>
      <c r="G16" s="452">
        <v>333</v>
      </c>
      <c r="H16" s="452">
        <v>362</v>
      </c>
      <c r="I16" s="452">
        <v>394</v>
      </c>
      <c r="J16" s="452">
        <v>428</v>
      </c>
      <c r="K16" s="452">
        <v>456</v>
      </c>
      <c r="L16" s="452">
        <v>504</v>
      </c>
      <c r="M16" s="452">
        <v>536</v>
      </c>
      <c r="N16" s="452">
        <v>564</v>
      </c>
      <c r="O16" s="452">
        <v>590</v>
      </c>
      <c r="P16" s="452">
        <v>623</v>
      </c>
      <c r="Q16" s="452">
        <v>655</v>
      </c>
      <c r="R16" s="452">
        <v>683</v>
      </c>
      <c r="S16" s="452">
        <v>749</v>
      </c>
      <c r="T16" s="452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52">
        <v>228</v>
      </c>
      <c r="D17" s="452">
        <v>255</v>
      </c>
      <c r="E17" s="452">
        <v>290</v>
      </c>
      <c r="F17" s="452">
        <v>320</v>
      </c>
      <c r="G17" s="452">
        <v>347</v>
      </c>
      <c r="H17" s="452">
        <v>377</v>
      </c>
      <c r="I17" s="452">
        <v>411</v>
      </c>
      <c r="J17" s="452">
        <v>446</v>
      </c>
      <c r="K17" s="452">
        <v>476</v>
      </c>
      <c r="L17" s="452">
        <v>526</v>
      </c>
      <c r="M17" s="452">
        <v>560</v>
      </c>
      <c r="N17" s="452">
        <v>589</v>
      </c>
      <c r="O17" s="452">
        <v>616</v>
      </c>
      <c r="P17" s="452">
        <v>651</v>
      </c>
      <c r="Q17" s="452">
        <v>685</v>
      </c>
      <c r="R17" s="452">
        <v>715</v>
      </c>
      <c r="S17" s="452">
        <v>782</v>
      </c>
      <c r="T17" s="452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52">
        <v>235</v>
      </c>
      <c r="D18" s="452">
        <v>264</v>
      </c>
      <c r="E18" s="452">
        <v>300</v>
      </c>
      <c r="F18" s="452">
        <v>333</v>
      </c>
      <c r="G18" s="452">
        <v>361</v>
      </c>
      <c r="H18" s="452">
        <v>392</v>
      </c>
      <c r="I18" s="453">
        <v>428</v>
      </c>
      <c r="J18" s="453">
        <v>465</v>
      </c>
      <c r="K18" s="453">
        <v>496</v>
      </c>
      <c r="L18" s="452">
        <v>548</v>
      </c>
      <c r="M18" s="452">
        <v>583</v>
      </c>
      <c r="N18" s="452">
        <v>615</v>
      </c>
      <c r="O18" s="452">
        <v>643</v>
      </c>
      <c r="P18" s="452">
        <v>679</v>
      </c>
      <c r="Q18" s="452">
        <v>715</v>
      </c>
      <c r="R18" s="452">
        <v>746</v>
      </c>
      <c r="S18" s="452">
        <v>815</v>
      </c>
      <c r="T18" s="452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52">
        <v>243</v>
      </c>
      <c r="D19" s="452">
        <v>273</v>
      </c>
      <c r="E19" s="452">
        <v>311</v>
      </c>
      <c r="F19" s="452">
        <v>345</v>
      </c>
      <c r="G19" s="452">
        <v>375</v>
      </c>
      <c r="H19" s="452">
        <v>408</v>
      </c>
      <c r="I19" s="453">
        <v>445</v>
      </c>
      <c r="J19" s="453">
        <v>484</v>
      </c>
      <c r="K19" s="453">
        <v>517</v>
      </c>
      <c r="L19" s="452">
        <v>570</v>
      </c>
      <c r="M19" s="452">
        <v>607</v>
      </c>
      <c r="N19" s="452">
        <v>640</v>
      </c>
      <c r="O19" s="452">
        <v>670</v>
      </c>
      <c r="P19" s="452">
        <v>708</v>
      </c>
      <c r="Q19" s="452">
        <v>745</v>
      </c>
      <c r="R19" s="452">
        <v>778</v>
      </c>
      <c r="S19" s="452">
        <v>848</v>
      </c>
      <c r="T19" s="452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52">
        <v>250</v>
      </c>
      <c r="D20" s="452">
        <v>282</v>
      </c>
      <c r="E20" s="452">
        <v>322</v>
      </c>
      <c r="F20" s="452">
        <v>357</v>
      </c>
      <c r="G20" s="452">
        <v>389</v>
      </c>
      <c r="H20" s="452">
        <v>423</v>
      </c>
      <c r="I20" s="453">
        <v>463</v>
      </c>
      <c r="J20" s="453">
        <v>502</v>
      </c>
      <c r="K20" s="453">
        <v>537</v>
      </c>
      <c r="L20" s="452">
        <v>592</v>
      </c>
      <c r="M20" s="452">
        <v>630</v>
      </c>
      <c r="N20" s="452">
        <v>665</v>
      </c>
      <c r="O20" s="452">
        <v>696</v>
      </c>
      <c r="P20" s="452">
        <v>736</v>
      </c>
      <c r="Q20" s="452">
        <v>775</v>
      </c>
      <c r="R20" s="452">
        <v>809</v>
      </c>
      <c r="S20" s="452">
        <v>881</v>
      </c>
      <c r="T20" s="452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52">
        <v>257</v>
      </c>
      <c r="D21" s="452">
        <v>291</v>
      </c>
      <c r="E21" s="452">
        <v>332</v>
      </c>
      <c r="F21" s="452">
        <v>369</v>
      </c>
      <c r="G21" s="452">
        <v>403</v>
      </c>
      <c r="H21" s="452">
        <v>439</v>
      </c>
      <c r="I21" s="452">
        <v>480</v>
      </c>
      <c r="J21" s="452">
        <v>521</v>
      </c>
      <c r="K21" s="452">
        <v>557</v>
      </c>
      <c r="L21" s="452">
        <v>614</v>
      </c>
      <c r="M21" s="452">
        <v>654</v>
      </c>
      <c r="N21" s="452">
        <v>690</v>
      </c>
      <c r="O21" s="452">
        <v>723</v>
      </c>
      <c r="P21" s="452">
        <v>764</v>
      </c>
      <c r="Q21" s="452">
        <v>805</v>
      </c>
      <c r="R21" s="452">
        <v>841</v>
      </c>
      <c r="S21" s="452">
        <v>914</v>
      </c>
      <c r="T21" s="452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52">
        <v>265</v>
      </c>
      <c r="D22" s="452">
        <v>300</v>
      </c>
      <c r="E22" s="452">
        <v>343</v>
      </c>
      <c r="F22" s="452">
        <v>382</v>
      </c>
      <c r="G22" s="452">
        <v>417</v>
      </c>
      <c r="H22" s="452">
        <v>454</v>
      </c>
      <c r="I22" s="452">
        <v>497</v>
      </c>
      <c r="J22" s="452">
        <v>539</v>
      </c>
      <c r="K22" s="452">
        <v>577</v>
      </c>
      <c r="L22" s="452">
        <v>635</v>
      </c>
      <c r="M22" s="452">
        <v>677</v>
      </c>
      <c r="N22" s="452">
        <v>715</v>
      </c>
      <c r="O22" s="452">
        <v>750</v>
      </c>
      <c r="P22" s="452">
        <v>793</v>
      </c>
      <c r="Q22" s="452">
        <v>835</v>
      </c>
      <c r="R22" s="452">
        <v>873</v>
      </c>
      <c r="S22" s="452">
        <v>948</v>
      </c>
      <c r="T22" s="452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52">
        <v>272</v>
      </c>
      <c r="D23" s="452">
        <v>309</v>
      </c>
      <c r="E23" s="452">
        <v>353</v>
      </c>
      <c r="F23" s="452">
        <v>394</v>
      </c>
      <c r="G23" s="452">
        <v>430</v>
      </c>
      <c r="H23" s="452">
        <v>470</v>
      </c>
      <c r="I23" s="452">
        <v>514</v>
      </c>
      <c r="J23" s="452">
        <v>558</v>
      </c>
      <c r="K23" s="452">
        <v>598</v>
      </c>
      <c r="L23" s="452">
        <v>657</v>
      </c>
      <c r="M23" s="452">
        <v>701</v>
      </c>
      <c r="N23" s="452">
        <v>740</v>
      </c>
      <c r="O23" s="452">
        <v>777</v>
      </c>
      <c r="P23" s="452">
        <v>821</v>
      </c>
      <c r="Q23" s="452">
        <v>865</v>
      </c>
      <c r="R23" s="452">
        <v>904</v>
      </c>
      <c r="S23" s="452">
        <v>981</v>
      </c>
      <c r="T23" s="452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52">
        <v>280</v>
      </c>
      <c r="D24" s="452">
        <v>318</v>
      </c>
      <c r="E24" s="452">
        <v>364</v>
      </c>
      <c r="F24" s="452">
        <v>406</v>
      </c>
      <c r="G24" s="452">
        <v>444</v>
      </c>
      <c r="H24" s="452">
        <v>485</v>
      </c>
      <c r="I24" s="452">
        <v>531</v>
      </c>
      <c r="J24" s="452">
        <v>577</v>
      </c>
      <c r="K24" s="452">
        <v>618</v>
      </c>
      <c r="L24" s="452">
        <v>679</v>
      </c>
      <c r="M24" s="452">
        <v>724</v>
      </c>
      <c r="N24" s="452">
        <v>765</v>
      </c>
      <c r="O24" s="452">
        <v>803</v>
      </c>
      <c r="P24" s="452">
        <v>850</v>
      </c>
      <c r="Q24" s="452">
        <v>895</v>
      </c>
      <c r="R24" s="452">
        <v>936</v>
      </c>
      <c r="S24" s="452">
        <v>1014</v>
      </c>
      <c r="T24" s="452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52">
        <v>287</v>
      </c>
      <c r="D25" s="452">
        <v>327</v>
      </c>
      <c r="E25" s="452">
        <v>375</v>
      </c>
      <c r="F25" s="452">
        <v>418</v>
      </c>
      <c r="G25" s="452">
        <v>458</v>
      </c>
      <c r="H25" s="452">
        <v>501</v>
      </c>
      <c r="I25" s="452">
        <v>548</v>
      </c>
      <c r="J25" s="452">
        <v>596</v>
      </c>
      <c r="K25" s="452">
        <v>638</v>
      </c>
      <c r="L25" s="452">
        <v>701</v>
      </c>
      <c r="M25" s="452">
        <v>748</v>
      </c>
      <c r="N25" s="452">
        <v>790</v>
      </c>
      <c r="O25" s="452">
        <v>830</v>
      </c>
      <c r="P25" s="452">
        <v>878</v>
      </c>
      <c r="Q25" s="452">
        <v>925</v>
      </c>
      <c r="R25" s="452">
        <v>967</v>
      </c>
      <c r="S25" s="452">
        <v>1047</v>
      </c>
      <c r="T25" s="452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52">
        <v>294</v>
      </c>
      <c r="D26" s="452">
        <v>336</v>
      </c>
      <c r="E26" s="452">
        <v>385</v>
      </c>
      <c r="F26" s="452">
        <v>430</v>
      </c>
      <c r="G26" s="452">
        <v>472</v>
      </c>
      <c r="H26" s="452">
        <v>516</v>
      </c>
      <c r="I26" s="452">
        <v>565</v>
      </c>
      <c r="J26" s="452">
        <v>614</v>
      </c>
      <c r="K26" s="452">
        <v>658</v>
      </c>
      <c r="L26" s="452">
        <v>723</v>
      </c>
      <c r="M26" s="452">
        <v>771</v>
      </c>
      <c r="N26" s="452">
        <v>815</v>
      </c>
      <c r="O26" s="452">
        <v>857</v>
      </c>
      <c r="P26" s="452">
        <v>906</v>
      </c>
      <c r="Q26" s="452">
        <v>954</v>
      </c>
      <c r="R26" s="452">
        <v>999</v>
      </c>
      <c r="S26" s="452">
        <v>1080</v>
      </c>
      <c r="T26" s="452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81" t="s">
        <v>10</v>
      </c>
      <c r="J3" s="481"/>
      <c r="K3" s="481"/>
      <c r="L3" s="481"/>
      <c r="U3" s="34" t="s">
        <v>376</v>
      </c>
    </row>
    <row r="4" spans="2:30" ht="25.5">
      <c r="D4" s="126"/>
      <c r="E4" s="127"/>
      <c r="I4" s="481"/>
      <c r="J4" s="481"/>
      <c r="K4" s="481"/>
      <c r="L4" s="481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80" t="s">
        <v>72</v>
      </c>
      <c r="Y7" s="1">
        <v>1</v>
      </c>
      <c r="Z7" s="7">
        <f>'CALCULATOR SHEET'!K13</f>
        <v>0</v>
      </c>
      <c r="AA7" s="7">
        <f>'CALCULATOR SHEET'!L13</f>
        <v>0</v>
      </c>
      <c r="AB7" s="7" t="str">
        <f>IF(Z7=0,"",MATCH(CEILING(Z7,6),$C$7:$Q$7,0))</f>
        <v/>
      </c>
      <c r="AC7" s="7" t="str">
        <f>IF(AA7=0,"",MATCH(CEILING(AA7,6),$B$10:$B$26,0))</f>
        <v/>
      </c>
      <c r="AD7" s="140" t="str">
        <f>IF(AB7="","",INDEX($C$10:$Q$26,AC7,AB7))</f>
        <v/>
      </c>
    </row>
    <row r="8" spans="2:30">
      <c r="W8" s="480"/>
      <c r="Y8" s="1">
        <f>+Y7+1</f>
        <v>2</v>
      </c>
      <c r="Z8" s="7">
        <f>'CALCULATOR SHEET'!K14</f>
        <v>0</v>
      </c>
      <c r="AA8" s="7">
        <f>'CALCULATOR SHEET'!L14</f>
        <v>0</v>
      </c>
      <c r="AB8" s="7" t="str">
        <f t="shared" ref="AB8:AB71" si="5">IF(Z8=0,"",MATCH(CEILING(Z8,6),$C$7:$Q$7,0))</f>
        <v/>
      </c>
      <c r="AC8" s="7" t="str">
        <f t="shared" ref="AC8:AC71" si="6">IF(AA8=0,"",MATCH(CEILING(AA8,6),$B$10:$B$26,0))</f>
        <v/>
      </c>
      <c r="AD8" s="140" t="str">
        <f t="shared" ref="AD8:AD71" si="7">IF(AB8="","",INDEX($C$10:$Q$26,AC8,AB8))</f>
        <v/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0</v>
      </c>
      <c r="AA9" s="7">
        <f>'CALCULATOR SHEET'!L15</f>
        <v>0</v>
      </c>
      <c r="AB9" s="7" t="str">
        <f t="shared" si="5"/>
        <v/>
      </c>
      <c r="AC9" s="7" t="str">
        <f t="shared" si="6"/>
        <v/>
      </c>
      <c r="AD9" s="140" t="str">
        <f t="shared" si="7"/>
        <v/>
      </c>
    </row>
    <row r="10" spans="2:30" ht="15.75">
      <c r="B10" s="130">
        <v>24</v>
      </c>
      <c r="C10" s="452">
        <v>181</v>
      </c>
      <c r="D10" s="452">
        <v>197</v>
      </c>
      <c r="E10" s="452">
        <v>222</v>
      </c>
      <c r="F10" s="452">
        <v>243</v>
      </c>
      <c r="G10" s="452">
        <v>260</v>
      </c>
      <c r="H10" s="452">
        <v>279</v>
      </c>
      <c r="I10" s="452">
        <v>303</v>
      </c>
      <c r="J10" s="452">
        <v>328</v>
      </c>
      <c r="K10" s="452">
        <v>348</v>
      </c>
      <c r="L10" s="452">
        <v>388</v>
      </c>
      <c r="M10" s="452">
        <v>411</v>
      </c>
      <c r="N10" s="452">
        <v>431</v>
      </c>
      <c r="O10" s="452">
        <v>448</v>
      </c>
      <c r="P10" s="452">
        <v>472</v>
      </c>
      <c r="Q10" s="452">
        <v>496</v>
      </c>
      <c r="R10" s="452">
        <v>516</v>
      </c>
      <c r="S10" s="452">
        <v>573</v>
      </c>
      <c r="T10" s="452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0</v>
      </c>
      <c r="AA10" s="7">
        <f>'CALCULATOR SHEET'!L16</f>
        <v>0</v>
      </c>
      <c r="AB10" s="7" t="str">
        <f t="shared" si="5"/>
        <v/>
      </c>
      <c r="AC10" s="7" t="str">
        <f t="shared" si="6"/>
        <v/>
      </c>
      <c r="AD10" s="140" t="str">
        <f t="shared" si="7"/>
        <v/>
      </c>
    </row>
    <row r="11" spans="2:30" ht="15.75">
      <c r="B11" s="130">
        <v>30</v>
      </c>
      <c r="C11" s="452">
        <v>189</v>
      </c>
      <c r="D11" s="452">
        <v>208</v>
      </c>
      <c r="E11" s="452">
        <v>234</v>
      </c>
      <c r="F11" s="452">
        <v>257</v>
      </c>
      <c r="G11" s="452">
        <v>275</v>
      </c>
      <c r="H11" s="452">
        <v>297</v>
      </c>
      <c r="I11" s="452">
        <v>323</v>
      </c>
      <c r="J11" s="452">
        <v>349</v>
      </c>
      <c r="K11" s="452">
        <v>371</v>
      </c>
      <c r="L11" s="452">
        <v>412</v>
      </c>
      <c r="M11" s="452">
        <v>438</v>
      </c>
      <c r="N11" s="452">
        <v>460</v>
      </c>
      <c r="O11" s="452">
        <v>478</v>
      </c>
      <c r="P11" s="452">
        <v>505</v>
      </c>
      <c r="Q11" s="452">
        <v>530</v>
      </c>
      <c r="R11" s="452">
        <v>552</v>
      </c>
      <c r="S11" s="452">
        <v>610</v>
      </c>
      <c r="T11" s="452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0</v>
      </c>
      <c r="AA11" s="7">
        <f>'CALCULATOR SHEET'!L17</f>
        <v>0</v>
      </c>
      <c r="AB11" s="7" t="str">
        <f t="shared" si="5"/>
        <v/>
      </c>
      <c r="AC11" s="7" t="str">
        <f t="shared" si="6"/>
        <v/>
      </c>
      <c r="AD11" s="140" t="str">
        <f t="shared" si="7"/>
        <v/>
      </c>
    </row>
    <row r="12" spans="2:30" ht="15.75">
      <c r="B12" s="130">
        <v>36</v>
      </c>
      <c r="C12" s="452">
        <v>197</v>
      </c>
      <c r="D12" s="452">
        <v>218</v>
      </c>
      <c r="E12" s="452">
        <v>246</v>
      </c>
      <c r="F12" s="452">
        <v>270</v>
      </c>
      <c r="G12" s="452">
        <v>291</v>
      </c>
      <c r="H12" s="452">
        <v>314</v>
      </c>
      <c r="I12" s="452">
        <v>342</v>
      </c>
      <c r="J12" s="452">
        <v>370</v>
      </c>
      <c r="K12" s="452">
        <v>394</v>
      </c>
      <c r="L12" s="452">
        <v>437</v>
      </c>
      <c r="M12" s="452">
        <v>465</v>
      </c>
      <c r="N12" s="452">
        <v>488</v>
      </c>
      <c r="O12" s="452">
        <v>508</v>
      </c>
      <c r="P12" s="452">
        <v>537</v>
      </c>
      <c r="Q12" s="452">
        <v>564</v>
      </c>
      <c r="R12" s="452">
        <v>587</v>
      </c>
      <c r="S12" s="452">
        <v>648</v>
      </c>
      <c r="T12" s="452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0</v>
      </c>
      <c r="AA12" s="7">
        <f>'CALCULATOR SHEET'!L18</f>
        <v>0</v>
      </c>
      <c r="AB12" s="7" t="str">
        <f t="shared" si="5"/>
        <v/>
      </c>
      <c r="AC12" s="7" t="str">
        <f t="shared" si="6"/>
        <v/>
      </c>
      <c r="AD12" s="140" t="str">
        <f t="shared" si="7"/>
        <v/>
      </c>
    </row>
    <row r="13" spans="2:30" ht="15.75">
      <c r="B13" s="130">
        <v>42</v>
      </c>
      <c r="C13" s="452">
        <v>205</v>
      </c>
      <c r="D13" s="452">
        <v>228</v>
      </c>
      <c r="E13" s="452">
        <v>258</v>
      </c>
      <c r="F13" s="452">
        <v>284</v>
      </c>
      <c r="G13" s="452">
        <v>306</v>
      </c>
      <c r="H13" s="452">
        <v>332</v>
      </c>
      <c r="I13" s="452">
        <v>361</v>
      </c>
      <c r="J13" s="452">
        <v>392</v>
      </c>
      <c r="K13" s="452">
        <v>417</v>
      </c>
      <c r="L13" s="452">
        <v>462</v>
      </c>
      <c r="M13" s="452">
        <v>491</v>
      </c>
      <c r="N13" s="452">
        <v>516</v>
      </c>
      <c r="O13" s="452">
        <v>538</v>
      </c>
      <c r="P13" s="452">
        <v>569</v>
      </c>
      <c r="Q13" s="452">
        <v>598</v>
      </c>
      <c r="R13" s="452">
        <v>623</v>
      </c>
      <c r="S13" s="452">
        <v>685</v>
      </c>
      <c r="T13" s="452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0</v>
      </c>
      <c r="AA13" s="7">
        <f>'CALCULATOR SHEET'!L19</f>
        <v>0</v>
      </c>
      <c r="AB13" s="7" t="str">
        <f t="shared" si="5"/>
        <v/>
      </c>
      <c r="AC13" s="7" t="str">
        <f t="shared" si="6"/>
        <v/>
      </c>
      <c r="AD13" s="140" t="str">
        <f t="shared" si="7"/>
        <v/>
      </c>
    </row>
    <row r="14" spans="2:30" ht="15.75">
      <c r="B14" s="130">
        <v>48</v>
      </c>
      <c r="C14" s="452">
        <v>214</v>
      </c>
      <c r="D14" s="452">
        <v>238</v>
      </c>
      <c r="E14" s="452">
        <v>270</v>
      </c>
      <c r="F14" s="452">
        <v>298</v>
      </c>
      <c r="G14" s="452">
        <v>322</v>
      </c>
      <c r="H14" s="452">
        <v>349</v>
      </c>
      <c r="I14" s="452">
        <v>381</v>
      </c>
      <c r="J14" s="452">
        <v>413</v>
      </c>
      <c r="K14" s="452">
        <v>439</v>
      </c>
      <c r="L14" s="452">
        <v>487</v>
      </c>
      <c r="M14" s="452">
        <v>518</v>
      </c>
      <c r="N14" s="452">
        <v>545</v>
      </c>
      <c r="O14" s="452">
        <v>569</v>
      </c>
      <c r="P14" s="452">
        <v>601</v>
      </c>
      <c r="Q14" s="452">
        <v>632</v>
      </c>
      <c r="R14" s="452">
        <v>659</v>
      </c>
      <c r="S14" s="452">
        <v>723</v>
      </c>
      <c r="T14" s="452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0</v>
      </c>
      <c r="AA14" s="7">
        <f>'CALCULATOR SHEET'!L20</f>
        <v>0</v>
      </c>
      <c r="AB14" s="7" t="str">
        <f t="shared" si="5"/>
        <v/>
      </c>
      <c r="AC14" s="7" t="str">
        <f t="shared" si="6"/>
        <v/>
      </c>
      <c r="AD14" s="140" t="str">
        <f t="shared" si="7"/>
        <v/>
      </c>
    </row>
    <row r="15" spans="2:30" ht="15.75">
      <c r="B15" s="130">
        <v>54</v>
      </c>
      <c r="C15" s="452">
        <v>222</v>
      </c>
      <c r="D15" s="452">
        <v>248</v>
      </c>
      <c r="E15" s="452">
        <v>282</v>
      </c>
      <c r="F15" s="452">
        <v>312</v>
      </c>
      <c r="G15" s="452">
        <v>338</v>
      </c>
      <c r="H15" s="452">
        <v>367</v>
      </c>
      <c r="I15" s="452">
        <v>400</v>
      </c>
      <c r="J15" s="452">
        <v>434</v>
      </c>
      <c r="K15" s="452">
        <v>463</v>
      </c>
      <c r="L15" s="452">
        <v>512</v>
      </c>
      <c r="M15" s="452">
        <v>544</v>
      </c>
      <c r="N15" s="452">
        <v>573</v>
      </c>
      <c r="O15" s="452">
        <v>599</v>
      </c>
      <c r="P15" s="452">
        <v>633</v>
      </c>
      <c r="Q15" s="452">
        <v>666</v>
      </c>
      <c r="R15" s="452">
        <v>694</v>
      </c>
      <c r="S15" s="452">
        <v>760</v>
      </c>
      <c r="T15" s="452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0</v>
      </c>
      <c r="AA15" s="7">
        <f>'CALCULATOR SHEET'!L21</f>
        <v>0</v>
      </c>
      <c r="AB15" s="7" t="str">
        <f t="shared" si="5"/>
        <v/>
      </c>
      <c r="AC15" s="7" t="str">
        <f t="shared" si="6"/>
        <v/>
      </c>
      <c r="AD15" s="140" t="str">
        <f t="shared" si="7"/>
        <v/>
      </c>
    </row>
    <row r="16" spans="2:30" ht="15.75">
      <c r="B16" s="130">
        <v>60</v>
      </c>
      <c r="C16" s="452">
        <v>230</v>
      </c>
      <c r="D16" s="452">
        <v>258</v>
      </c>
      <c r="E16" s="452">
        <v>294</v>
      </c>
      <c r="F16" s="452">
        <v>325</v>
      </c>
      <c r="G16" s="452">
        <v>353</v>
      </c>
      <c r="H16" s="452">
        <v>384</v>
      </c>
      <c r="I16" s="452">
        <v>419</v>
      </c>
      <c r="J16" s="452">
        <v>455</v>
      </c>
      <c r="K16" s="452">
        <v>485</v>
      </c>
      <c r="L16" s="452">
        <v>536</v>
      </c>
      <c r="M16" s="452">
        <v>571</v>
      </c>
      <c r="N16" s="452">
        <v>602</v>
      </c>
      <c r="O16" s="452">
        <v>629</v>
      </c>
      <c r="P16" s="452">
        <v>665</v>
      </c>
      <c r="Q16" s="452">
        <v>700</v>
      </c>
      <c r="R16" s="452">
        <v>730</v>
      </c>
      <c r="S16" s="452">
        <v>798</v>
      </c>
      <c r="T16" s="452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52">
        <v>238</v>
      </c>
      <c r="D17" s="452">
        <v>268</v>
      </c>
      <c r="E17" s="452">
        <v>306</v>
      </c>
      <c r="F17" s="452">
        <v>339</v>
      </c>
      <c r="G17" s="452">
        <v>369</v>
      </c>
      <c r="H17" s="452">
        <v>401</v>
      </c>
      <c r="I17" s="452">
        <v>438</v>
      </c>
      <c r="J17" s="452">
        <v>476</v>
      </c>
      <c r="K17" s="452">
        <v>508</v>
      </c>
      <c r="L17" s="452">
        <v>561</v>
      </c>
      <c r="M17" s="452">
        <v>598</v>
      </c>
      <c r="N17" s="452">
        <v>630</v>
      </c>
      <c r="O17" s="452">
        <v>659</v>
      </c>
      <c r="P17" s="452">
        <v>697</v>
      </c>
      <c r="Q17" s="452">
        <v>733</v>
      </c>
      <c r="R17" s="452">
        <v>766</v>
      </c>
      <c r="S17" s="452">
        <v>836</v>
      </c>
      <c r="T17" s="452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52">
        <v>247</v>
      </c>
      <c r="D18" s="452">
        <v>278</v>
      </c>
      <c r="E18" s="452">
        <v>318</v>
      </c>
      <c r="F18" s="452">
        <v>353</v>
      </c>
      <c r="G18" s="452">
        <v>385</v>
      </c>
      <c r="H18" s="452">
        <v>419</v>
      </c>
      <c r="I18" s="453">
        <v>458</v>
      </c>
      <c r="J18" s="453">
        <v>497</v>
      </c>
      <c r="K18" s="453">
        <v>531</v>
      </c>
      <c r="L18" s="452">
        <v>586</v>
      </c>
      <c r="M18" s="452">
        <v>624</v>
      </c>
      <c r="N18" s="452">
        <v>658</v>
      </c>
      <c r="O18" s="452">
        <v>690</v>
      </c>
      <c r="P18" s="452">
        <v>729</v>
      </c>
      <c r="Q18" s="452">
        <v>767</v>
      </c>
      <c r="R18" s="452">
        <v>802</v>
      </c>
      <c r="S18" s="452">
        <v>873</v>
      </c>
      <c r="T18" s="452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52">
        <v>255</v>
      </c>
      <c r="D19" s="452">
        <v>288</v>
      </c>
      <c r="E19" s="452">
        <v>330</v>
      </c>
      <c r="F19" s="452">
        <v>367</v>
      </c>
      <c r="G19" s="452">
        <v>400</v>
      </c>
      <c r="H19" s="452">
        <v>436</v>
      </c>
      <c r="I19" s="453">
        <v>477</v>
      </c>
      <c r="J19" s="453">
        <v>518</v>
      </c>
      <c r="K19" s="453">
        <v>554</v>
      </c>
      <c r="L19" s="452">
        <v>611</v>
      </c>
      <c r="M19" s="452">
        <v>651</v>
      </c>
      <c r="N19" s="452">
        <v>687</v>
      </c>
      <c r="O19" s="452">
        <v>720</v>
      </c>
      <c r="P19" s="452">
        <v>761</v>
      </c>
      <c r="Q19" s="452">
        <v>801</v>
      </c>
      <c r="R19" s="452">
        <v>837</v>
      </c>
      <c r="S19" s="452">
        <v>911</v>
      </c>
      <c r="T19" s="452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52">
        <v>263</v>
      </c>
      <c r="D20" s="452">
        <v>299</v>
      </c>
      <c r="E20" s="452">
        <v>342</v>
      </c>
      <c r="F20" s="452">
        <v>381</v>
      </c>
      <c r="G20" s="452">
        <v>416</v>
      </c>
      <c r="H20" s="452">
        <v>454</v>
      </c>
      <c r="I20" s="453">
        <v>496</v>
      </c>
      <c r="J20" s="453">
        <v>539</v>
      </c>
      <c r="K20" s="453">
        <v>577</v>
      </c>
      <c r="L20" s="452">
        <v>635</v>
      </c>
      <c r="M20" s="452">
        <v>677</v>
      </c>
      <c r="N20" s="452">
        <v>715</v>
      </c>
      <c r="O20" s="452">
        <v>750</v>
      </c>
      <c r="P20" s="452">
        <v>793</v>
      </c>
      <c r="Q20" s="452">
        <v>835</v>
      </c>
      <c r="R20" s="452">
        <v>873</v>
      </c>
      <c r="S20" s="452">
        <v>948</v>
      </c>
      <c r="T20" s="452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52">
        <v>272</v>
      </c>
      <c r="D21" s="452">
        <v>308</v>
      </c>
      <c r="E21" s="452">
        <v>353</v>
      </c>
      <c r="F21" s="452">
        <v>394</v>
      </c>
      <c r="G21" s="452">
        <v>431</v>
      </c>
      <c r="H21" s="452">
        <v>471</v>
      </c>
      <c r="I21" s="452">
        <v>515</v>
      </c>
      <c r="J21" s="452">
        <v>560</v>
      </c>
      <c r="K21" s="452">
        <v>600</v>
      </c>
      <c r="L21" s="452">
        <v>660</v>
      </c>
      <c r="M21" s="452">
        <v>704</v>
      </c>
      <c r="N21" s="452">
        <v>744</v>
      </c>
      <c r="O21" s="452">
        <v>780</v>
      </c>
      <c r="P21" s="452">
        <v>825</v>
      </c>
      <c r="Q21" s="452">
        <v>869</v>
      </c>
      <c r="R21" s="452">
        <v>909</v>
      </c>
      <c r="S21" s="452">
        <v>986</v>
      </c>
      <c r="T21" s="452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52">
        <v>280</v>
      </c>
      <c r="D22" s="452">
        <v>319</v>
      </c>
      <c r="E22" s="452">
        <v>366</v>
      </c>
      <c r="F22" s="452">
        <v>408</v>
      </c>
      <c r="G22" s="452">
        <v>447</v>
      </c>
      <c r="H22" s="452">
        <v>489</v>
      </c>
      <c r="I22" s="452">
        <v>535</v>
      </c>
      <c r="J22" s="452">
        <v>581</v>
      </c>
      <c r="K22" s="452">
        <v>623</v>
      </c>
      <c r="L22" s="452">
        <v>685</v>
      </c>
      <c r="M22" s="452">
        <v>730</v>
      </c>
      <c r="N22" s="452">
        <v>772</v>
      </c>
      <c r="O22" s="452">
        <v>811</v>
      </c>
      <c r="P22" s="452">
        <v>857</v>
      </c>
      <c r="Q22" s="452">
        <v>903</v>
      </c>
      <c r="R22" s="452">
        <v>945</v>
      </c>
      <c r="S22" s="452">
        <v>1024</v>
      </c>
      <c r="T22" s="452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52">
        <v>288</v>
      </c>
      <c r="D23" s="452">
        <v>329</v>
      </c>
      <c r="E23" s="452">
        <v>378</v>
      </c>
      <c r="F23" s="452">
        <v>422</v>
      </c>
      <c r="G23" s="452">
        <v>462</v>
      </c>
      <c r="H23" s="452">
        <v>506</v>
      </c>
      <c r="I23" s="452">
        <v>554</v>
      </c>
      <c r="J23" s="452">
        <v>603</v>
      </c>
      <c r="K23" s="452">
        <v>646</v>
      </c>
      <c r="L23" s="452">
        <v>710</v>
      </c>
      <c r="M23" s="452">
        <v>757</v>
      </c>
      <c r="N23" s="452">
        <v>800</v>
      </c>
      <c r="O23" s="452">
        <v>841</v>
      </c>
      <c r="P23" s="452">
        <v>890</v>
      </c>
      <c r="Q23" s="452">
        <v>937</v>
      </c>
      <c r="R23" s="452">
        <v>980</v>
      </c>
      <c r="S23" s="452">
        <v>1061</v>
      </c>
      <c r="T23" s="452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52">
        <v>297</v>
      </c>
      <c r="D24" s="452">
        <v>339</v>
      </c>
      <c r="E24" s="452">
        <v>389</v>
      </c>
      <c r="F24" s="452">
        <v>436</v>
      </c>
      <c r="G24" s="452">
        <v>478</v>
      </c>
      <c r="H24" s="452">
        <v>523</v>
      </c>
      <c r="I24" s="452">
        <v>573</v>
      </c>
      <c r="J24" s="452">
        <v>624</v>
      </c>
      <c r="K24" s="452">
        <v>669</v>
      </c>
      <c r="L24" s="452">
        <v>734</v>
      </c>
      <c r="M24" s="452">
        <v>784</v>
      </c>
      <c r="N24" s="452">
        <v>829</v>
      </c>
      <c r="O24" s="452">
        <v>871</v>
      </c>
      <c r="P24" s="452">
        <v>922</v>
      </c>
      <c r="Q24" s="452">
        <v>971</v>
      </c>
      <c r="R24" s="452">
        <v>1016</v>
      </c>
      <c r="S24" s="452">
        <v>1099</v>
      </c>
      <c r="T24" s="452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52">
        <v>305</v>
      </c>
      <c r="D25" s="452">
        <v>349</v>
      </c>
      <c r="E25" s="452">
        <v>401</v>
      </c>
      <c r="F25" s="452">
        <v>449</v>
      </c>
      <c r="G25" s="452">
        <v>494</v>
      </c>
      <c r="H25" s="452">
        <v>541</v>
      </c>
      <c r="I25" s="452">
        <v>593</v>
      </c>
      <c r="J25" s="452">
        <v>645</v>
      </c>
      <c r="K25" s="452">
        <v>692</v>
      </c>
      <c r="L25" s="452">
        <v>759</v>
      </c>
      <c r="M25" s="452">
        <v>810</v>
      </c>
      <c r="N25" s="452">
        <v>857</v>
      </c>
      <c r="O25" s="452">
        <v>902</v>
      </c>
      <c r="P25" s="452">
        <v>954</v>
      </c>
      <c r="Q25" s="452">
        <v>1005</v>
      </c>
      <c r="R25" s="452">
        <v>1052</v>
      </c>
      <c r="S25" s="452">
        <v>1136</v>
      </c>
      <c r="T25" s="452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52">
        <v>313</v>
      </c>
      <c r="D26" s="452">
        <v>359</v>
      </c>
      <c r="E26" s="452">
        <v>413</v>
      </c>
      <c r="F26" s="452">
        <v>463</v>
      </c>
      <c r="G26" s="452">
        <v>509</v>
      </c>
      <c r="H26" s="452">
        <v>558</v>
      </c>
      <c r="I26" s="452">
        <v>612</v>
      </c>
      <c r="J26" s="452">
        <v>666</v>
      </c>
      <c r="K26" s="452">
        <v>715</v>
      </c>
      <c r="L26" s="452">
        <v>784</v>
      </c>
      <c r="M26" s="452">
        <v>837</v>
      </c>
      <c r="N26" s="452">
        <v>886</v>
      </c>
      <c r="O26" s="452">
        <v>932</v>
      </c>
      <c r="P26" s="452">
        <v>986</v>
      </c>
      <c r="Q26" s="452">
        <v>1039</v>
      </c>
      <c r="R26" s="452">
        <v>1088</v>
      </c>
      <c r="S26" s="452">
        <v>1174</v>
      </c>
      <c r="T26" s="452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G1" zoomScale="90" zoomScaleNormal="90" workbookViewId="0">
      <selection activeCell="K21" sqref="K21"/>
    </sheetView>
  </sheetViews>
  <sheetFormatPr defaultColWidth="8.85546875" defaultRowHeight="15"/>
  <cols>
    <col min="1" max="1" width="2.85546875" style="1" customWidth="1"/>
    <col min="2" max="2" width="6.140625" customWidth="1"/>
    <col min="3" max="3" width="7.28515625" customWidth="1"/>
    <col min="4" max="4" width="20.7109375" customWidth="1"/>
    <col min="5" max="5" width="12.85546875" customWidth="1"/>
    <col min="6" max="6" width="41.5703125" customWidth="1"/>
    <col min="7" max="7" width="2.7109375" customWidth="1"/>
    <col min="8" max="8" width="8.5703125" customWidth="1"/>
    <col min="9" max="9" width="30.7109375" customWidth="1"/>
    <col min="10" max="10" width="22.28515625" customWidth="1"/>
    <col min="11" max="11" width="11.7109375" customWidth="1"/>
    <col min="12" max="12" width="12.85546875" customWidth="1"/>
    <col min="13" max="13" width="22.85546875" style="259" customWidth="1"/>
    <col min="14" max="14" width="18.140625" customWidth="1"/>
    <col min="15" max="15" width="12.28515625" style="259" customWidth="1"/>
    <col min="16" max="16" width="11.28515625" style="259" customWidth="1"/>
    <col min="17" max="17" width="13.42578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1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57"/>
      <c r="S3" s="457"/>
      <c r="T3" s="1"/>
      <c r="U3" s="1"/>
      <c r="V3" s="44"/>
      <c r="Y3" s="271" t="s">
        <v>221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60" t="s">
        <v>296</v>
      </c>
      <c r="AC4" s="459">
        <f>FLOOR(SUMIF(C8:C47,"&gt;0")/2,1)</f>
        <v>1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588</v>
      </c>
      <c r="Y5" s="34" t="s">
        <v>127</v>
      </c>
      <c r="AB5" s="460"/>
      <c r="AC5" s="459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18</v>
      </c>
      <c r="Z6" s="3" t="s">
        <v>126</v>
      </c>
      <c r="AA6"/>
      <c r="AB6" s="460"/>
      <c r="AC6" s="459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 t="s">
        <v>585</v>
      </c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58" t="str">
        <f>IF(AC10&gt;(AC9/2),"REVISAR PERSIANAS","")</f>
        <v/>
      </c>
      <c r="AB8" s="458"/>
      <c r="AC8" s="458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/>
      <c r="E9" s="39"/>
      <c r="F9" s="1"/>
      <c r="G9" s="1"/>
      <c r="H9" s="1"/>
      <c r="I9" s="38" t="s">
        <v>382</v>
      </c>
      <c r="J9" s="332" t="s">
        <v>587</v>
      </c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46062</v>
      </c>
      <c r="AB9" s="38" t="s">
        <v>291</v>
      </c>
      <c r="AC9" s="34">
        <f>SUMIF(C13:C52,"&gt;0")</f>
        <v>3</v>
      </c>
      <c r="AF9" s="456" t="s">
        <v>86</v>
      </c>
      <c r="AG9" s="456"/>
      <c r="AH9" s="456"/>
      <c r="AI9" s="456"/>
      <c r="AJ9" s="456"/>
      <c r="AK9" s="456"/>
      <c r="AL9" s="456"/>
      <c r="AM9" s="456"/>
      <c r="AN9" s="264"/>
      <c r="AO9" s="456" t="s">
        <v>87</v>
      </c>
      <c r="AP9" s="456"/>
      <c r="AQ9" s="456"/>
      <c r="AR9" s="264"/>
      <c r="AS9" s="456" t="s">
        <v>88</v>
      </c>
      <c r="AT9" s="456"/>
      <c r="AU9" s="456"/>
      <c r="AV9" s="264"/>
      <c r="AW9" s="456" t="s">
        <v>210</v>
      </c>
      <c r="AX9" s="456"/>
      <c r="AY9" s="14"/>
      <c r="AZ9" s="14"/>
    </row>
    <row r="10" spans="1:76" ht="15.75">
      <c r="B10" s="43"/>
      <c r="C10" s="24" t="s">
        <v>39</v>
      </c>
      <c r="D10" s="185" t="s">
        <v>584</v>
      </c>
      <c r="E10" s="143"/>
      <c r="F10" s="1"/>
      <c r="G10" s="1"/>
      <c r="H10" s="1"/>
      <c r="I10" s="330" t="s">
        <v>383</v>
      </c>
      <c r="J10" s="332" t="s">
        <v>586</v>
      </c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56"/>
      <c r="AG10" s="456"/>
      <c r="AH10" s="456"/>
      <c r="AI10" s="456"/>
      <c r="AJ10" s="456"/>
      <c r="AK10" s="456"/>
      <c r="AL10" s="456"/>
      <c r="AM10" s="456"/>
      <c r="AO10" s="456"/>
      <c r="AP10" s="456"/>
      <c r="AQ10" s="456"/>
      <c r="AS10" s="456"/>
      <c r="AT10" s="456"/>
      <c r="AU10" s="456"/>
      <c r="AW10" s="456"/>
      <c r="AX10" s="456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>
        <v>101</v>
      </c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2</v>
      </c>
      <c r="D13" s="146" t="s">
        <v>83</v>
      </c>
      <c r="E13" s="69"/>
      <c r="F13" s="69"/>
      <c r="G13" s="69" t="e">
        <f ca="1">_xlfn.XLOOKUP(F13,'Colors and Collections (2)'!E4:E191,'Colors and Collections (2)'!D4:D191)</f>
        <v>#NAME?</v>
      </c>
      <c r="H13" s="69"/>
      <c r="I13" s="68" t="s">
        <v>582</v>
      </c>
      <c r="J13" s="68"/>
      <c r="K13" s="81"/>
      <c r="L13" s="81"/>
      <c r="M13" s="249"/>
      <c r="N13" s="70"/>
      <c r="O13" s="279"/>
      <c r="P13" s="249"/>
      <c r="Q13" s="249"/>
      <c r="R13" s="70" t="s">
        <v>45</v>
      </c>
      <c r="S13" s="70" t="s">
        <v>45</v>
      </c>
      <c r="T13" s="70" t="s">
        <v>45</v>
      </c>
      <c r="U13" s="71">
        <v>200</v>
      </c>
      <c r="V13" s="310">
        <f t="shared" ref="V13:V52" si="0">IF(U13="","",U13*C13)</f>
        <v>400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0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 t="str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/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 t="str">
        <f>IF(M13="METAL CHAIN",'ROLLER G1'!AW7,"")</f>
        <v/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 t="str">
        <f>IF(M13="METAL CHAIN",AM13,"")</f>
        <v/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83</v>
      </c>
      <c r="E14" s="69"/>
      <c r="F14" s="69"/>
      <c r="G14" s="69">
        <f>_xlfn.XLOOKUP(F14,'Colors and Collections (2)'!E5:E192,'Colors and Collections (2)'!D5:D192)</f>
        <v>0</v>
      </c>
      <c r="H14" s="69"/>
      <c r="I14" s="68" t="s">
        <v>583</v>
      </c>
      <c r="J14" s="68"/>
      <c r="K14" s="81"/>
      <c r="L14" s="81"/>
      <c r="M14" s="249"/>
      <c r="N14" s="70"/>
      <c r="O14" s="279"/>
      <c r="P14" s="249"/>
      <c r="Q14" s="249"/>
      <c r="R14" s="70" t="s">
        <v>45</v>
      </c>
      <c r="S14" s="70" t="s">
        <v>45</v>
      </c>
      <c r="T14" s="70" t="s">
        <v>45</v>
      </c>
      <c r="U14" s="71">
        <v>20</v>
      </c>
      <c r="V14" s="310">
        <f t="shared" si="0"/>
        <v>20</v>
      </c>
      <c r="W14" s="173" t="str">
        <f t="shared" ref="W14:W52" si="4">IF(OR(AF14="N/A",AO14="N/A",AS14="N/A",AW14="N/A"),"REVISAR MEDIDA","")</f>
        <v/>
      </c>
      <c r="X14" s="147"/>
      <c r="Y14" s="120">
        <f t="shared" si="1"/>
        <v>0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5">IF(AB14&lt;&gt;"N/A",U14,0)</f>
        <v>0</v>
      </c>
      <c r="AD14" s="16" t="str">
        <f t="shared" si="3"/>
        <v>ROLLER</v>
      </c>
      <c r="AE14" s="266"/>
      <c r="AF14" s="116" t="str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/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 t="str">
        <f>IF(M14="METAL CHAIN",'ROLLER G1'!AW8,"")</f>
        <v/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 t="str">
        <f t="shared" ref="AU14:AU52" si="6">IF(M14="METAL CHAIN",AM14,"")</f>
        <v/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/>
      <c r="D15" s="146"/>
      <c r="E15" s="69"/>
      <c r="F15" s="69"/>
      <c r="G15" s="69">
        <f>_xlfn.XLOOKUP(F15,'Colors and Collections (2)'!E6:E193,'Colors and Collections (2)'!D6:D193)</f>
        <v>0</v>
      </c>
      <c r="H15" s="69"/>
      <c r="I15" s="68"/>
      <c r="J15" s="68"/>
      <c r="K15" s="81"/>
      <c r="L15" s="81"/>
      <c r="M15" s="249"/>
      <c r="N15" s="70"/>
      <c r="O15" s="279"/>
      <c r="P15" s="249"/>
      <c r="Q15" s="249"/>
      <c r="R15" s="70" t="s">
        <v>45</v>
      </c>
      <c r="S15" s="70" t="s">
        <v>45</v>
      </c>
      <c r="T15" s="70" t="s">
        <v>45</v>
      </c>
      <c r="U15" s="71">
        <f t="shared" ref="U14:U52" si="7">IF(W15="REVISAR MEDIDA","NO APLICA",Y15+Z15)</f>
        <v>0</v>
      </c>
      <c r="V15" s="310">
        <f t="shared" si="0"/>
        <v>0</v>
      </c>
      <c r="W15" s="173" t="str">
        <f t="shared" si="4"/>
        <v/>
      </c>
      <c r="X15" s="116"/>
      <c r="Y15" s="120">
        <f t="shared" si="1"/>
        <v>0</v>
      </c>
      <c r="Z15" s="285">
        <v>0</v>
      </c>
      <c r="AA15" s="269">
        <f t="shared" si="2"/>
        <v>3</v>
      </c>
      <c r="AB15" s="124" t="s">
        <v>6</v>
      </c>
      <c r="AC15" s="304">
        <f t="shared" si="5"/>
        <v>0</v>
      </c>
      <c r="AD15" s="16">
        <f t="shared" si="3"/>
        <v>0</v>
      </c>
      <c r="AE15" s="266"/>
      <c r="AF15" s="116" t="str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/>
      </c>
      <c r="AG15" s="116" t="str">
        <f t="shared" ref="AG15:AG52" si="8">IF(H15="YES",(((K15+4)*(L15+15))/144)*$AG$11,"")</f>
        <v/>
      </c>
      <c r="AH15" s="116" t="str">
        <f>IF(R15="YES",'ROLLER G1'!AR9,"")</f>
        <v/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 t="str">
        <f>IF(M15="METAL CHAIN",'ROLLER G1'!AW9,"")</f>
        <v/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 t="str">
        <f t="shared" si="6"/>
        <v/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 t="str">
        <f>IF(R15="YES",'ROLLER EXT.'!AF9,"")</f>
        <v/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/>
      <c r="D16" s="146"/>
      <c r="E16" s="69"/>
      <c r="F16" s="69"/>
      <c r="G16" s="69">
        <f>_xlfn.XLOOKUP(F16,'Colors and Collections (2)'!E7:E194,'Colors and Collections (2)'!D7:D194)</f>
        <v>0</v>
      </c>
      <c r="H16" s="69"/>
      <c r="I16" s="68"/>
      <c r="J16" s="68"/>
      <c r="K16" s="81"/>
      <c r="L16" s="81"/>
      <c r="M16" s="249"/>
      <c r="N16" s="70"/>
      <c r="O16" s="279"/>
      <c r="P16" s="249"/>
      <c r="Q16" s="249"/>
      <c r="R16" s="70" t="s">
        <v>45</v>
      </c>
      <c r="S16" s="70" t="s">
        <v>45</v>
      </c>
      <c r="T16" s="70" t="s">
        <v>45</v>
      </c>
      <c r="U16" s="71">
        <f t="shared" si="7"/>
        <v>0</v>
      </c>
      <c r="V16" s="310">
        <f t="shared" si="0"/>
        <v>0</v>
      </c>
      <c r="W16" s="173" t="str">
        <f t="shared" si="4"/>
        <v/>
      </c>
      <c r="X16" s="116"/>
      <c r="Y16" s="120">
        <f t="shared" si="1"/>
        <v>0</v>
      </c>
      <c r="Z16" s="285">
        <v>0</v>
      </c>
      <c r="AA16" s="269">
        <f t="shared" si="2"/>
        <v>4</v>
      </c>
      <c r="AB16" s="124" t="s">
        <v>6</v>
      </c>
      <c r="AC16" s="304">
        <f t="shared" si="5"/>
        <v>0</v>
      </c>
      <c r="AD16" s="16">
        <f t="shared" si="3"/>
        <v>0</v>
      </c>
      <c r="AE16" s="266"/>
      <c r="AF16" s="116" t="str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/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 t="str">
        <f>IF(M16="METAL CHAIN",'ROLLER G1'!AW10,"")</f>
        <v/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 t="str">
        <f t="shared" si="6"/>
        <v/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/>
      <c r="D17" s="146"/>
      <c r="E17" s="69"/>
      <c r="F17" s="69"/>
      <c r="G17" s="69">
        <f>_xlfn.XLOOKUP(F17,'Colors and Collections (2)'!E8:E195,'Colors and Collections (2)'!D8:D195)</f>
        <v>0</v>
      </c>
      <c r="H17" s="69"/>
      <c r="I17" s="68"/>
      <c r="J17" s="68"/>
      <c r="K17" s="81"/>
      <c r="L17" s="81"/>
      <c r="M17" s="249"/>
      <c r="N17" s="70"/>
      <c r="O17" s="279"/>
      <c r="P17" s="249"/>
      <c r="Q17" s="249"/>
      <c r="R17" s="70" t="s">
        <v>45</v>
      </c>
      <c r="S17" s="70" t="s">
        <v>45</v>
      </c>
      <c r="T17" s="70" t="s">
        <v>45</v>
      </c>
      <c r="U17" s="71">
        <f t="shared" si="7"/>
        <v>0</v>
      </c>
      <c r="V17" s="310">
        <f t="shared" si="0"/>
        <v>0</v>
      </c>
      <c r="W17" s="173" t="str">
        <f t="shared" si="4"/>
        <v/>
      </c>
      <c r="X17" s="116"/>
      <c r="Y17" s="120">
        <f t="shared" si="1"/>
        <v>0</v>
      </c>
      <c r="Z17" s="285">
        <v>0</v>
      </c>
      <c r="AA17" s="269">
        <f t="shared" si="2"/>
        <v>5</v>
      </c>
      <c r="AB17" s="124" t="s">
        <v>6</v>
      </c>
      <c r="AC17" s="304">
        <f t="shared" si="5"/>
        <v>0</v>
      </c>
      <c r="AD17" s="16">
        <f t="shared" si="3"/>
        <v>0</v>
      </c>
      <c r="AE17" s="266"/>
      <c r="AF17" s="116" t="str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/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 t="str">
        <f>IF(M17="METAL CHAIN",'ROLLER G1'!AW11,"")</f>
        <v/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 t="str">
        <f t="shared" si="6"/>
        <v/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/>
      <c r="D18" s="146"/>
      <c r="E18" s="69"/>
      <c r="F18" s="69"/>
      <c r="G18" s="69">
        <f>_xlfn.XLOOKUP(F18,'Colors and Collections (2)'!E9:E196,'Colors and Collections (2)'!D9:D196)</f>
        <v>0</v>
      </c>
      <c r="H18" s="69"/>
      <c r="I18" s="68"/>
      <c r="J18" s="68"/>
      <c r="K18" s="81"/>
      <c r="L18" s="81"/>
      <c r="M18" s="249"/>
      <c r="N18" s="70"/>
      <c r="O18" s="279"/>
      <c r="P18" s="249"/>
      <c r="Q18" s="249"/>
      <c r="R18" s="70" t="s">
        <v>45</v>
      </c>
      <c r="S18" s="70" t="s">
        <v>45</v>
      </c>
      <c r="T18" s="70" t="s">
        <v>45</v>
      </c>
      <c r="U18" s="71">
        <f t="shared" si="7"/>
        <v>0</v>
      </c>
      <c r="V18" s="310">
        <f t="shared" si="0"/>
        <v>0</v>
      </c>
      <c r="W18" s="173" t="str">
        <f t="shared" si="4"/>
        <v/>
      </c>
      <c r="X18" s="116"/>
      <c r="Y18" s="120">
        <f t="shared" si="1"/>
        <v>0</v>
      </c>
      <c r="Z18" s="285">
        <v>0</v>
      </c>
      <c r="AA18" s="269">
        <f t="shared" si="2"/>
        <v>6</v>
      </c>
      <c r="AB18" s="124" t="s">
        <v>6</v>
      </c>
      <c r="AC18" s="304">
        <f t="shared" si="5"/>
        <v>0</v>
      </c>
      <c r="AD18" s="16">
        <f t="shared" si="3"/>
        <v>0</v>
      </c>
      <c r="AE18" s="266"/>
      <c r="AF18" s="116" t="str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/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 t="str">
        <f>IF(M18="METAL CHAIN",'ROLLER G1'!AW12,"")</f>
        <v/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 t="str">
        <f t="shared" si="6"/>
        <v/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/>
      <c r="D19" s="146"/>
      <c r="E19" s="69"/>
      <c r="F19" s="69"/>
      <c r="G19" s="69">
        <f>_xlfn.XLOOKUP(F19,'Colors and Collections (2)'!E10:E197,'Colors and Collections (2)'!D10:D197)</f>
        <v>0</v>
      </c>
      <c r="H19" s="69"/>
      <c r="I19" s="68"/>
      <c r="J19" s="68"/>
      <c r="K19" s="81"/>
      <c r="L19" s="81"/>
      <c r="M19" s="249"/>
      <c r="N19" s="70"/>
      <c r="O19" s="279"/>
      <c r="P19" s="249"/>
      <c r="Q19" s="249"/>
      <c r="R19" s="70" t="s">
        <v>45</v>
      </c>
      <c r="S19" s="70" t="s">
        <v>45</v>
      </c>
      <c r="T19" s="70" t="s">
        <v>45</v>
      </c>
      <c r="U19" s="71">
        <f t="shared" si="7"/>
        <v>0</v>
      </c>
      <c r="V19" s="310">
        <f t="shared" si="0"/>
        <v>0</v>
      </c>
      <c r="W19" s="173" t="str">
        <f t="shared" si="4"/>
        <v/>
      </c>
      <c r="X19" s="116"/>
      <c r="Y19" s="120">
        <f t="shared" si="1"/>
        <v>0</v>
      </c>
      <c r="Z19" s="285">
        <v>0</v>
      </c>
      <c r="AA19" s="269">
        <f t="shared" si="2"/>
        <v>7</v>
      </c>
      <c r="AB19" s="124" t="s">
        <v>6</v>
      </c>
      <c r="AC19" s="304">
        <f t="shared" si="5"/>
        <v>0</v>
      </c>
      <c r="AD19" s="16">
        <f t="shared" si="3"/>
        <v>0</v>
      </c>
      <c r="AE19" s="266"/>
      <c r="AF19" s="116" t="str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/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 t="str">
        <f>IF(M19="METAL CHAIN",'ROLLER G1'!AW13,"")</f>
        <v/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 t="str">
        <f t="shared" si="6"/>
        <v/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/>
      <c r="D20" s="146"/>
      <c r="E20" s="69"/>
      <c r="F20" s="69"/>
      <c r="G20" s="69">
        <f>_xlfn.XLOOKUP(F20,'Colors and Collections (2)'!E11:E198,'Colors and Collections (2)'!D11:D198)</f>
        <v>0</v>
      </c>
      <c r="H20" s="69"/>
      <c r="I20" s="68"/>
      <c r="J20" s="68"/>
      <c r="K20" s="81"/>
      <c r="L20" s="81"/>
      <c r="M20" s="249"/>
      <c r="N20" s="70"/>
      <c r="O20" s="279"/>
      <c r="P20" s="249"/>
      <c r="Q20" s="249"/>
      <c r="R20" s="70" t="s">
        <v>45</v>
      </c>
      <c r="S20" s="70" t="s">
        <v>45</v>
      </c>
      <c r="T20" s="70" t="s">
        <v>45</v>
      </c>
      <c r="U20" s="71">
        <f t="shared" si="7"/>
        <v>0</v>
      </c>
      <c r="V20" s="310">
        <f t="shared" si="0"/>
        <v>0</v>
      </c>
      <c r="W20" s="173" t="str">
        <f t="shared" si="4"/>
        <v/>
      </c>
      <c r="X20" s="116"/>
      <c r="Y20" s="120">
        <f t="shared" si="1"/>
        <v>0</v>
      </c>
      <c r="Z20" s="285">
        <v>0</v>
      </c>
      <c r="AA20" s="269">
        <f t="shared" si="2"/>
        <v>8</v>
      </c>
      <c r="AB20" s="124" t="s">
        <v>6</v>
      </c>
      <c r="AC20" s="304">
        <f t="shared" si="5"/>
        <v>0</v>
      </c>
      <c r="AD20" s="16">
        <f t="shared" si="3"/>
        <v>0</v>
      </c>
      <c r="AE20" s="266"/>
      <c r="AF20" s="116" t="str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/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 t="str">
        <f>IF(M20="METAL CHAIN",'ROLLER G1'!AW14,"")</f>
        <v/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 t="str">
        <f t="shared" si="6"/>
        <v/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/>
      <c r="D21" s="146"/>
      <c r="E21" s="69"/>
      <c r="F21" s="69"/>
      <c r="G21" s="69">
        <f>_xlfn.XLOOKUP(F21,'Colors and Collections (2)'!E12:E199,'Colors and Collections (2)'!D12:D199)</f>
        <v>0</v>
      </c>
      <c r="H21" s="69"/>
      <c r="I21" s="68"/>
      <c r="J21" s="68"/>
      <c r="K21" s="81"/>
      <c r="L21" s="81"/>
      <c r="M21" s="249"/>
      <c r="N21" s="70"/>
      <c r="O21" s="279"/>
      <c r="P21" s="249"/>
      <c r="Q21" s="249"/>
      <c r="R21" s="70" t="s">
        <v>45</v>
      </c>
      <c r="S21" s="70" t="s">
        <v>45</v>
      </c>
      <c r="T21" s="70" t="s">
        <v>45</v>
      </c>
      <c r="U21" s="71">
        <f t="shared" si="7"/>
        <v>0</v>
      </c>
      <c r="V21" s="310">
        <f t="shared" si="0"/>
        <v>0</v>
      </c>
      <c r="W21" s="173" t="str">
        <f t="shared" si="4"/>
        <v/>
      </c>
      <c r="X21" s="116"/>
      <c r="Y21" s="120">
        <f t="shared" si="1"/>
        <v>0</v>
      </c>
      <c r="Z21" s="285">
        <v>0</v>
      </c>
      <c r="AA21" s="269">
        <f t="shared" si="2"/>
        <v>9</v>
      </c>
      <c r="AB21" s="124" t="s">
        <v>6</v>
      </c>
      <c r="AC21" s="304">
        <f t="shared" si="5"/>
        <v>0</v>
      </c>
      <c r="AD21" s="16">
        <f t="shared" si="3"/>
        <v>0</v>
      </c>
      <c r="AE21" s="266"/>
      <c r="AF21" s="116" t="str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/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 t="str">
        <f>IF(M21="METAL CHAIN",'ROLLER G1'!AW15,"")</f>
        <v/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 t="str">
        <f t="shared" si="6"/>
        <v/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7"/>
        <v>0</v>
      </c>
      <c r="V22" s="72">
        <f t="shared" si="0"/>
        <v>0</v>
      </c>
      <c r="W22" s="173" t="str">
        <f t="shared" si="4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5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6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7"/>
        <v>0</v>
      </c>
      <c r="V23" s="72">
        <f t="shared" si="0"/>
        <v>0</v>
      </c>
      <c r="W23" s="173" t="str">
        <f t="shared" si="4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5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6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7"/>
        <v>0</v>
      </c>
      <c r="V24" s="72">
        <f t="shared" si="0"/>
        <v>0</v>
      </c>
      <c r="W24" s="173" t="str">
        <f t="shared" si="4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5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6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7"/>
        <v>0</v>
      </c>
      <c r="V25" s="72">
        <f t="shared" si="0"/>
        <v>0</v>
      </c>
      <c r="W25" s="173" t="str">
        <f t="shared" si="4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5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6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7"/>
        <v>0</v>
      </c>
      <c r="V26" s="72">
        <f t="shared" si="0"/>
        <v>0</v>
      </c>
      <c r="W26" s="173" t="str">
        <f t="shared" si="4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5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6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7"/>
        <v>0</v>
      </c>
      <c r="V27" s="72">
        <f t="shared" si="0"/>
        <v>0</v>
      </c>
      <c r="W27" s="173" t="str">
        <f t="shared" si="4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5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6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7"/>
        <v>0</v>
      </c>
      <c r="V28" s="72">
        <f t="shared" si="0"/>
        <v>0</v>
      </c>
      <c r="W28" s="173" t="str">
        <f t="shared" si="4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5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6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7"/>
        <v>0</v>
      </c>
      <c r="V29" s="72">
        <f t="shared" si="0"/>
        <v>0</v>
      </c>
      <c r="W29" s="173" t="str">
        <f t="shared" si="4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5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6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7"/>
        <v>0</v>
      </c>
      <c r="V30" s="72">
        <f t="shared" si="0"/>
        <v>0</v>
      </c>
      <c r="W30" s="173" t="str">
        <f t="shared" si="4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5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6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7"/>
        <v>0</v>
      </c>
      <c r="V31" s="72">
        <f t="shared" si="0"/>
        <v>0</v>
      </c>
      <c r="W31" s="173" t="str">
        <f t="shared" si="4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5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6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7"/>
        <v>0</v>
      </c>
      <c r="V32" s="72">
        <f t="shared" si="0"/>
        <v>0</v>
      </c>
      <c r="W32" s="173" t="str">
        <f t="shared" si="4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5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6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7"/>
        <v>0</v>
      </c>
      <c r="V33" s="72">
        <f t="shared" si="0"/>
        <v>0</v>
      </c>
      <c r="W33" s="173" t="str">
        <f t="shared" si="4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5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6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7"/>
        <v>0</v>
      </c>
      <c r="V34" s="72">
        <f t="shared" si="0"/>
        <v>0</v>
      </c>
      <c r="W34" s="173" t="str">
        <f t="shared" si="4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5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6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7"/>
        <v>0</v>
      </c>
      <c r="V35" s="72">
        <f t="shared" si="0"/>
        <v>0</v>
      </c>
      <c r="W35" s="173" t="str">
        <f t="shared" si="4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5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6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7"/>
        <v>0</v>
      </c>
      <c r="V36" s="72">
        <f t="shared" si="0"/>
        <v>0</v>
      </c>
      <c r="W36" s="173" t="str">
        <f t="shared" si="4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5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6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7"/>
        <v>0</v>
      </c>
      <c r="V37" s="72">
        <f t="shared" si="0"/>
        <v>0</v>
      </c>
      <c r="W37" s="173" t="str">
        <f t="shared" si="4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5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6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7"/>
        <v>0</v>
      </c>
      <c r="V38" s="72">
        <f t="shared" si="0"/>
        <v>0</v>
      </c>
      <c r="W38" s="173" t="str">
        <f t="shared" si="4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5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6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7"/>
        <v>0</v>
      </c>
      <c r="V39" s="72">
        <f t="shared" si="0"/>
        <v>0</v>
      </c>
      <c r="W39" s="173" t="str">
        <f t="shared" si="4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5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6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7"/>
        <v>0</v>
      </c>
      <c r="V40" s="72">
        <f t="shared" si="0"/>
        <v>0</v>
      </c>
      <c r="W40" s="173" t="str">
        <f t="shared" si="4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5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6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7"/>
        <v>0</v>
      </c>
      <c r="V41" s="72">
        <f t="shared" si="0"/>
        <v>0</v>
      </c>
      <c r="W41" s="173" t="str">
        <f t="shared" si="4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5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6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7"/>
        <v>0</v>
      </c>
      <c r="V42" s="72">
        <f t="shared" si="0"/>
        <v>0</v>
      </c>
      <c r="W42" s="173" t="str">
        <f t="shared" si="4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5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6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7"/>
        <v>0</v>
      </c>
      <c r="V43" s="72">
        <f t="shared" si="0"/>
        <v>0</v>
      </c>
      <c r="W43" s="173" t="str">
        <f t="shared" si="4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5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6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7"/>
        <v>0</v>
      </c>
      <c r="V44" s="72">
        <f t="shared" si="0"/>
        <v>0</v>
      </c>
      <c r="W44" s="173" t="str">
        <f t="shared" si="4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5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6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7"/>
        <v>0</v>
      </c>
      <c r="V45" s="72">
        <f t="shared" si="0"/>
        <v>0</v>
      </c>
      <c r="W45" s="173" t="str">
        <f t="shared" si="4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5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6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7"/>
        <v>0</v>
      </c>
      <c r="V46" s="72">
        <f t="shared" si="0"/>
        <v>0</v>
      </c>
      <c r="W46" s="173" t="str">
        <f t="shared" si="4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5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6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7"/>
        <v>0</v>
      </c>
      <c r="V47" s="72">
        <f t="shared" si="0"/>
        <v>0</v>
      </c>
      <c r="W47" s="173" t="str">
        <f t="shared" si="4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5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6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7"/>
        <v>0</v>
      </c>
      <c r="V48" s="72">
        <f t="shared" si="0"/>
        <v>0</v>
      </c>
      <c r="W48" s="173" t="str">
        <f t="shared" si="4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5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6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7"/>
        <v>0</v>
      </c>
      <c r="V49" s="72">
        <f t="shared" si="0"/>
        <v>0</v>
      </c>
      <c r="W49" s="173" t="str">
        <f t="shared" si="4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5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6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7"/>
        <v>0</v>
      </c>
      <c r="V50" s="72">
        <f t="shared" si="0"/>
        <v>0</v>
      </c>
      <c r="W50" s="173" t="str">
        <f t="shared" si="4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5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6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7"/>
        <v>0</v>
      </c>
      <c r="V51" s="72">
        <f t="shared" si="0"/>
        <v>0</v>
      </c>
      <c r="W51" s="173" t="str">
        <f t="shared" si="4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5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6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7"/>
        <v>0</v>
      </c>
      <c r="V52" s="72">
        <f t="shared" si="0"/>
        <v>0</v>
      </c>
      <c r="W52" s="173" t="str">
        <f t="shared" si="4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5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6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/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/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/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420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/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0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420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420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 t="s">
        <v>581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3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82" t="s">
        <v>99</v>
      </c>
      <c r="C1" s="482"/>
      <c r="D1" s="482"/>
      <c r="E1" s="482"/>
      <c r="F1" s="482"/>
      <c r="G1" s="482"/>
      <c r="H1" s="482"/>
      <c r="I1" s="482"/>
      <c r="J1" s="482"/>
      <c r="K1" s="482"/>
      <c r="L1" s="482"/>
      <c r="M1" s="482"/>
      <c r="N1" s="482"/>
      <c r="O1" s="482"/>
      <c r="P1" s="482"/>
      <c r="Q1" s="482"/>
      <c r="R1" s="482"/>
      <c r="S1" s="482"/>
    </row>
    <row r="2" spans="1:33">
      <c r="B2" s="482"/>
      <c r="C2" s="482"/>
      <c r="D2" s="482"/>
      <c r="E2" s="482"/>
      <c r="F2" s="482"/>
      <c r="G2" s="482"/>
      <c r="H2" s="482"/>
      <c r="I2" s="482"/>
      <c r="J2" s="482"/>
      <c r="K2" s="482"/>
      <c r="L2" s="482"/>
      <c r="M2" s="482"/>
      <c r="N2" s="482"/>
      <c r="O2" s="482"/>
      <c r="P2" s="482"/>
      <c r="Q2" s="482"/>
      <c r="R2" s="482"/>
      <c r="S2" s="482"/>
    </row>
    <row r="3" spans="1:33" ht="15.75" thickBot="1"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0</v>
      </c>
      <c r="Y5" s="7">
        <f>'PM-ORDER'!P5</f>
        <v>0</v>
      </c>
      <c r="Z5" s="7" t="e">
        <f>IF(X5&lt;&gt;"",MATCH(CEILING(X5,6),$C$4:$S$4,0),"")</f>
        <v>#N/A</v>
      </c>
      <c r="AA5" s="7" t="e">
        <f>IF(X5&lt;&gt;"",MATCH(CEILING(Y5,6),$B$7:$B$26,0),"")</f>
        <v>#N/A</v>
      </c>
      <c r="AB5" s="7"/>
      <c r="AC5" s="7" t="e">
        <f>IF('PM-ORDER'!G5="ROLLER",INDEX($C$7:$S$26,AA5,Z5),"")</f>
        <v>#N/A</v>
      </c>
      <c r="AF5" s="7" t="str">
        <f>IF('PM-ORDER'!G5="ZEBRA",INDEX($C$35:$S$54,AA5,Z5),"")</f>
        <v/>
      </c>
      <c r="AG5" s="1" t="e">
        <f>CONCATENATE(AC5,AF5)</f>
        <v>#N/A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0</v>
      </c>
      <c r="Y6" s="7">
        <f>'PM-ORDER'!P6</f>
        <v>0</v>
      </c>
      <c r="Z6" s="7" t="e">
        <f t="shared" ref="Z6:Z44" si="0">IF(X6&lt;&gt;"",MATCH(CEILING(X6,6),$C$4:$S$4,0),"")</f>
        <v>#N/A</v>
      </c>
      <c r="AA6" s="7" t="e">
        <f t="shared" ref="AA6:AA44" si="1">IF(X6&lt;&gt;"",MATCH(CEILING(Y6,6),$B$7:$B$26,0),"")</f>
        <v>#N/A</v>
      </c>
      <c r="AC6" s="7" t="e">
        <f>IF('PM-ORDER'!G6="ROLLER",INDEX($C$7:$S$26,AA6,Z6),"")</f>
        <v>#N/A</v>
      </c>
      <c r="AF6" s="7" t="str">
        <f>IF('PM-ORDER'!G6="ZEBRA",INDEX($C$35:$S$54,AA6,Z6),"")</f>
        <v/>
      </c>
      <c r="AG6" s="1" t="e">
        <f t="shared" ref="AG6:AG44" si="2">CONCATENATE(AC6,AF6)</f>
        <v>#N/A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 t="str">
        <f>'PM-ORDER'!O7</f>
        <v/>
      </c>
      <c r="Y7" s="7" t="str">
        <f>'PM-ORDER'!P7</f>
        <v/>
      </c>
      <c r="Z7" s="7" t="str">
        <f t="shared" si="0"/>
        <v/>
      </c>
      <c r="AA7" s="7" t="str">
        <f t="shared" si="1"/>
        <v/>
      </c>
      <c r="AC7" s="7" t="str">
        <f>IF('PM-ORDER'!G7="ROLLER",INDEX($C$7:$S$26,AA7,Z7),"")</f>
        <v/>
      </c>
      <c r="AF7" s="7" t="str">
        <f>IF('PM-ORDER'!G7="ZEBRA",INDEX($C$35:$S$54,AA7,Z7),"")</f>
        <v/>
      </c>
      <c r="AG7" s="1" t="str">
        <f t="shared" si="2"/>
        <v/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 t="str">
        <f>'PM-ORDER'!O8</f>
        <v/>
      </c>
      <c r="Y8" s="7" t="str">
        <f>'PM-ORDER'!P8</f>
        <v/>
      </c>
      <c r="Z8" s="7" t="str">
        <f t="shared" si="0"/>
        <v/>
      </c>
      <c r="AA8" s="7" t="str">
        <f t="shared" si="1"/>
        <v/>
      </c>
      <c r="AC8" s="7" t="str">
        <f>IF('PM-ORDER'!G8="ROLLER",INDEX($C$7:$S$26,AA8,Z8),"")</f>
        <v/>
      </c>
      <c r="AF8" s="7" t="str">
        <f>IF('PM-ORDER'!G8="ZEBRA",INDEX($C$35:$S$54,AA8,Z8),"")</f>
        <v/>
      </c>
      <c r="AG8" s="1" t="str">
        <f t="shared" si="2"/>
        <v/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 t="str">
        <f>'PM-ORDER'!O9</f>
        <v/>
      </c>
      <c r="Y9" s="7" t="str">
        <f>'PM-ORDER'!P9</f>
        <v/>
      </c>
      <c r="Z9" s="7" t="str">
        <f t="shared" si="0"/>
        <v/>
      </c>
      <c r="AA9" s="7" t="str">
        <f t="shared" si="1"/>
        <v/>
      </c>
      <c r="AC9" s="7" t="str">
        <f>IF('PM-ORDER'!G9="ROLLER",INDEX($C$7:$S$26,AA9,Z9),"")</f>
        <v/>
      </c>
      <c r="AF9" s="7" t="str">
        <f>IF('PM-ORDER'!G9="ZEBRA",INDEX($C$35:$S$54,AA9,Z9),"")</f>
        <v/>
      </c>
      <c r="AG9" s="1" t="str">
        <f t="shared" si="2"/>
        <v/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 t="str">
        <f>'PM-ORDER'!O10</f>
        <v/>
      </c>
      <c r="Y10" s="7" t="str">
        <f>'PM-ORDER'!P10</f>
        <v/>
      </c>
      <c r="Z10" s="7" t="str">
        <f t="shared" si="0"/>
        <v/>
      </c>
      <c r="AA10" s="7" t="str">
        <f t="shared" si="1"/>
        <v/>
      </c>
      <c r="AC10" s="7" t="str">
        <f>IF('PM-ORDER'!G10="ROLLER",INDEX($C$7:$S$26,AA10,Z10),"")</f>
        <v/>
      </c>
      <c r="AF10" s="7" t="str">
        <f>IF('PM-ORDER'!G10="ZEBRA",INDEX($C$35:$S$54,AA10,Z10),"")</f>
        <v/>
      </c>
      <c r="AG10" s="1" t="str">
        <f t="shared" si="2"/>
        <v/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 t="str">
        <f>'PM-ORDER'!O11</f>
        <v/>
      </c>
      <c r="Y11" s="7" t="str">
        <f>'PM-ORDER'!P11</f>
        <v/>
      </c>
      <c r="Z11" s="7" t="str">
        <f t="shared" si="0"/>
        <v/>
      </c>
      <c r="AA11" s="7" t="str">
        <f t="shared" si="1"/>
        <v/>
      </c>
      <c r="AC11" s="7" t="str">
        <f>IF('PM-ORDER'!G11="ROLLER",INDEX($C$7:$S$26,AA11,Z11),"")</f>
        <v/>
      </c>
      <c r="AF11" s="7" t="str">
        <f>IF('PM-ORDER'!G11="ZEBRA",INDEX($C$35:$S$54,AA11,Z11),"")</f>
        <v/>
      </c>
      <c r="AG11" s="1" t="str">
        <f t="shared" si="2"/>
        <v/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 t="str">
        <f>'PM-ORDER'!O12</f>
        <v/>
      </c>
      <c r="Y12" s="7" t="str">
        <f>'PM-ORDER'!P12</f>
        <v/>
      </c>
      <c r="Z12" s="7" t="str">
        <f t="shared" si="0"/>
        <v/>
      </c>
      <c r="AA12" s="7" t="str">
        <f t="shared" si="1"/>
        <v/>
      </c>
      <c r="AC12" s="7" t="str">
        <f>IF('PM-ORDER'!G12="ROLLER",INDEX($C$7:$S$26,AA12,Z12),"")</f>
        <v/>
      </c>
      <c r="AF12" s="7" t="str">
        <f>IF('PM-ORDER'!G12="ZEBRA",INDEX($C$35:$S$54,AA12,Z12),"")</f>
        <v/>
      </c>
      <c r="AG12" s="1" t="str">
        <f t="shared" si="2"/>
        <v/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 t="str">
        <f>'PM-ORDER'!O13</f>
        <v/>
      </c>
      <c r="Y13" s="7" t="str">
        <f>'PM-ORDER'!P13</f>
        <v/>
      </c>
      <c r="Z13" s="7" t="str">
        <f t="shared" si="0"/>
        <v/>
      </c>
      <c r="AA13" s="7" t="str">
        <f t="shared" si="1"/>
        <v/>
      </c>
      <c r="AC13" s="7" t="str">
        <f>IF('PM-ORDER'!G13="ROLLER",INDEX($C$7:$S$26,AA13,Z13),"")</f>
        <v/>
      </c>
      <c r="AF13" s="7" t="str">
        <f>IF('PM-ORDER'!G13="ZEBRA",INDEX($C$35:$S$54,AA13,Z13),"")</f>
        <v/>
      </c>
      <c r="AG13" s="1" t="str">
        <f t="shared" si="2"/>
        <v/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82" t="s">
        <v>88</v>
      </c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  <c r="O29" s="482"/>
      <c r="P29" s="482"/>
      <c r="Q29" s="482"/>
      <c r="R29" s="482"/>
      <c r="S29" s="482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82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83"/>
      <c r="C31" s="483"/>
      <c r="D31" s="483"/>
      <c r="E31" s="483"/>
      <c r="F31" s="483"/>
      <c r="G31" s="483"/>
      <c r="H31" s="483"/>
      <c r="I31" s="483"/>
      <c r="J31" s="483"/>
      <c r="K31" s="483"/>
      <c r="L31" s="483"/>
      <c r="M31" s="483"/>
      <c r="N31" s="483"/>
      <c r="O31" s="483"/>
      <c r="P31" s="483"/>
      <c r="Q31" s="483"/>
      <c r="R31" s="483"/>
      <c r="S31" s="483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55"/>
      <c r="T11" s="455"/>
      <c r="U11" s="455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55"/>
      <c r="T14" s="455"/>
      <c r="U14" s="455"/>
      <c r="W14" s="455"/>
      <c r="X14" s="455"/>
      <c r="Y14" s="455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55"/>
      <c r="T20" s="455"/>
      <c r="U20" s="455"/>
      <c r="W20" s="455"/>
      <c r="X20" s="455"/>
      <c r="Y20" s="455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28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28" t="s">
        <v>405</v>
      </c>
      <c r="I23" s="1" t="str">
        <f>E9</f>
        <v>CELTIC RECHARGABLE MOTOR</v>
      </c>
    </row>
    <row r="24" spans="2:25">
      <c r="E24" s="1" t="s">
        <v>304</v>
      </c>
      <c r="G24" s="1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63" t="s">
        <v>85</v>
      </c>
      <c r="I82" s="463"/>
      <c r="J82" s="463" t="s">
        <v>379</v>
      </c>
      <c r="K82" s="463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63" t="s">
        <v>83</v>
      </c>
      <c r="F84" s="463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61" t="s">
        <v>267</v>
      </c>
      <c r="B86" s="462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W14:Y14"/>
    <mergeCell ref="S20:U20"/>
    <mergeCell ref="W20:Y20"/>
    <mergeCell ref="A86:B86"/>
    <mergeCell ref="E84:F84"/>
    <mergeCell ref="H82:I82"/>
    <mergeCell ref="J82:K82"/>
    <mergeCell ref="S11:U11"/>
    <mergeCell ref="S14:U14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64" t="s">
        <v>207</v>
      </c>
      <c r="V1" s="464"/>
      <c r="AG1" s="466" t="s">
        <v>211</v>
      </c>
      <c r="AH1" s="467"/>
      <c r="AI1" s="467"/>
      <c r="AJ1" s="467"/>
      <c r="AK1" s="467"/>
      <c r="AL1" s="467"/>
      <c r="AM1" s="467"/>
      <c r="AN1" s="467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46062</v>
      </c>
      <c r="H2" s="217"/>
      <c r="U2" s="464"/>
      <c r="V2" s="464"/>
      <c r="AG2" s="468"/>
      <c r="AH2" s="469"/>
      <c r="AI2" s="469"/>
      <c r="AJ2" s="469"/>
      <c r="AK2" s="469"/>
      <c r="AL2" s="469"/>
      <c r="AM2" s="469"/>
      <c r="AN2" s="469"/>
      <c r="AO2" s="289"/>
    </row>
    <row r="3" spans="2:41" ht="15" customHeight="1">
      <c r="C3" s="217" t="s">
        <v>153</v>
      </c>
      <c r="G3" s="220"/>
      <c r="I3" s="34">
        <v>0</v>
      </c>
      <c r="U3" s="465"/>
      <c r="V3" s="465"/>
      <c r="AG3" s="470"/>
      <c r="AH3" s="471"/>
      <c r="AI3" s="471"/>
      <c r="AJ3" s="471"/>
      <c r="AK3" s="471"/>
      <c r="AL3" s="471"/>
      <c r="AM3" s="471"/>
      <c r="AN3" s="471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260209-Z</v>
      </c>
      <c r="D5" s="223">
        <f>IF('CALCULATOR SHEET'!D13&lt;&gt;"",'CALCULATOR SHEET'!$V$9,"")</f>
        <v>46062</v>
      </c>
      <c r="E5" s="224" t="str">
        <f>IF(D5&lt;&gt;"","BAJA SHADES","")</f>
        <v>BAJA SHADES</v>
      </c>
      <c r="F5" s="225">
        <f>IF(C5&lt;&gt;"",'CALCULATOR SHEET'!$D$9,"")</f>
        <v>0</v>
      </c>
      <c r="G5" s="225" t="str">
        <f>IF('CALCULATOR SHEET'!D13&lt;&gt;"",'CALCULATOR SHEET'!D13,"")</f>
        <v>ROLLER</v>
      </c>
      <c r="H5" s="225" t="str">
        <f>IF(Q5="CCL",BOMS!AG5,"")</f>
        <v/>
      </c>
      <c r="I5" s="224">
        <v>1</v>
      </c>
      <c r="J5" s="225">
        <f>IF(C5&lt;&gt;"",'CALCULATOR SHEET'!M13,"")</f>
        <v>0</v>
      </c>
      <c r="K5" s="225" t="str">
        <f>IF(J5=GENERAL!$H$6,GENERAL!$H$6,IF(J5=GENERAL!$H$7,GENERAL!$H$7,IF('PM-ORDER'!J5=GENERAL!$H$8,GENERAL!$H$8,"")))</f>
        <v/>
      </c>
      <c r="L5" s="225" t="str">
        <f>IF(C5&lt;&gt;"",'CALCULATOR SHEET'!I13,"")</f>
        <v>MOTOR AC - 1 CONTROL REMOTO</v>
      </c>
      <c r="M5" s="225">
        <f>IF(C5&lt;&gt;"",'CALCULATOR SHEET'!Q13,"")</f>
        <v>0</v>
      </c>
      <c r="N5" s="225">
        <f>IF(C5&lt;&gt;"",'CALCULATOR SHEET'!J13,"")</f>
        <v>0</v>
      </c>
      <c r="O5" s="227">
        <f>IF(D5&lt;&gt;"",'CALCULATOR SHEET'!K13,"")</f>
        <v>0</v>
      </c>
      <c r="P5" s="227">
        <f>IF(E5&lt;&gt;"",'CALCULATOR SHEET'!L13,"")</f>
        <v>0</v>
      </c>
      <c r="Q5" s="224" t="str">
        <f>IF('CALCULATOR SHEET'!M13=GENERAL!$H$9,GENERAL!$H$9,IF(OR('CALCULATOR SHEET'!M13=GENERAL!$H$6,'CALCULATOR SHEET'!M13=GENERAL!$H$7,'CALCULATOR SHEET'!M13=GENERAL!$H$8),"CCL",""))</f>
        <v/>
      </c>
      <c r="R5" s="224">
        <f>IF(C5&lt;&gt;"",'CALCULATOR SHEET'!O13,"")</f>
        <v>0</v>
      </c>
      <c r="S5" s="224">
        <f>IF(D5&lt;&gt;"",'CALCULATOR SHEET'!P13,"")</f>
        <v>0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 t="str">
        <f>IF(C5&lt;&gt;"",'CALCULATOR SHEET'!$J$9,"")</f>
        <v xml:space="preserve">club marena 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>
      <c r="B6" s="221">
        <v>2</v>
      </c>
      <c r="C6" s="222" t="str">
        <f>IF('CALCULATOR SHEET'!D14&lt;&gt;"",'CALCULATOR SHEET'!$V$5,"")</f>
        <v>260209-Z</v>
      </c>
      <c r="D6" s="223">
        <f>IF('CALCULATOR SHEET'!D14&lt;&gt;"",'CALCULATOR SHEET'!$V$9,"")</f>
        <v>46062</v>
      </c>
      <c r="E6" s="224" t="str">
        <f t="shared" ref="E6:E69" si="0">IF(D6&lt;&gt;"","BAJA SHADES","")</f>
        <v>BAJA SHADES</v>
      </c>
      <c r="F6" s="225">
        <f>IF(C6&lt;&gt;"",'CALCULATOR SHEET'!$D$9,"")</f>
        <v>0</v>
      </c>
      <c r="G6" s="225" t="str">
        <f>IF('CALCULATOR SHEET'!D14&lt;&gt;"",'CALCULATOR SHEET'!D14,"")</f>
        <v>ROLLER</v>
      </c>
      <c r="H6" s="225" t="str">
        <f>IF(Q6="CCL",BOMS!AG6,"")</f>
        <v/>
      </c>
      <c r="I6" s="224">
        <v>1</v>
      </c>
      <c r="J6" s="225">
        <f>IF(C6&lt;&gt;"",'CALCULATOR SHEET'!M14,"")</f>
        <v>0</v>
      </c>
      <c r="K6" s="225" t="str">
        <f>IF(J6=GENERAL!$H$6,GENERAL!$H$6,IF(J6=GENERAL!$H$7,GENERAL!$H$7,IF('PM-ORDER'!J6=GENERAL!$H$8,GENERAL!$H$8,"")))</f>
        <v/>
      </c>
      <c r="L6" s="225" t="str">
        <f>IF(C6&lt;&gt;"",'CALCULATOR SHEET'!I14,"")</f>
        <v>PEGAR UN PANEL AL TUBO</v>
      </c>
      <c r="M6" s="225">
        <f>IF(C6&lt;&gt;"",'CALCULATOR SHEET'!Q14,"")</f>
        <v>0</v>
      </c>
      <c r="N6" s="225">
        <f>IF(C6&lt;&gt;"",'CALCULATOR SHEET'!J14,"")</f>
        <v>0</v>
      </c>
      <c r="O6" s="227">
        <f>IF(D6&lt;&gt;"",'CALCULATOR SHEET'!K14,"")</f>
        <v>0</v>
      </c>
      <c r="P6" s="227">
        <f>IF(E6&lt;&gt;"",'CALCULATOR SHEET'!L14,"")</f>
        <v>0</v>
      </c>
      <c r="Q6" s="224" t="str">
        <f>IF('CALCULATOR SHEET'!M14=GENERAL!$H$9,GENERAL!$H$9,IF(OR('CALCULATOR SHEET'!M14=GENERAL!$H$6,'CALCULATOR SHEET'!M14=GENERAL!$H$7,'CALCULATOR SHEET'!M14=GENERAL!$H$8),"CCL",""))</f>
        <v/>
      </c>
      <c r="R6" s="224">
        <f>IF(C6&lt;&gt;"",'CALCULATOR SHEET'!O14,"")</f>
        <v>0</v>
      </c>
      <c r="S6" s="224">
        <f>IF(D6&lt;&gt;"",'CALCULATOR SHEET'!P14,"")</f>
        <v>0</v>
      </c>
      <c r="T6" s="226"/>
      <c r="U6" s="240"/>
      <c r="V6" s="240"/>
      <c r="W6" s="224" t="str">
        <f>IF(C6&lt;&gt;"",'CALCULATOR SHEET'!T14,"")</f>
        <v>NO</v>
      </c>
      <c r="X6" s="224"/>
      <c r="Y6" s="224">
        <v>1</v>
      </c>
      <c r="Z6" s="226"/>
      <c r="AA6" s="226" t="str">
        <f>IF(C6&lt;&gt;"",'CALCULATOR SHEET'!$J$9,"")</f>
        <v xml:space="preserve">club marena </v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>
      <c r="B7" s="221">
        <v>3</v>
      </c>
      <c r="C7" s="222" t="str">
        <f>IF('CALCULATOR SHEET'!D15&lt;&gt;"",'CALCULATOR SHEET'!$V$5,"")</f>
        <v/>
      </c>
      <c r="D7" s="223" t="str">
        <f>IF('CALCULATOR SHEET'!D15&lt;&gt;"",'CALCULATOR SHEET'!$V$9,"")</f>
        <v/>
      </c>
      <c r="E7" s="224" t="str">
        <f t="shared" si="0"/>
        <v/>
      </c>
      <c r="F7" s="225" t="str">
        <f>IF(C7&lt;&gt;"",'CALCULATOR SHEET'!$D$9,"")</f>
        <v/>
      </c>
      <c r="G7" s="225" t="str">
        <f>IF('CALCULATOR SHEET'!D15&lt;&gt;"",'CALCULATOR SHEET'!D15,"")</f>
        <v/>
      </c>
      <c r="H7" s="225" t="str">
        <f>IF(Q7="CCL",BOMS!AG7,"")</f>
        <v/>
      </c>
      <c r="I7" s="224">
        <v>1</v>
      </c>
      <c r="J7" s="225" t="str">
        <f>IF(C7&lt;&gt;"",'CALCULATOR SHEET'!M15,"")</f>
        <v/>
      </c>
      <c r="K7" s="225" t="str">
        <f>IF(J7=GENERAL!$H$6,GENERAL!$H$6,IF(J7=GENERAL!$H$7,GENERAL!$H$7,IF('PM-ORDER'!J7=GENERAL!$H$8,GENERAL!$H$8,"")))</f>
        <v/>
      </c>
      <c r="L7" s="225" t="str">
        <f>IF(C7&lt;&gt;"",'CALCULATOR SHEET'!I15,"")</f>
        <v/>
      </c>
      <c r="M7" s="225" t="str">
        <f>IF(C7&lt;&gt;"",'CALCULATOR SHEET'!Q15,"")</f>
        <v/>
      </c>
      <c r="N7" s="225" t="str">
        <f>IF(C7&lt;&gt;"",'CALCULATOR SHEET'!J15,"")</f>
        <v/>
      </c>
      <c r="O7" s="227" t="str">
        <f>IF(D7&lt;&gt;"",'CALCULATOR SHEET'!K15,"")</f>
        <v/>
      </c>
      <c r="P7" s="227" t="str">
        <f>IF(E7&lt;&gt;"",'CALCULATOR SHEET'!L15,"")</f>
        <v/>
      </c>
      <c r="Q7" s="224" t="str">
        <f>IF('CALCULATOR SHEET'!M15=GENERAL!$H$9,GENERAL!$H$9,IF(OR('CALCULATOR SHEET'!M15=GENERAL!$H$6,'CALCULATOR SHEET'!M15=GENERAL!$H$7,'CALCULATOR SHEET'!M15=GENERAL!$H$8),"CCL",""))</f>
        <v/>
      </c>
      <c r="R7" s="224" t="str">
        <f>IF(C7&lt;&gt;"",'CALCULATOR SHEET'!O15,"")</f>
        <v/>
      </c>
      <c r="S7" s="224" t="str">
        <f>IF(D7&lt;&gt;"",'CALCULATOR SHEET'!P15,"")</f>
        <v/>
      </c>
      <c r="T7" s="226"/>
      <c r="U7" s="240"/>
      <c r="V7" s="240"/>
      <c r="W7" s="224" t="str">
        <f>IF(C7&lt;&gt;"",'CALCULATOR SHEET'!T15,"")</f>
        <v/>
      </c>
      <c r="X7" s="224"/>
      <c r="Y7" s="224">
        <v>1</v>
      </c>
      <c r="Z7" s="226"/>
      <c r="AA7" s="226" t="str">
        <f>IF(C7&lt;&gt;"",'CALCULATOR SHEET'!$J$9,"")</f>
        <v/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/>
      </c>
      <c r="D8" s="223" t="str">
        <f>IF('CALCULATOR SHEET'!D16&lt;&gt;"",'CALCULATOR SHEET'!$V$9,"")</f>
        <v/>
      </c>
      <c r="E8" s="224" t="str">
        <f t="shared" si="0"/>
        <v/>
      </c>
      <c r="F8" s="225" t="str">
        <f>IF(C8&lt;&gt;"",'CALCULATOR SHEET'!$D$9,"")</f>
        <v/>
      </c>
      <c r="G8" s="225" t="str">
        <f>IF('CALCULATOR SHEET'!D16&lt;&gt;"",'CALCULATOR SHEET'!D16,"")</f>
        <v/>
      </c>
      <c r="H8" s="225" t="str">
        <f>IF(Q8="CCL",BOMS!AG8,"")</f>
        <v/>
      </c>
      <c r="I8" s="224">
        <v>1</v>
      </c>
      <c r="J8" s="225" t="str">
        <f>IF(C8&lt;&gt;"",'CALCULATOR SHEET'!M16,"")</f>
        <v/>
      </c>
      <c r="K8" s="225" t="str">
        <f>IF(J8=GENERAL!$H$6,GENERAL!$H$6,IF(J8=GENERAL!$H$7,GENERAL!$H$7,IF('PM-ORDER'!J8=GENERAL!$H$8,GENERAL!$H$8,"")))</f>
        <v/>
      </c>
      <c r="L8" s="225" t="str">
        <f>IF(C8&lt;&gt;"",'CALCULATOR SHEET'!I16,"")</f>
        <v/>
      </c>
      <c r="M8" s="225" t="str">
        <f>IF(C8&lt;&gt;"",'CALCULATOR SHEET'!Q16,"")</f>
        <v/>
      </c>
      <c r="N8" s="225" t="str">
        <f>IF(C8&lt;&gt;"",'CALCULATOR SHEET'!J16,"")</f>
        <v/>
      </c>
      <c r="O8" s="227" t="str">
        <f>IF(D8&lt;&gt;"",'CALCULATOR SHEET'!K16,"")</f>
        <v/>
      </c>
      <c r="P8" s="227" t="str">
        <f>IF(E8&lt;&gt;"",'CALCULATOR SHEET'!L16,"")</f>
        <v/>
      </c>
      <c r="Q8" s="224" t="str">
        <f>IF('CALCULATOR SHEET'!M16=GENERAL!$H$9,GENERAL!$H$9,IF(OR('CALCULATOR SHEET'!M16=GENERAL!$H$6,'CALCULATOR SHEET'!M16=GENERAL!$H$7,'CALCULATOR SHEET'!M16=GENERAL!$H$8),"CCL",""))</f>
        <v/>
      </c>
      <c r="R8" s="224" t="str">
        <f>IF(C8&lt;&gt;"",'CALCULATOR SHEET'!O16,"")</f>
        <v/>
      </c>
      <c r="S8" s="224" t="str">
        <f>IF(D8&lt;&gt;"",'CALCULATOR SHEET'!P16,"")</f>
        <v/>
      </c>
      <c r="T8" s="226"/>
      <c r="U8" s="240"/>
      <c r="V8" s="240"/>
      <c r="W8" s="224" t="str">
        <f>IF(C8&lt;&gt;"",'CALCULATOR SHEET'!T16,"")</f>
        <v/>
      </c>
      <c r="X8" s="224"/>
      <c r="Y8" s="224">
        <v>1</v>
      </c>
      <c r="Z8" s="226"/>
      <c r="AA8" s="226" t="str">
        <f>IF(C8&lt;&gt;"",'CALCULATOR SHEET'!$J$9,"")</f>
        <v/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/>
      </c>
      <c r="D9" s="223" t="str">
        <f>IF('CALCULATOR SHEET'!D17&lt;&gt;"",'CALCULATOR SHEET'!$V$9,"")</f>
        <v/>
      </c>
      <c r="E9" s="224" t="str">
        <f t="shared" si="0"/>
        <v/>
      </c>
      <c r="F9" s="225" t="str">
        <f>IF(C9&lt;&gt;"",'CALCULATOR SHEET'!$D$9,"")</f>
        <v/>
      </c>
      <c r="G9" s="225" t="str">
        <f>IF('CALCULATOR SHEET'!D17&lt;&gt;"",'CALCULATOR SHEET'!D17,"")</f>
        <v/>
      </c>
      <c r="H9" s="225" t="str">
        <f>IF(Q9="CCL",BOMS!AG9,"")</f>
        <v/>
      </c>
      <c r="I9" s="224">
        <v>1</v>
      </c>
      <c r="J9" s="225" t="str">
        <f>IF(C9&lt;&gt;"",'CALCULATOR SHEET'!M17,"")</f>
        <v/>
      </c>
      <c r="K9" s="225" t="str">
        <f>IF(J9=GENERAL!$H$6,GENERAL!$H$6,IF(J9=GENERAL!$H$7,GENERAL!$H$7,IF('PM-ORDER'!J9=GENERAL!$H$8,GENERAL!$H$8,"")))</f>
        <v/>
      </c>
      <c r="L9" s="225" t="str">
        <f>IF(C9&lt;&gt;"",'CALCULATOR SHEET'!I17,"")</f>
        <v/>
      </c>
      <c r="M9" s="225" t="str">
        <f>IF(C9&lt;&gt;"",'CALCULATOR SHEET'!Q17,"")</f>
        <v/>
      </c>
      <c r="N9" s="225" t="str">
        <f>IF(C9&lt;&gt;"",'CALCULATOR SHEET'!J17,"")</f>
        <v/>
      </c>
      <c r="O9" s="227" t="str">
        <f>IF(D9&lt;&gt;"",'CALCULATOR SHEET'!K17,"")</f>
        <v/>
      </c>
      <c r="P9" s="227" t="str">
        <f>IF(E9&lt;&gt;"",'CALCULATOR SHEET'!L17,"")</f>
        <v/>
      </c>
      <c r="Q9" s="224" t="str">
        <f>IF('CALCULATOR SHEET'!M17=GENERAL!$H$9,GENERAL!$H$9,IF(OR('CALCULATOR SHEET'!M17=GENERAL!$H$6,'CALCULATOR SHEET'!M17=GENERAL!$H$7,'CALCULATOR SHEET'!M17=GENERAL!$H$8),"CCL",""))</f>
        <v/>
      </c>
      <c r="R9" s="224" t="str">
        <f>IF(C9&lt;&gt;"",'CALCULATOR SHEET'!O17,"")</f>
        <v/>
      </c>
      <c r="S9" s="224" t="str">
        <f>IF(D9&lt;&gt;"",'CALCULATOR SHEET'!P17,"")</f>
        <v/>
      </c>
      <c r="T9" s="226"/>
      <c r="U9" s="240"/>
      <c r="V9" s="240"/>
      <c r="W9" s="224" t="str">
        <f>IF(C9&lt;&gt;"",'CALCULATOR SHEET'!T17,"")</f>
        <v/>
      </c>
      <c r="X9" s="224"/>
      <c r="Y9" s="224">
        <v>1</v>
      </c>
      <c r="Z9" s="226"/>
      <c r="AA9" s="226" t="str">
        <f>IF(C9&lt;&gt;"",'CALCULATOR SHEET'!$J$9,"")</f>
        <v/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/>
      </c>
      <c r="D10" s="223" t="str">
        <f>IF('CALCULATOR SHEET'!D18&lt;&gt;"",'CALCULATOR SHEET'!$V$9,"")</f>
        <v/>
      </c>
      <c r="E10" s="224" t="str">
        <f t="shared" si="0"/>
        <v/>
      </c>
      <c r="F10" s="225" t="str">
        <f>IF(C10&lt;&gt;"",'CALCULATOR SHEET'!$D$9,"")</f>
        <v/>
      </c>
      <c r="G10" s="225" t="str">
        <f>IF('CALCULATOR SHEET'!D18&lt;&gt;"",'CALCULATOR SHEET'!D18,"")</f>
        <v/>
      </c>
      <c r="H10" s="225" t="str">
        <f>IF(Q10="CCL",BOMS!AG10,"")</f>
        <v/>
      </c>
      <c r="I10" s="224">
        <v>1</v>
      </c>
      <c r="J10" s="225" t="str">
        <f>IF(C10&lt;&gt;"",'CALCULATOR SHEET'!M18,"")</f>
        <v/>
      </c>
      <c r="K10" s="225" t="str">
        <f>IF(J10=GENERAL!$H$6,GENERAL!$H$6,IF(J10=GENERAL!$H$7,GENERAL!$H$7,IF('PM-ORDER'!J10=GENERAL!$H$8,GENERAL!$H$8,"")))</f>
        <v/>
      </c>
      <c r="L10" s="225" t="str">
        <f>IF(C10&lt;&gt;"",'CALCULATOR SHEET'!I18,"")</f>
        <v/>
      </c>
      <c r="M10" s="225" t="str">
        <f>IF(C10&lt;&gt;"",'CALCULATOR SHEET'!Q18,"")</f>
        <v/>
      </c>
      <c r="N10" s="225" t="str">
        <f>IF(C10&lt;&gt;"",'CALCULATOR SHEET'!J18,"")</f>
        <v/>
      </c>
      <c r="O10" s="227" t="str">
        <f>IF(D10&lt;&gt;"",'CALCULATOR SHEET'!K18,"")</f>
        <v/>
      </c>
      <c r="P10" s="227" t="str">
        <f>IF(E10&lt;&gt;"",'CALCULATOR SHEET'!L18,"")</f>
        <v/>
      </c>
      <c r="Q10" s="224" t="str">
        <f>IF('CALCULATOR SHEET'!M18=GENERAL!$H$9,GENERAL!$H$9,IF(OR('CALCULATOR SHEET'!M18=GENERAL!$H$6,'CALCULATOR SHEET'!M18=GENERAL!$H$7,'CALCULATOR SHEET'!M18=GENERAL!$H$8),"CCL",""))</f>
        <v/>
      </c>
      <c r="R10" s="224" t="str">
        <f>IF(C10&lt;&gt;"",'CALCULATOR SHEET'!O18,"")</f>
        <v/>
      </c>
      <c r="S10" s="224" t="str">
        <f>IF(D10&lt;&gt;"",'CALCULATOR SHEET'!P18,"")</f>
        <v/>
      </c>
      <c r="T10" s="226"/>
      <c r="U10" s="240"/>
      <c r="V10" s="240"/>
      <c r="W10" s="224" t="str">
        <f>IF(C10&lt;&gt;"",'CALCULATOR SHEET'!T18,"")</f>
        <v/>
      </c>
      <c r="X10" s="224"/>
      <c r="Y10" s="224">
        <v>1</v>
      </c>
      <c r="Z10" s="226"/>
      <c r="AA10" s="226" t="str">
        <f>IF(C10&lt;&gt;"",'CALCULATOR SHEET'!$J$9,"")</f>
        <v/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/>
      </c>
      <c r="D11" s="223" t="str">
        <f>IF('CALCULATOR SHEET'!D19&lt;&gt;"",'CALCULATOR SHEET'!$V$9,"")</f>
        <v/>
      </c>
      <c r="E11" s="224" t="str">
        <f t="shared" si="0"/>
        <v/>
      </c>
      <c r="F11" s="225" t="str">
        <f>IF(C11&lt;&gt;"",'CALCULATOR SHEET'!$D$9,"")</f>
        <v/>
      </c>
      <c r="G11" s="225" t="str">
        <f>IF('CALCULATOR SHEET'!D19&lt;&gt;"",'CALCULATOR SHEET'!D19,"")</f>
        <v/>
      </c>
      <c r="H11" s="225" t="str">
        <f>IF(Q11="CCL",BOMS!AG11,"")</f>
        <v/>
      </c>
      <c r="I11" s="224">
        <v>1</v>
      </c>
      <c r="J11" s="225" t="str">
        <f>IF(C11&lt;&gt;"",'CALCULATOR SHEET'!M19,"")</f>
        <v/>
      </c>
      <c r="K11" s="225" t="str">
        <f>IF(J11=GENERAL!$H$6,GENERAL!$H$6,IF(J11=GENERAL!$H$7,GENERAL!$H$7,IF('PM-ORDER'!J11=GENERAL!$H$8,GENERAL!$H$8,"")))</f>
        <v/>
      </c>
      <c r="L11" s="225" t="str">
        <f>IF(C11&lt;&gt;"",'CALCULATOR SHEET'!I19,"")</f>
        <v/>
      </c>
      <c r="M11" s="225" t="str">
        <f>IF(C11&lt;&gt;"",'CALCULATOR SHEET'!Q19,"")</f>
        <v/>
      </c>
      <c r="N11" s="225" t="str">
        <f>IF(C11&lt;&gt;"",'CALCULATOR SHEET'!J19,"")</f>
        <v/>
      </c>
      <c r="O11" s="227" t="str">
        <f>IF(D11&lt;&gt;"",'CALCULATOR SHEET'!K19,"")</f>
        <v/>
      </c>
      <c r="P11" s="227" t="str">
        <f>IF(E11&lt;&gt;"",'CALCULATOR SHEET'!L19,"")</f>
        <v/>
      </c>
      <c r="Q11" s="224" t="str">
        <f>IF('CALCULATOR SHEET'!M19=GENERAL!$H$9,GENERAL!$H$9,IF(OR('CALCULATOR SHEET'!M19=GENERAL!$H$6,'CALCULATOR SHEET'!M19=GENERAL!$H$7,'CALCULATOR SHEET'!M19=GENERAL!$H$8),"CCL",""))</f>
        <v/>
      </c>
      <c r="R11" s="224" t="str">
        <f>IF(C11&lt;&gt;"",'CALCULATOR SHEET'!O19,"")</f>
        <v/>
      </c>
      <c r="S11" s="224" t="str">
        <f>IF(D11&lt;&gt;"",'CALCULATOR SHEET'!P19,"")</f>
        <v/>
      </c>
      <c r="T11" s="226"/>
      <c r="U11" s="240"/>
      <c r="V11" s="240"/>
      <c r="W11" s="224" t="str">
        <f>IF(C11&lt;&gt;"",'CALCULATOR SHEET'!T19,"")</f>
        <v/>
      </c>
      <c r="X11" s="224"/>
      <c r="Y11" s="224">
        <v>1</v>
      </c>
      <c r="Z11" s="226"/>
      <c r="AA11" s="226" t="str">
        <f>IF(C11&lt;&gt;"",'CALCULATOR SHEET'!$J$9,"")</f>
        <v/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/>
      </c>
      <c r="D12" s="223" t="str">
        <f>IF('CALCULATOR SHEET'!D20&lt;&gt;"",'CALCULATOR SHEET'!$V$9,"")</f>
        <v/>
      </c>
      <c r="E12" s="224" t="str">
        <f t="shared" si="0"/>
        <v/>
      </c>
      <c r="F12" s="225" t="str">
        <f>IF(C12&lt;&gt;"",'CALCULATOR SHEET'!$D$9,"")</f>
        <v/>
      </c>
      <c r="G12" s="225" t="str">
        <f>IF('CALCULATOR SHEET'!D20&lt;&gt;"",'CALCULATOR SHEET'!D20,"")</f>
        <v/>
      </c>
      <c r="H12" s="225" t="str">
        <f>IF(Q12="CCL",BOMS!AG12,"")</f>
        <v/>
      </c>
      <c r="I12" s="224">
        <v>1</v>
      </c>
      <c r="J12" s="225" t="str">
        <f>IF(C12&lt;&gt;"",'CALCULATOR SHEET'!M20,"")</f>
        <v/>
      </c>
      <c r="K12" s="225" t="str">
        <f>IF(J12=GENERAL!$H$6,GENERAL!$H$6,IF(J12=GENERAL!$H$7,GENERAL!$H$7,IF('PM-ORDER'!J12=GENERAL!$H$8,GENERAL!$H$8,"")))</f>
        <v/>
      </c>
      <c r="L12" s="225" t="str">
        <f>IF(C12&lt;&gt;"",'CALCULATOR SHEET'!I20,"")</f>
        <v/>
      </c>
      <c r="M12" s="225" t="str">
        <f>IF(C12&lt;&gt;"",'CALCULATOR SHEET'!Q20,"")</f>
        <v/>
      </c>
      <c r="N12" s="225" t="str">
        <f>IF(C12&lt;&gt;"",'CALCULATOR SHEET'!J20,"")</f>
        <v/>
      </c>
      <c r="O12" s="227" t="str">
        <f>IF(D12&lt;&gt;"",'CALCULATOR SHEET'!K20,"")</f>
        <v/>
      </c>
      <c r="P12" s="227" t="str">
        <f>IF(E12&lt;&gt;"",'CALCULATOR SHEET'!L20,"")</f>
        <v/>
      </c>
      <c r="Q12" s="224" t="str">
        <f>IF('CALCULATOR SHEET'!M20=GENERAL!$H$9,GENERAL!$H$9,IF(OR('CALCULATOR SHEET'!M20=GENERAL!$H$6,'CALCULATOR SHEET'!M20=GENERAL!$H$7,'CALCULATOR SHEET'!M20=GENERAL!$H$8),"CCL",""))</f>
        <v/>
      </c>
      <c r="R12" s="224" t="str">
        <f>IF(C12&lt;&gt;"",'CALCULATOR SHEET'!O20,"")</f>
        <v/>
      </c>
      <c r="S12" s="224" t="str">
        <f>IF(D12&lt;&gt;"",'CALCULATOR SHEET'!P20,"")</f>
        <v/>
      </c>
      <c r="T12" s="226"/>
      <c r="U12" s="240"/>
      <c r="V12" s="240"/>
      <c r="W12" s="224" t="str">
        <f>IF(C12&lt;&gt;"",'CALCULATOR SHEET'!T20,"")</f>
        <v/>
      </c>
      <c r="X12" s="224"/>
      <c r="Y12" s="224">
        <v>1</v>
      </c>
      <c r="Z12" s="226"/>
      <c r="AA12" s="226" t="str">
        <f>IF(C12&lt;&gt;"",'CALCULATOR SHEET'!$J$9,"")</f>
        <v/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/>
      </c>
      <c r="D13" s="223" t="str">
        <f>IF('CALCULATOR SHEET'!D21&lt;&gt;"",'CALCULATOR SHEET'!$V$9,"")</f>
        <v/>
      </c>
      <c r="E13" s="224" t="str">
        <f t="shared" si="0"/>
        <v/>
      </c>
      <c r="F13" s="225" t="str">
        <f>IF(C13&lt;&gt;"",'CALCULATOR SHEET'!$D$9,"")</f>
        <v/>
      </c>
      <c r="G13" s="225" t="str">
        <f>IF('CALCULATOR SHEET'!D21&lt;&gt;"",'CALCULATOR SHEET'!D21,"")</f>
        <v/>
      </c>
      <c r="H13" s="225" t="str">
        <f>IF(Q13="CCL",BOMS!AG13,"")</f>
        <v/>
      </c>
      <c r="I13" s="224">
        <v>1</v>
      </c>
      <c r="J13" s="225" t="str">
        <f>IF(C13&lt;&gt;"",'CALCULATOR SHEET'!M21,"")</f>
        <v/>
      </c>
      <c r="K13" s="225" t="str">
        <f>IF(J13=GENERAL!$H$6,GENERAL!$H$6,IF(J13=GENERAL!$H$7,GENERAL!$H$7,IF('PM-ORDER'!J13=GENERAL!$H$8,GENERAL!$H$8,"")))</f>
        <v/>
      </c>
      <c r="L13" s="225" t="str">
        <f>IF(C13&lt;&gt;"",'CALCULATOR SHEET'!I21,"")</f>
        <v/>
      </c>
      <c r="M13" s="225" t="str">
        <f>IF(C13&lt;&gt;"",'CALCULATOR SHEET'!Q21,"")</f>
        <v/>
      </c>
      <c r="N13" s="225" t="str">
        <f>IF(C13&lt;&gt;"",'CALCULATOR SHEET'!J21,"")</f>
        <v/>
      </c>
      <c r="O13" s="227" t="str">
        <f>IF(D13&lt;&gt;"",'CALCULATOR SHEET'!K21,"")</f>
        <v/>
      </c>
      <c r="P13" s="227" t="str">
        <f>IF(E13&lt;&gt;"",'CALCULATOR SHEET'!L21,"")</f>
        <v/>
      </c>
      <c r="Q13" s="224" t="str">
        <f>IF('CALCULATOR SHEET'!M21=GENERAL!$H$9,GENERAL!$H$9,IF(OR('CALCULATOR SHEET'!M21=GENERAL!$H$6,'CALCULATOR SHEET'!M21=GENERAL!$H$7,'CALCULATOR SHEET'!M21=GENERAL!$H$8),"CCL",""))</f>
        <v/>
      </c>
      <c r="R13" s="224" t="str">
        <f>IF(C13&lt;&gt;"",'CALCULATOR SHEET'!O21,"")</f>
        <v/>
      </c>
      <c r="S13" s="224" t="str">
        <f>IF(D13&lt;&gt;"",'CALCULATOR SHEET'!P21,"")</f>
        <v/>
      </c>
      <c r="T13" s="226"/>
      <c r="U13" s="240"/>
      <c r="V13" s="240"/>
      <c r="W13" s="224" t="str">
        <f>IF(C13&lt;&gt;"",'CALCULATOR SHEET'!T21,"")</f>
        <v/>
      </c>
      <c r="X13" s="224"/>
      <c r="Y13" s="224">
        <v>1</v>
      </c>
      <c r="Z13" s="226"/>
      <c r="AA13" s="226" t="str">
        <f>IF(C13&lt;&gt;"",'CALCULATOR SHEET'!$J$9,"")</f>
        <v/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72" t="s">
        <v>99</v>
      </c>
      <c r="C2" s="472"/>
      <c r="E2" s="472" t="s">
        <v>84</v>
      </c>
      <c r="F2" s="472"/>
      <c r="H2" s="472" t="s">
        <v>88</v>
      </c>
      <c r="I2" s="472"/>
    </row>
    <row r="3" spans="2:9">
      <c r="B3" s="472"/>
      <c r="C3" s="472"/>
      <c r="E3" s="472"/>
      <c r="F3" s="472"/>
      <c r="H3" s="472"/>
      <c r="I3" s="472"/>
    </row>
    <row r="4" spans="2:9">
      <c r="B4" s="472"/>
      <c r="C4" s="472"/>
      <c r="E4" s="472"/>
      <c r="F4" s="472"/>
      <c r="H4" s="472"/>
      <c r="I4" s="472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191"/>
  <sheetViews>
    <sheetView topLeftCell="A150" zoomScaleNormal="100" workbookViewId="0">
      <selection activeCell="E185" sqref="E185"/>
    </sheetView>
  </sheetViews>
  <sheetFormatPr defaultColWidth="11.5703125" defaultRowHeight="15"/>
  <cols>
    <col min="1" max="1" width="6.28515625" style="1" customWidth="1"/>
    <col min="2" max="2" width="8.85546875" style="405" customWidth="1"/>
    <col min="3" max="3" width="22.28515625" style="405" customWidth="1"/>
    <col min="4" max="4" width="12.85546875" style="405" customWidth="1"/>
    <col min="5" max="5" width="23.7109375" style="405" customWidth="1"/>
    <col min="6" max="6" width="11.5703125" style="405"/>
    <col min="7" max="7" width="24.5703125" style="405" customWidth="1"/>
    <col min="8" max="8" width="26.85546875" style="405" customWidth="1"/>
    <col min="9" max="9" width="24.7109375" style="405" customWidth="1"/>
    <col min="10" max="11" width="25.7109375" style="405" customWidth="1"/>
    <col min="12" max="12" width="24.7109375" style="1" customWidth="1"/>
    <col min="13" max="16384" width="11.5703125" style="1"/>
  </cols>
  <sheetData>
    <row r="2" spans="2:15" ht="30.75" thickBot="1">
      <c r="E2" s="405" t="s">
        <v>417</v>
      </c>
      <c r="G2" s="431" t="s">
        <v>571</v>
      </c>
      <c r="H2" s="431" t="s">
        <v>575</v>
      </c>
      <c r="I2" s="431" t="s">
        <v>574</v>
      </c>
      <c r="J2" s="431" t="s">
        <v>573</v>
      </c>
      <c r="K2" s="431" t="s">
        <v>572</v>
      </c>
      <c r="L2" s="405" t="s">
        <v>576</v>
      </c>
      <c r="M2" s="405" t="s">
        <v>577</v>
      </c>
      <c r="N2" s="405" t="s">
        <v>578</v>
      </c>
      <c r="O2" s="405" t="s">
        <v>568</v>
      </c>
    </row>
    <row r="3" spans="2:15" ht="26.45" customHeight="1" thickBot="1">
      <c r="B3" s="408"/>
      <c r="C3" s="429"/>
      <c r="D3" s="430" t="s">
        <v>567</v>
      </c>
      <c r="E3" s="429"/>
      <c r="F3" s="403"/>
      <c r="G3" s="405" t="str" cm="1">
        <f t="array" ref="G3">_xlfn.UNIQUE( _xlfn._xlws.FILTER( $E$4:$E$191,(($C$4:$C$191="GROUP 1")*($B$4:$B$191="ROLLER") )))</f>
        <v>SUNSCREEN Y1104-1 FR WHITE 5%</v>
      </c>
      <c r="H3" s="405" t="str" cm="1">
        <f t="array" ref="H3:H15">_xlfn.UNIQUE( _xlfn._xlws.FILTER( $E$4:$E$191,(($C$4:$C$191="GROUP 2")*($B$4:$B$191="ROLLER") )))</f>
        <v>LF WHITE PLAIN WHITE-FR</v>
      </c>
      <c r="I3" s="405" t="str" cm="1">
        <f t="array" ref="I3:I11">_xlfn.UNIQUE( _xlfn._xlws.FILTER( $E$4:$E$191,(($C$4:$C$191="GROUP 3")*($B$4:$B$191="ROLLER") )))</f>
        <v>BO Montreal</v>
      </c>
      <c r="J3" s="405" t="str" cm="1">
        <f t="array" ref="J3:J9">_xlfn.UNIQUE( _xlfn._xlws.FILTER( $E$4:$E$191,(($C$4:$C$191="GROUP 4")*($B$4:$B$191="ROLLER") )))</f>
        <v>BO Ohio</v>
      </c>
      <c r="K3" s="405" t="str" cm="1">
        <f t="array" ref="K3:K5">_xlfn.UNIQUE( _xlfn._xlws.FILTER( $E$4:$E$191,(($C$4:$C$191="GROUP 5")*($B$4:$B$191="ROLLER") )))</f>
        <v>BO Stylus</v>
      </c>
      <c r="L3" s="405" t="str" cm="1">
        <f t="array" ref="L3:L6">_xlfn.UNIQUE( _xlfn._xlws.FILTER( $E$4:$E$191,(($C$4:$C$191="GROUP 1")*($B$4:$B$191="ZEBRA") )))</f>
        <v>Duo Basic</v>
      </c>
      <c r="M3" s="405" t="str" cm="1">
        <f t="array" ref="M3:M10">_xlfn.UNIQUE( _xlfn._xlws.FILTER( $E$4:$E$191,(($C$4:$C$191="GROUP 2")*($B$4:$B$191="ZEBRA") )))</f>
        <v>Dense Woodlook</v>
      </c>
      <c r="N3" s="405" t="str" cm="1">
        <f t="array" ref="N3:N8">_xlfn.UNIQUE( _xlfn._xlws.FILTER( $E$4:$E$191,(($C$4:$C$191="GROUP 3")*($B$4:$B$191="ZEBRA") )))</f>
        <v>Duo Season</v>
      </c>
      <c r="O3" s="405" t="str" cm="1">
        <f t="array" ref="O3:O4">_xlfn.UNIQUE( _xlfn._xlws.FILTER( $E$4:$E$191,(($C$4:$C$191="GROUP 4")*($B$4:$B$191="ZEBRA") )))</f>
        <v>ROYAL DIM OUT</v>
      </c>
    </row>
    <row r="4" spans="2:15" ht="34.9" customHeight="1">
      <c r="B4" s="405" t="s">
        <v>83</v>
      </c>
      <c r="C4" s="405" t="s">
        <v>19</v>
      </c>
      <c r="D4" s="117">
        <v>98.5</v>
      </c>
      <c r="E4" s="367" t="s">
        <v>413</v>
      </c>
      <c r="F4" s="405" t="s">
        <v>462</v>
      </c>
      <c r="H4" s="405" t="str">
        <v>FL Long Beach</v>
      </c>
      <c r="I4" s="405" t="str">
        <v>BO Budelli</v>
      </c>
      <c r="J4" s="405" t="str">
        <v>BO 500Y</v>
      </c>
      <c r="K4" s="405" t="str">
        <v>Screen 0%</v>
      </c>
      <c r="L4" s="405" t="str">
        <v>Duo Woodline</v>
      </c>
      <c r="M4" s="405" t="str">
        <v>Duo Celebrity</v>
      </c>
      <c r="N4" s="405" t="str">
        <v>Duo Dim Out Woods</v>
      </c>
      <c r="O4" s="405" t="str">
        <v>Lino Dim out</v>
      </c>
    </row>
    <row r="5" spans="2:15" ht="30">
      <c r="B5" s="405" t="s">
        <v>83</v>
      </c>
      <c r="C5" s="405" t="s">
        <v>20</v>
      </c>
      <c r="D5" s="117">
        <v>118</v>
      </c>
      <c r="E5" s="367" t="s">
        <v>414</v>
      </c>
      <c r="F5" s="405" t="s">
        <v>102</v>
      </c>
      <c r="H5" s="405" t="str">
        <v>SCREEN BASIC 5% CHALK</v>
      </c>
      <c r="I5" s="405" t="str">
        <v>BO Ipanema</v>
      </c>
      <c r="J5" s="405" t="str">
        <v>BO Luxury</v>
      </c>
      <c r="K5" s="405" t="str">
        <v>SHEER VITA-WHITE 110</v>
      </c>
      <c r="L5" s="405" t="str">
        <v>Duo Basic XL</v>
      </c>
      <c r="M5" s="405" t="str">
        <v>Duo Bright</v>
      </c>
      <c r="N5" s="405" t="str">
        <v>Brave</v>
      </c>
      <c r="O5" s="405"/>
    </row>
    <row r="6" spans="2:15" ht="30">
      <c r="B6" s="405" t="s">
        <v>83</v>
      </c>
      <c r="C6" s="405" t="s">
        <v>20</v>
      </c>
      <c r="D6" s="117">
        <v>98</v>
      </c>
      <c r="E6" s="367" t="s">
        <v>415</v>
      </c>
      <c r="F6" s="405" t="s">
        <v>102</v>
      </c>
      <c r="H6" s="405" t="str">
        <v>Screen Basic</v>
      </c>
      <c r="I6" s="405" t="str">
        <v>FL Sidney</v>
      </c>
      <c r="J6" s="405" t="str">
        <v>BO Sidney</v>
      </c>
      <c r="L6" s="405" t="str">
        <v>Viewty</v>
      </c>
      <c r="M6" s="405" t="str">
        <v>Duo Dim Out</v>
      </c>
      <c r="N6" s="405" t="str">
        <v>Genius Dim Out</v>
      </c>
      <c r="O6" s="405"/>
    </row>
    <row r="7" spans="2:15" ht="45">
      <c r="B7" s="405" t="s">
        <v>83</v>
      </c>
      <c r="C7" s="405" t="s">
        <v>20</v>
      </c>
      <c r="D7" s="117">
        <v>98</v>
      </c>
      <c r="E7" s="367" t="s">
        <v>415</v>
      </c>
      <c r="F7" s="405" t="s">
        <v>104</v>
      </c>
      <c r="H7" s="405" t="str">
        <v>FL Ipanema</v>
      </c>
      <c r="I7" s="405" t="str">
        <v>Screen Milan</v>
      </c>
      <c r="J7" s="405" t="str">
        <v>LIGHT FILTERING SHIMMERING WHITE 1101 118</v>
      </c>
      <c r="L7" s="405"/>
      <c r="M7" s="405" t="str">
        <v>Duo Serenity</v>
      </c>
      <c r="N7" s="405" t="str">
        <v>Sheer Advantage</v>
      </c>
      <c r="O7" s="405"/>
    </row>
    <row r="8" spans="2:15" ht="30">
      <c r="B8" s="405" t="s">
        <v>83</v>
      </c>
      <c r="C8" s="405" t="s">
        <v>20</v>
      </c>
      <c r="D8" s="117">
        <v>98</v>
      </c>
      <c r="E8" s="367" t="s">
        <v>415</v>
      </c>
      <c r="F8" s="405" t="s">
        <v>105</v>
      </c>
      <c r="H8" s="405" t="str">
        <v>FL Budelli</v>
      </c>
      <c r="I8" s="405" t="str">
        <v>SHEER ATHENS-WHITE 118</v>
      </c>
      <c r="J8" s="405" t="str">
        <v>Screen ONE</v>
      </c>
      <c r="L8" s="405"/>
      <c r="M8" s="405" t="str">
        <v>Duo Terra</v>
      </c>
      <c r="N8" s="405" t="str">
        <v>Dim Out Glam</v>
      </c>
      <c r="O8" s="405"/>
    </row>
    <row r="9" spans="2:15" ht="45">
      <c r="B9" s="405" t="s">
        <v>83</v>
      </c>
      <c r="C9" s="405" t="s">
        <v>20</v>
      </c>
      <c r="D9" s="117">
        <v>118</v>
      </c>
      <c r="E9" s="367" t="s">
        <v>416</v>
      </c>
      <c r="F9" s="405" t="s">
        <v>465</v>
      </c>
      <c r="H9" s="405" t="str">
        <v>Screen Soft</v>
      </c>
      <c r="I9" s="405" t="str">
        <v>ICE SHEER-FINE LINES-WHITE FR 94 WIDE 54Y/ROLL</v>
      </c>
      <c r="J9" s="405" t="str">
        <v>GALAXY BO</v>
      </c>
      <c r="L9" s="405"/>
      <c r="M9" s="405" t="str">
        <v>Duo Radiance</v>
      </c>
      <c r="N9" s="405"/>
      <c r="O9" s="405"/>
    </row>
    <row r="10" spans="2:15" ht="30">
      <c r="B10" s="405" t="s">
        <v>83</v>
      </c>
      <c r="C10" s="405" t="s">
        <v>20</v>
      </c>
      <c r="D10" s="117">
        <v>118</v>
      </c>
      <c r="E10" s="367" t="s">
        <v>418</v>
      </c>
      <c r="F10" s="405" t="s">
        <v>465</v>
      </c>
      <c r="H10" s="405" t="str">
        <v>FINE LINE WHITE SHEER 94</v>
      </c>
      <c r="I10" s="405" t="str">
        <v>NOBA DUSK WHITE 7000 FR 98 W - 2M</v>
      </c>
      <c r="L10" s="405"/>
      <c r="M10" s="405" t="str">
        <v>Duo Dim Out Woods</v>
      </c>
      <c r="N10" s="405"/>
      <c r="O10" s="405"/>
    </row>
    <row r="11" spans="2:15" ht="30">
      <c r="B11" s="405" t="s">
        <v>83</v>
      </c>
      <c r="C11" s="405" t="s">
        <v>20</v>
      </c>
      <c r="D11" s="117">
        <v>118</v>
      </c>
      <c r="E11" s="367" t="s">
        <v>418</v>
      </c>
      <c r="F11" s="405" t="s">
        <v>466</v>
      </c>
      <c r="H11" s="405" t="str">
        <v>LUMEN WHITE SHEER 94</v>
      </c>
      <c r="I11" s="405" t="str">
        <v>NOBA DUSK WHITE 7000 FR 78 W - 2M</v>
      </c>
    </row>
    <row r="12" spans="2:15" ht="30">
      <c r="B12" s="405" t="s">
        <v>83</v>
      </c>
      <c r="C12" s="405" t="s">
        <v>20</v>
      </c>
      <c r="D12" s="117">
        <v>118</v>
      </c>
      <c r="E12" s="367" t="s">
        <v>418</v>
      </c>
      <c r="F12" s="405" t="s">
        <v>467</v>
      </c>
      <c r="H12" s="405" t="str">
        <v>NOBA LUNA WHITE FR 78 W - 2M FR</v>
      </c>
    </row>
    <row r="13" spans="2:15" ht="30">
      <c r="B13" s="405" t="s">
        <v>83</v>
      </c>
      <c r="C13" s="405" t="s">
        <v>20</v>
      </c>
      <c r="D13" s="117">
        <v>118</v>
      </c>
      <c r="E13" s="367" t="s">
        <v>418</v>
      </c>
      <c r="F13" s="405" t="s">
        <v>468</v>
      </c>
      <c r="H13" s="405" t="str">
        <v>POTALA II FR WHITE -118 (ROLL 50 MT) LUMEN WHITE</v>
      </c>
    </row>
    <row r="14" spans="2:15">
      <c r="B14" s="405" t="s">
        <v>83</v>
      </c>
      <c r="C14" s="405" t="s">
        <v>20</v>
      </c>
      <c r="D14" s="117">
        <v>118</v>
      </c>
      <c r="E14" s="367" t="s">
        <v>418</v>
      </c>
      <c r="F14" s="405" t="s">
        <v>469</v>
      </c>
      <c r="H14" s="405" t="str">
        <v>BO Long Beach</v>
      </c>
    </row>
    <row r="15" spans="2:15">
      <c r="B15" s="405" t="s">
        <v>83</v>
      </c>
      <c r="C15" s="405" t="s">
        <v>20</v>
      </c>
      <c r="D15" s="117">
        <v>118</v>
      </c>
      <c r="E15" s="367" t="s">
        <v>418</v>
      </c>
      <c r="F15" s="405" t="s">
        <v>470</v>
      </c>
      <c r="H15" s="405" t="str">
        <v>KYLE TEXTURE WHITE</v>
      </c>
    </row>
    <row r="16" spans="2:15">
      <c r="B16" s="405" t="s">
        <v>83</v>
      </c>
      <c r="C16" s="405" t="s">
        <v>20</v>
      </c>
      <c r="D16" s="117">
        <v>118</v>
      </c>
      <c r="E16" s="367" t="s">
        <v>418</v>
      </c>
      <c r="F16" s="405" t="s">
        <v>471</v>
      </c>
    </row>
    <row r="17" spans="2:6">
      <c r="B17" s="405" t="s">
        <v>83</v>
      </c>
      <c r="C17" s="405" t="s">
        <v>20</v>
      </c>
      <c r="D17" s="117">
        <v>118</v>
      </c>
      <c r="E17" s="367" t="s">
        <v>418</v>
      </c>
      <c r="F17" s="405" t="s">
        <v>472</v>
      </c>
    </row>
    <row r="18" spans="2:6">
      <c r="B18" s="405" t="s">
        <v>83</v>
      </c>
      <c r="C18" s="405" t="s">
        <v>20</v>
      </c>
      <c r="D18" s="117">
        <v>98</v>
      </c>
      <c r="E18" s="367" t="s">
        <v>417</v>
      </c>
      <c r="F18" s="405" t="s">
        <v>473</v>
      </c>
    </row>
    <row r="19" spans="2:6">
      <c r="B19" s="405" t="s">
        <v>83</v>
      </c>
      <c r="C19" s="405" t="s">
        <v>20</v>
      </c>
      <c r="D19" s="117">
        <v>98</v>
      </c>
      <c r="E19" s="367" t="s">
        <v>417</v>
      </c>
      <c r="F19" s="405" t="s">
        <v>102</v>
      </c>
    </row>
    <row r="20" spans="2:6">
      <c r="B20" s="405" t="s">
        <v>83</v>
      </c>
      <c r="C20" s="405" t="s">
        <v>20</v>
      </c>
      <c r="D20" s="117">
        <v>98</v>
      </c>
      <c r="E20" s="367" t="s">
        <v>419</v>
      </c>
      <c r="F20" s="405" t="s">
        <v>474</v>
      </c>
    </row>
    <row r="21" spans="2:6">
      <c r="B21" s="405" t="s">
        <v>83</v>
      </c>
      <c r="C21" s="405" t="s">
        <v>20</v>
      </c>
      <c r="D21" s="117">
        <v>98</v>
      </c>
      <c r="E21" s="367" t="s">
        <v>419</v>
      </c>
      <c r="F21" s="405" t="s">
        <v>475</v>
      </c>
    </row>
    <row r="22" spans="2:6">
      <c r="B22" s="405" t="s">
        <v>83</v>
      </c>
      <c r="C22" s="405" t="s">
        <v>20</v>
      </c>
      <c r="D22" s="117">
        <v>98</v>
      </c>
      <c r="E22" s="367" t="s">
        <v>419</v>
      </c>
      <c r="F22" s="405" t="s">
        <v>476</v>
      </c>
    </row>
    <row r="23" spans="2:6">
      <c r="B23" s="405" t="s">
        <v>83</v>
      </c>
      <c r="C23" s="405" t="s">
        <v>20</v>
      </c>
      <c r="D23" s="117">
        <v>98</v>
      </c>
      <c r="E23" s="367" t="s">
        <v>419</v>
      </c>
      <c r="F23" s="405" t="s">
        <v>104</v>
      </c>
    </row>
    <row r="24" spans="2:6">
      <c r="B24" s="405" t="s">
        <v>83</v>
      </c>
      <c r="C24" s="405" t="s">
        <v>20</v>
      </c>
      <c r="D24" s="117">
        <v>118</v>
      </c>
      <c r="E24" s="367" t="s">
        <v>420</v>
      </c>
      <c r="F24" s="405" t="s">
        <v>102</v>
      </c>
    </row>
    <row r="25" spans="2:6" ht="30">
      <c r="B25" s="405" t="s">
        <v>83</v>
      </c>
      <c r="C25" s="405" t="s">
        <v>20</v>
      </c>
      <c r="D25" s="117">
        <v>118</v>
      </c>
      <c r="E25" s="367" t="s">
        <v>420</v>
      </c>
      <c r="F25" s="405" t="s">
        <v>477</v>
      </c>
    </row>
    <row r="26" spans="2:6" ht="30">
      <c r="B26" s="405" t="s">
        <v>83</v>
      </c>
      <c r="C26" s="405" t="s">
        <v>20</v>
      </c>
      <c r="D26" s="117">
        <v>118</v>
      </c>
      <c r="E26" s="367" t="s">
        <v>420</v>
      </c>
      <c r="F26" s="405" t="s">
        <v>478</v>
      </c>
    </row>
    <row r="27" spans="2:6">
      <c r="B27" s="405" t="s">
        <v>83</v>
      </c>
      <c r="C27" s="405" t="s">
        <v>20</v>
      </c>
      <c r="D27" s="117">
        <v>118</v>
      </c>
      <c r="E27" s="367" t="s">
        <v>420</v>
      </c>
      <c r="F27" s="405" t="s">
        <v>479</v>
      </c>
    </row>
    <row r="28" spans="2:6">
      <c r="B28" s="405" t="s">
        <v>83</v>
      </c>
      <c r="C28" s="405" t="s">
        <v>20</v>
      </c>
      <c r="D28" s="117">
        <v>118</v>
      </c>
      <c r="E28" s="367" t="s">
        <v>420</v>
      </c>
      <c r="F28" s="405" t="s">
        <v>480</v>
      </c>
    </row>
    <row r="29" spans="2:6" ht="30">
      <c r="B29" s="405" t="s">
        <v>83</v>
      </c>
      <c r="C29" s="405" t="s">
        <v>20</v>
      </c>
      <c r="D29" s="117">
        <v>118</v>
      </c>
      <c r="E29" s="367" t="s">
        <v>420</v>
      </c>
      <c r="F29" s="405" t="s">
        <v>481</v>
      </c>
    </row>
    <row r="30" spans="2:6">
      <c r="B30" s="405" t="s">
        <v>83</v>
      </c>
      <c r="C30" s="405" t="s">
        <v>20</v>
      </c>
      <c r="D30" s="117">
        <v>118</v>
      </c>
      <c r="E30" s="367" t="s">
        <v>420</v>
      </c>
      <c r="F30" s="405" t="s">
        <v>482</v>
      </c>
    </row>
    <row r="31" spans="2:6" ht="30">
      <c r="B31" s="405" t="s">
        <v>83</v>
      </c>
      <c r="C31" s="405" t="s">
        <v>20</v>
      </c>
      <c r="D31" s="117">
        <v>94</v>
      </c>
      <c r="E31" s="367" t="s">
        <v>421</v>
      </c>
      <c r="F31" s="405" t="s">
        <v>493</v>
      </c>
    </row>
    <row r="32" spans="2:6" ht="30">
      <c r="B32" s="405" t="s">
        <v>83</v>
      </c>
      <c r="C32" s="405" t="s">
        <v>20</v>
      </c>
      <c r="D32" s="117">
        <v>94</v>
      </c>
      <c r="E32" s="367" t="s">
        <v>422</v>
      </c>
      <c r="F32" s="405" t="s">
        <v>493</v>
      </c>
    </row>
    <row r="33" spans="2:6" ht="30">
      <c r="B33" s="405" t="s">
        <v>83</v>
      </c>
      <c r="C33" s="405" t="s">
        <v>20</v>
      </c>
      <c r="D33" s="117">
        <v>78</v>
      </c>
      <c r="E33" s="367" t="s">
        <v>423</v>
      </c>
      <c r="F33" s="405" t="s">
        <v>102</v>
      </c>
    </row>
    <row r="34" spans="2:6" ht="45">
      <c r="B34" s="405" t="s">
        <v>83</v>
      </c>
      <c r="C34" s="405" t="s">
        <v>20</v>
      </c>
      <c r="D34" s="117">
        <v>118</v>
      </c>
      <c r="E34" s="367" t="s">
        <v>424</v>
      </c>
      <c r="F34" s="405" t="s">
        <v>102</v>
      </c>
    </row>
    <row r="35" spans="2:6">
      <c r="B35" s="405" t="s">
        <v>83</v>
      </c>
      <c r="C35" s="405" t="s">
        <v>20</v>
      </c>
      <c r="D35" s="117">
        <v>98</v>
      </c>
      <c r="E35" s="367" t="s">
        <v>425</v>
      </c>
      <c r="F35" s="405" t="s">
        <v>483</v>
      </c>
    </row>
    <row r="36" spans="2:6">
      <c r="B36" s="405" t="s">
        <v>83</v>
      </c>
      <c r="C36" s="405" t="s">
        <v>20</v>
      </c>
      <c r="D36" s="117">
        <v>98</v>
      </c>
      <c r="E36" s="367" t="s">
        <v>425</v>
      </c>
      <c r="F36" s="405" t="s">
        <v>473</v>
      </c>
    </row>
    <row r="37" spans="2:6">
      <c r="B37" s="405" t="s">
        <v>83</v>
      </c>
      <c r="C37" s="405" t="s">
        <v>20</v>
      </c>
      <c r="D37" s="117">
        <v>98</v>
      </c>
      <c r="E37" s="367" t="s">
        <v>425</v>
      </c>
      <c r="F37" s="405" t="s">
        <v>484</v>
      </c>
    </row>
    <row r="38" spans="2:6">
      <c r="B38" s="405" t="s">
        <v>83</v>
      </c>
      <c r="C38" s="405" t="s">
        <v>20</v>
      </c>
      <c r="D38" s="117">
        <v>98</v>
      </c>
      <c r="E38" s="367" t="s">
        <v>425</v>
      </c>
      <c r="F38" s="405" t="s">
        <v>485</v>
      </c>
    </row>
    <row r="39" spans="2:6">
      <c r="B39" s="405" t="s">
        <v>83</v>
      </c>
      <c r="C39" s="405" t="s">
        <v>20</v>
      </c>
      <c r="D39" s="117">
        <v>98</v>
      </c>
      <c r="E39" s="367" t="s">
        <v>425</v>
      </c>
      <c r="F39" s="405" t="s">
        <v>486</v>
      </c>
    </row>
    <row r="40" spans="2:6" ht="28.9" customHeight="1">
      <c r="B40" s="405" t="s">
        <v>83</v>
      </c>
      <c r="C40" s="405" t="s">
        <v>20</v>
      </c>
      <c r="D40" s="117">
        <v>98</v>
      </c>
      <c r="E40" s="367" t="s">
        <v>425</v>
      </c>
      <c r="F40" s="405" t="s">
        <v>487</v>
      </c>
    </row>
    <row r="41" spans="2:6">
      <c r="B41" s="405" t="s">
        <v>83</v>
      </c>
      <c r="C41" s="405" t="s">
        <v>20</v>
      </c>
      <c r="D41" s="117">
        <v>98</v>
      </c>
      <c r="E41" s="367" t="s">
        <v>425</v>
      </c>
      <c r="F41" s="405" t="s">
        <v>488</v>
      </c>
    </row>
    <row r="42" spans="2:6">
      <c r="B42" s="405" t="s">
        <v>83</v>
      </c>
      <c r="C42" s="405" t="s">
        <v>20</v>
      </c>
      <c r="D42" s="117">
        <v>98</v>
      </c>
      <c r="E42" s="367" t="s">
        <v>425</v>
      </c>
      <c r="F42" s="405" t="s">
        <v>489</v>
      </c>
    </row>
    <row r="43" spans="2:6" ht="30">
      <c r="B43" s="405" t="s">
        <v>83</v>
      </c>
      <c r="C43" s="405" t="s">
        <v>20</v>
      </c>
      <c r="D43" s="117">
        <v>98</v>
      </c>
      <c r="E43" s="367" t="s">
        <v>425</v>
      </c>
      <c r="F43" s="405" t="s">
        <v>490</v>
      </c>
    </row>
    <row r="44" spans="2:6">
      <c r="B44" s="405" t="s">
        <v>83</v>
      </c>
      <c r="C44" s="405" t="s">
        <v>20</v>
      </c>
      <c r="D44" s="117">
        <v>98</v>
      </c>
      <c r="E44" s="367" t="s">
        <v>425</v>
      </c>
      <c r="F44" s="405" t="s">
        <v>491</v>
      </c>
    </row>
    <row r="45" spans="2:6">
      <c r="B45" s="405" t="s">
        <v>83</v>
      </c>
      <c r="C45" s="405" t="s">
        <v>20</v>
      </c>
      <c r="D45" s="117">
        <v>98</v>
      </c>
      <c r="E45" s="367" t="s">
        <v>425</v>
      </c>
      <c r="F45" s="405" t="s">
        <v>492</v>
      </c>
    </row>
    <row r="46" spans="2:6" ht="30">
      <c r="B46" s="405" t="s">
        <v>83</v>
      </c>
      <c r="C46" s="405" t="s">
        <v>20</v>
      </c>
      <c r="D46" s="117">
        <v>118</v>
      </c>
      <c r="E46" s="367" t="s">
        <v>443</v>
      </c>
      <c r="F46" s="405" t="s">
        <v>494</v>
      </c>
    </row>
    <row r="47" spans="2:6">
      <c r="B47" s="405" t="s">
        <v>83</v>
      </c>
      <c r="C47" s="405" t="s">
        <v>21</v>
      </c>
      <c r="D47" s="117">
        <v>118</v>
      </c>
      <c r="E47" s="367" t="s">
        <v>426</v>
      </c>
      <c r="F47" s="405" t="s">
        <v>465</v>
      </c>
    </row>
    <row r="48" spans="2:6">
      <c r="B48" s="405" t="s">
        <v>83</v>
      </c>
      <c r="C48" s="405" t="s">
        <v>21</v>
      </c>
      <c r="D48" s="117">
        <v>118</v>
      </c>
      <c r="E48" s="367" t="s">
        <v>426</v>
      </c>
      <c r="F48" s="405" t="s">
        <v>473</v>
      </c>
    </row>
    <row r="49" spans="2:6">
      <c r="B49" s="405" t="s">
        <v>83</v>
      </c>
      <c r="C49" s="405" t="s">
        <v>21</v>
      </c>
      <c r="D49" s="117">
        <v>118</v>
      </c>
      <c r="E49" s="367" t="s">
        <v>426</v>
      </c>
      <c r="F49" s="405" t="s">
        <v>466</v>
      </c>
    </row>
    <row r="50" spans="2:6">
      <c r="B50" s="405" t="s">
        <v>83</v>
      </c>
      <c r="C50" s="405" t="s">
        <v>21</v>
      </c>
      <c r="D50" s="117">
        <v>118</v>
      </c>
      <c r="E50" s="367" t="s">
        <v>426</v>
      </c>
      <c r="F50" s="405" t="s">
        <v>105</v>
      </c>
    </row>
    <row r="51" spans="2:6">
      <c r="B51" s="405" t="s">
        <v>83</v>
      </c>
      <c r="C51" s="405" t="s">
        <v>21</v>
      </c>
      <c r="D51" s="117">
        <v>118</v>
      </c>
      <c r="E51" s="367" t="s">
        <v>426</v>
      </c>
      <c r="F51" s="405" t="s">
        <v>496</v>
      </c>
    </row>
    <row r="52" spans="2:6">
      <c r="B52" s="405" t="s">
        <v>83</v>
      </c>
      <c r="C52" s="405" t="s">
        <v>21</v>
      </c>
      <c r="D52" s="117">
        <v>98</v>
      </c>
      <c r="E52" s="367" t="s">
        <v>433</v>
      </c>
      <c r="F52" s="405" t="s">
        <v>102</v>
      </c>
    </row>
    <row r="53" spans="2:6">
      <c r="B53" s="405" t="s">
        <v>83</v>
      </c>
      <c r="C53" s="405" t="s">
        <v>21</v>
      </c>
      <c r="D53" s="117">
        <v>98</v>
      </c>
      <c r="E53" s="367" t="s">
        <v>433</v>
      </c>
      <c r="F53" s="405" t="s">
        <v>497</v>
      </c>
    </row>
    <row r="54" spans="2:6">
      <c r="B54" s="405" t="s">
        <v>83</v>
      </c>
      <c r="C54" s="405" t="s">
        <v>21</v>
      </c>
      <c r="D54" s="117">
        <v>98</v>
      </c>
      <c r="E54" s="367" t="s">
        <v>433</v>
      </c>
      <c r="F54" s="405" t="s">
        <v>105</v>
      </c>
    </row>
    <row r="55" spans="2:6">
      <c r="B55" s="405" t="s">
        <v>83</v>
      </c>
      <c r="C55" s="405" t="s">
        <v>21</v>
      </c>
      <c r="D55" s="117">
        <v>98</v>
      </c>
      <c r="E55" s="367" t="s">
        <v>433</v>
      </c>
      <c r="F55" s="405" t="s">
        <v>498</v>
      </c>
    </row>
    <row r="56" spans="2:6">
      <c r="B56" s="405" t="s">
        <v>83</v>
      </c>
      <c r="C56" s="405" t="s">
        <v>21</v>
      </c>
      <c r="D56" s="117">
        <v>98</v>
      </c>
      <c r="E56" s="367" t="s">
        <v>432</v>
      </c>
      <c r="F56" s="405" t="s">
        <v>483</v>
      </c>
    </row>
    <row r="57" spans="2:6">
      <c r="B57" s="405" t="s">
        <v>83</v>
      </c>
      <c r="C57" s="405" t="s">
        <v>21</v>
      </c>
      <c r="D57" s="117">
        <v>98</v>
      </c>
      <c r="E57" s="367" t="s">
        <v>432</v>
      </c>
      <c r="F57" s="405" t="s">
        <v>497</v>
      </c>
    </row>
    <row r="58" spans="2:6">
      <c r="B58" s="405" t="s">
        <v>83</v>
      </c>
      <c r="C58" s="405" t="s">
        <v>21</v>
      </c>
      <c r="D58" s="117">
        <v>118</v>
      </c>
      <c r="E58" s="367" t="s">
        <v>428</v>
      </c>
      <c r="F58" s="405" t="s">
        <v>483</v>
      </c>
    </row>
    <row r="59" spans="2:6">
      <c r="B59" s="405" t="s">
        <v>83</v>
      </c>
      <c r="C59" s="405" t="s">
        <v>21</v>
      </c>
      <c r="D59" s="117">
        <v>118</v>
      </c>
      <c r="E59" s="367" t="s">
        <v>428</v>
      </c>
      <c r="F59" s="405" t="s">
        <v>473</v>
      </c>
    </row>
    <row r="60" spans="2:6">
      <c r="B60" s="405" t="s">
        <v>83</v>
      </c>
      <c r="C60" s="405" t="s">
        <v>21</v>
      </c>
      <c r="D60" s="117">
        <v>118</v>
      </c>
      <c r="E60" s="367" t="s">
        <v>428</v>
      </c>
      <c r="F60" s="405" t="s">
        <v>106</v>
      </c>
    </row>
    <row r="61" spans="2:6">
      <c r="B61" s="405" t="s">
        <v>83</v>
      </c>
      <c r="C61" s="405" t="s">
        <v>21</v>
      </c>
      <c r="D61" s="117">
        <v>118</v>
      </c>
      <c r="E61" s="367" t="s">
        <v>428</v>
      </c>
      <c r="F61" s="405" t="s">
        <v>487</v>
      </c>
    </row>
    <row r="62" spans="2:6">
      <c r="B62" s="405" t="s">
        <v>83</v>
      </c>
      <c r="C62" s="405" t="s">
        <v>21</v>
      </c>
      <c r="D62" s="117">
        <v>98</v>
      </c>
      <c r="E62" s="367" t="s">
        <v>434</v>
      </c>
      <c r="F62" s="405" t="s">
        <v>496</v>
      </c>
    </row>
    <row r="63" spans="2:6">
      <c r="B63" s="405" t="s">
        <v>83</v>
      </c>
      <c r="C63" s="405" t="s">
        <v>21</v>
      </c>
      <c r="D63" s="117">
        <v>98</v>
      </c>
      <c r="E63" s="367" t="s">
        <v>434</v>
      </c>
      <c r="F63" s="405" t="s">
        <v>499</v>
      </c>
    </row>
    <row r="64" spans="2:6">
      <c r="B64" s="405" t="s">
        <v>83</v>
      </c>
      <c r="C64" s="405" t="s">
        <v>21</v>
      </c>
      <c r="D64" s="117">
        <v>98</v>
      </c>
      <c r="E64" s="367" t="s">
        <v>434</v>
      </c>
      <c r="F64" s="405" t="s">
        <v>486</v>
      </c>
    </row>
    <row r="65" spans="2:6">
      <c r="B65" s="405" t="s">
        <v>83</v>
      </c>
      <c r="C65" s="405" t="s">
        <v>21</v>
      </c>
      <c r="D65" s="117">
        <v>98</v>
      </c>
      <c r="E65" s="367" t="s">
        <v>434</v>
      </c>
      <c r="F65" s="405" t="s">
        <v>500</v>
      </c>
    </row>
    <row r="66" spans="2:6">
      <c r="B66" s="405" t="s">
        <v>83</v>
      </c>
      <c r="C66" s="405" t="s">
        <v>21</v>
      </c>
      <c r="D66" s="117">
        <v>98</v>
      </c>
      <c r="E66" s="367" t="s">
        <v>434</v>
      </c>
      <c r="F66" s="405" t="s">
        <v>469</v>
      </c>
    </row>
    <row r="67" spans="2:6" ht="30">
      <c r="B67" s="405" t="s">
        <v>83</v>
      </c>
      <c r="C67" s="405" t="s">
        <v>21</v>
      </c>
      <c r="D67" s="117">
        <v>118</v>
      </c>
      <c r="E67" s="367" t="s">
        <v>427</v>
      </c>
      <c r="F67" s="405" t="s">
        <v>102</v>
      </c>
    </row>
    <row r="68" spans="2:6" ht="45">
      <c r="B68" s="405" t="s">
        <v>83</v>
      </c>
      <c r="C68" s="405" t="s">
        <v>21</v>
      </c>
      <c r="D68" s="117">
        <v>94</v>
      </c>
      <c r="E68" s="367" t="s">
        <v>429</v>
      </c>
      <c r="F68" s="405" t="s">
        <v>102</v>
      </c>
    </row>
    <row r="69" spans="2:6" ht="30">
      <c r="B69" s="405" t="s">
        <v>83</v>
      </c>
      <c r="C69" s="405" t="s">
        <v>21</v>
      </c>
      <c r="D69" s="117">
        <v>98.5</v>
      </c>
      <c r="E69" s="367" t="s">
        <v>430</v>
      </c>
      <c r="F69" s="405" t="s">
        <v>102</v>
      </c>
    </row>
    <row r="70" spans="2:6" ht="30">
      <c r="B70" s="405" t="s">
        <v>83</v>
      </c>
      <c r="C70" s="405" t="s">
        <v>21</v>
      </c>
      <c r="D70" s="117">
        <v>78</v>
      </c>
      <c r="E70" s="367" t="s">
        <v>431</v>
      </c>
      <c r="F70" s="405" t="s">
        <v>102</v>
      </c>
    </row>
    <row r="71" spans="2:6">
      <c r="B71" s="405" t="s">
        <v>83</v>
      </c>
      <c r="C71" s="405" t="s">
        <v>22</v>
      </c>
      <c r="D71" s="117">
        <v>98</v>
      </c>
      <c r="E71" s="367" t="s">
        <v>435</v>
      </c>
      <c r="F71" s="405" t="s">
        <v>485</v>
      </c>
    </row>
    <row r="72" spans="2:6">
      <c r="B72" s="405" t="s">
        <v>83</v>
      </c>
      <c r="C72" s="405" t="s">
        <v>22</v>
      </c>
      <c r="D72" s="117">
        <v>98</v>
      </c>
      <c r="E72" s="367" t="s">
        <v>435</v>
      </c>
      <c r="F72" s="405" t="s">
        <v>496</v>
      </c>
    </row>
    <row r="73" spans="2:6">
      <c r="B73" s="405" t="s">
        <v>83</v>
      </c>
      <c r="C73" s="405" t="s">
        <v>22</v>
      </c>
      <c r="D73" s="117">
        <v>118</v>
      </c>
      <c r="E73" s="367" t="s">
        <v>436</v>
      </c>
      <c r="F73" s="405" t="s">
        <v>483</v>
      </c>
    </row>
    <row r="74" spans="2:6">
      <c r="B74" s="405" t="s">
        <v>83</v>
      </c>
      <c r="C74" s="405" t="s">
        <v>22</v>
      </c>
      <c r="D74" s="117">
        <v>118</v>
      </c>
      <c r="E74" s="367" t="s">
        <v>436</v>
      </c>
      <c r="F74" s="405" t="s">
        <v>466</v>
      </c>
    </row>
    <row r="75" spans="2:6">
      <c r="B75" s="405" t="s">
        <v>83</v>
      </c>
      <c r="C75" s="405" t="s">
        <v>22</v>
      </c>
      <c r="D75" s="117">
        <v>118</v>
      </c>
      <c r="E75" s="367" t="s">
        <v>436</v>
      </c>
      <c r="F75" s="405" t="s">
        <v>105</v>
      </c>
    </row>
    <row r="76" spans="2:6">
      <c r="B76" s="405" t="s">
        <v>83</v>
      </c>
      <c r="C76" s="405" t="s">
        <v>22</v>
      </c>
      <c r="D76" s="117">
        <v>118</v>
      </c>
      <c r="E76" s="367" t="s">
        <v>436</v>
      </c>
      <c r="F76" s="405" t="s">
        <v>492</v>
      </c>
    </row>
    <row r="77" spans="2:6">
      <c r="B77" s="405" t="s">
        <v>83</v>
      </c>
      <c r="C77" s="405" t="s">
        <v>22</v>
      </c>
      <c r="D77" s="117">
        <v>118</v>
      </c>
      <c r="E77" s="367" t="s">
        <v>436</v>
      </c>
      <c r="F77" s="405" t="s">
        <v>502</v>
      </c>
    </row>
    <row r="78" spans="2:6">
      <c r="B78" s="405" t="s">
        <v>83</v>
      </c>
      <c r="C78" s="405" t="s">
        <v>22</v>
      </c>
      <c r="D78" s="117">
        <v>118</v>
      </c>
      <c r="E78" s="367" t="s">
        <v>437</v>
      </c>
      <c r="F78" s="405" t="s">
        <v>102</v>
      </c>
    </row>
    <row r="79" spans="2:6">
      <c r="B79" s="405" t="s">
        <v>83</v>
      </c>
      <c r="C79" s="405" t="s">
        <v>22</v>
      </c>
      <c r="D79" s="117">
        <v>118</v>
      </c>
      <c r="E79" s="367" t="s">
        <v>437</v>
      </c>
      <c r="F79" s="405" t="s">
        <v>497</v>
      </c>
    </row>
    <row r="80" spans="2:6">
      <c r="B80" s="405" t="s">
        <v>83</v>
      </c>
      <c r="C80" s="405" t="s">
        <v>22</v>
      </c>
      <c r="D80" s="117">
        <v>118</v>
      </c>
      <c r="E80" s="367" t="s">
        <v>437</v>
      </c>
      <c r="F80" s="405" t="s">
        <v>484</v>
      </c>
    </row>
    <row r="81" spans="2:6">
      <c r="B81" s="405" t="s">
        <v>83</v>
      </c>
      <c r="C81" s="405" t="s">
        <v>22</v>
      </c>
      <c r="D81" s="117">
        <v>118</v>
      </c>
      <c r="E81" s="367" t="s">
        <v>437</v>
      </c>
      <c r="F81" s="405" t="s">
        <v>485</v>
      </c>
    </row>
    <row r="82" spans="2:6">
      <c r="B82" s="405" t="s">
        <v>83</v>
      </c>
      <c r="C82" s="405" t="s">
        <v>22</v>
      </c>
      <c r="D82" s="117">
        <v>118</v>
      </c>
      <c r="E82" s="367" t="s">
        <v>437</v>
      </c>
      <c r="F82" s="405" t="s">
        <v>502</v>
      </c>
    </row>
    <row r="83" spans="2:6">
      <c r="B83" s="405" t="s">
        <v>83</v>
      </c>
      <c r="C83" s="405" t="s">
        <v>22</v>
      </c>
      <c r="D83" s="117">
        <v>118</v>
      </c>
      <c r="E83" s="367" t="s">
        <v>438</v>
      </c>
      <c r="F83" s="405" t="s">
        <v>483</v>
      </c>
    </row>
    <row r="84" spans="2:6">
      <c r="B84" s="405" t="s">
        <v>83</v>
      </c>
      <c r="C84" s="405" t="s">
        <v>22</v>
      </c>
      <c r="D84" s="117">
        <v>118</v>
      </c>
      <c r="E84" s="367" t="s">
        <v>438</v>
      </c>
      <c r="F84" s="405" t="s">
        <v>473</v>
      </c>
    </row>
    <row r="85" spans="2:6">
      <c r="B85" s="405" t="s">
        <v>83</v>
      </c>
      <c r="C85" s="405" t="s">
        <v>22</v>
      </c>
      <c r="D85" s="117">
        <v>118</v>
      </c>
      <c r="E85" s="367" t="s">
        <v>438</v>
      </c>
      <c r="F85" s="405" t="s">
        <v>106</v>
      </c>
    </row>
    <row r="86" spans="2:6">
      <c r="B86" s="405" t="s">
        <v>83</v>
      </c>
      <c r="C86" s="405" t="s">
        <v>22</v>
      </c>
      <c r="D86" s="117">
        <v>118</v>
      </c>
      <c r="E86" s="367" t="s">
        <v>438</v>
      </c>
      <c r="F86" s="405" t="s">
        <v>487</v>
      </c>
    </row>
    <row r="87" spans="2:6" ht="45">
      <c r="B87" s="405" t="s">
        <v>83</v>
      </c>
      <c r="C87" s="405" t="s">
        <v>22</v>
      </c>
      <c r="D87" s="117">
        <v>118</v>
      </c>
      <c r="E87" s="367" t="s">
        <v>439</v>
      </c>
      <c r="F87" s="405" t="s">
        <v>102</v>
      </c>
    </row>
    <row r="88" spans="2:6">
      <c r="B88" s="405" t="s">
        <v>83</v>
      </c>
      <c r="C88" s="405" t="s">
        <v>22</v>
      </c>
      <c r="D88" s="117">
        <v>98</v>
      </c>
      <c r="E88" s="367" t="s">
        <v>440</v>
      </c>
      <c r="F88" s="405" t="s">
        <v>465</v>
      </c>
    </row>
    <row r="89" spans="2:6">
      <c r="B89" s="405" t="s">
        <v>83</v>
      </c>
      <c r="C89" s="405" t="s">
        <v>22</v>
      </c>
      <c r="D89" s="117">
        <v>98</v>
      </c>
      <c r="E89" s="367" t="s">
        <v>440</v>
      </c>
      <c r="F89" s="405" t="s">
        <v>466</v>
      </c>
    </row>
    <row r="90" spans="2:6">
      <c r="B90" s="405" t="s">
        <v>83</v>
      </c>
      <c r="C90" s="405" t="s">
        <v>22</v>
      </c>
      <c r="D90" s="117">
        <v>98</v>
      </c>
      <c r="E90" s="367" t="s">
        <v>440</v>
      </c>
      <c r="F90" s="405" t="s">
        <v>467</v>
      </c>
    </row>
    <row r="91" spans="2:6" ht="30">
      <c r="B91" s="405" t="s">
        <v>83</v>
      </c>
      <c r="C91" s="405" t="s">
        <v>22</v>
      </c>
      <c r="D91" s="117">
        <v>118</v>
      </c>
      <c r="E91" s="367" t="s">
        <v>441</v>
      </c>
      <c r="F91" s="405" t="s">
        <v>503</v>
      </c>
    </row>
    <row r="92" spans="2:6" ht="30">
      <c r="B92" s="405" t="s">
        <v>83</v>
      </c>
      <c r="C92" s="405" t="s">
        <v>22</v>
      </c>
      <c r="D92" s="117">
        <v>118</v>
      </c>
      <c r="E92" s="367" t="s">
        <v>441</v>
      </c>
      <c r="F92" s="405" t="s">
        <v>504</v>
      </c>
    </row>
    <row r="93" spans="2:6">
      <c r="B93" s="405" t="s">
        <v>83</v>
      </c>
      <c r="C93" s="405" t="s">
        <v>22</v>
      </c>
      <c r="D93" s="117">
        <v>118</v>
      </c>
      <c r="E93" s="367" t="s">
        <v>441</v>
      </c>
      <c r="F93" s="405" t="s">
        <v>505</v>
      </c>
    </row>
    <row r="94" spans="2:6">
      <c r="B94" s="405" t="s">
        <v>83</v>
      </c>
      <c r="C94" s="405" t="s">
        <v>23</v>
      </c>
      <c r="D94" s="117">
        <v>118</v>
      </c>
      <c r="E94" s="367" t="s">
        <v>444</v>
      </c>
      <c r="F94" s="405" t="s">
        <v>482</v>
      </c>
    </row>
    <row r="95" spans="2:6">
      <c r="B95" s="405" t="s">
        <v>83</v>
      </c>
      <c r="C95" s="405" t="s">
        <v>23</v>
      </c>
      <c r="D95" s="117">
        <v>118</v>
      </c>
      <c r="E95" s="367" t="s">
        <v>444</v>
      </c>
      <c r="F95" s="405" t="s">
        <v>511</v>
      </c>
    </row>
    <row r="96" spans="2:6">
      <c r="B96" s="405" t="s">
        <v>83</v>
      </c>
      <c r="C96" s="405" t="s">
        <v>23</v>
      </c>
      <c r="D96" s="117">
        <v>118</v>
      </c>
      <c r="E96" s="367" t="s">
        <v>444</v>
      </c>
      <c r="F96" s="405" t="s">
        <v>512</v>
      </c>
    </row>
    <row r="97" spans="2:6">
      <c r="B97" s="405" t="s">
        <v>83</v>
      </c>
      <c r="C97" s="405" t="s">
        <v>23</v>
      </c>
      <c r="D97" s="117">
        <v>118</v>
      </c>
      <c r="E97" s="367" t="s">
        <v>444</v>
      </c>
      <c r="F97" s="405" t="s">
        <v>473</v>
      </c>
    </row>
    <row r="98" spans="2:6">
      <c r="B98" s="405" t="s">
        <v>83</v>
      </c>
      <c r="C98" s="405" t="s">
        <v>23</v>
      </c>
      <c r="D98" s="117">
        <v>118</v>
      </c>
      <c r="E98" s="367" t="s">
        <v>445</v>
      </c>
      <c r="F98" s="405" t="s">
        <v>102</v>
      </c>
    </row>
    <row r="99" spans="2:6" ht="30">
      <c r="B99" s="405" t="s">
        <v>83</v>
      </c>
      <c r="C99" s="405" t="s">
        <v>23</v>
      </c>
      <c r="D99" s="117">
        <v>118</v>
      </c>
      <c r="E99" s="367" t="s">
        <v>445</v>
      </c>
      <c r="F99" s="405" t="s">
        <v>478</v>
      </c>
    </row>
    <row r="100" spans="2:6" ht="30">
      <c r="B100" s="405" t="s">
        <v>83</v>
      </c>
      <c r="C100" s="405" t="s">
        <v>23</v>
      </c>
      <c r="D100" s="117">
        <v>118</v>
      </c>
      <c r="E100" s="367" t="s">
        <v>445</v>
      </c>
      <c r="F100" s="405" t="s">
        <v>481</v>
      </c>
    </row>
    <row r="101" spans="2:6">
      <c r="B101" s="405" t="s">
        <v>83</v>
      </c>
      <c r="C101" s="405" t="s">
        <v>23</v>
      </c>
      <c r="D101" s="117">
        <v>118</v>
      </c>
      <c r="E101" s="367" t="s">
        <v>445</v>
      </c>
      <c r="F101" s="405" t="s">
        <v>482</v>
      </c>
    </row>
    <row r="102" spans="2:6">
      <c r="B102" s="405" t="s">
        <v>83</v>
      </c>
      <c r="C102" s="405" t="s">
        <v>23</v>
      </c>
      <c r="D102" s="117">
        <v>110</v>
      </c>
      <c r="E102" s="367" t="s">
        <v>442</v>
      </c>
      <c r="F102" s="405" t="s">
        <v>102</v>
      </c>
    </row>
    <row r="103" spans="2:6">
      <c r="B103" s="405" t="s">
        <v>85</v>
      </c>
      <c r="C103" s="405" t="s">
        <v>19</v>
      </c>
      <c r="D103" s="117">
        <v>98</v>
      </c>
      <c r="E103" s="367" t="s">
        <v>509</v>
      </c>
      <c r="F103" s="405" t="s">
        <v>482</v>
      </c>
    </row>
    <row r="104" spans="2:6">
      <c r="B104" s="405" t="s">
        <v>85</v>
      </c>
      <c r="C104" s="405" t="s">
        <v>19</v>
      </c>
      <c r="D104" s="117">
        <v>98</v>
      </c>
      <c r="E104" s="367" t="s">
        <v>509</v>
      </c>
      <c r="F104" s="405" t="s">
        <v>480</v>
      </c>
    </row>
    <row r="105" spans="2:6">
      <c r="B105" s="405" t="s">
        <v>85</v>
      </c>
      <c r="C105" s="405" t="s">
        <v>19</v>
      </c>
      <c r="D105" s="117">
        <v>98</v>
      </c>
      <c r="E105" s="367" t="s">
        <v>509</v>
      </c>
      <c r="F105" s="405" t="s">
        <v>502</v>
      </c>
    </row>
    <row r="106" spans="2:6">
      <c r="B106" s="405" t="s">
        <v>85</v>
      </c>
      <c r="C106" s="405" t="s">
        <v>19</v>
      </c>
      <c r="D106" s="117">
        <v>98</v>
      </c>
      <c r="E106" s="367" t="s">
        <v>509</v>
      </c>
      <c r="F106" s="405" t="s">
        <v>105</v>
      </c>
    </row>
    <row r="107" spans="2:6">
      <c r="B107" s="405" t="s">
        <v>85</v>
      </c>
      <c r="C107" s="405" t="s">
        <v>19</v>
      </c>
      <c r="D107" s="117">
        <v>98</v>
      </c>
      <c r="E107" s="367" t="s">
        <v>509</v>
      </c>
      <c r="F107" s="405" t="s">
        <v>513</v>
      </c>
    </row>
    <row r="108" spans="2:6">
      <c r="B108" s="405" t="s">
        <v>85</v>
      </c>
      <c r="C108" s="405" t="s">
        <v>19</v>
      </c>
      <c r="D108" s="117">
        <v>98</v>
      </c>
      <c r="E108" s="367" t="s">
        <v>509</v>
      </c>
      <c r="F108" s="405" t="s">
        <v>514</v>
      </c>
    </row>
    <row r="109" spans="2:6">
      <c r="B109" s="405" t="s">
        <v>85</v>
      </c>
      <c r="C109" s="405" t="s">
        <v>19</v>
      </c>
      <c r="D109" s="117">
        <v>98</v>
      </c>
      <c r="E109" s="367" t="s">
        <v>509</v>
      </c>
      <c r="F109" s="405" t="s">
        <v>515</v>
      </c>
    </row>
    <row r="110" spans="2:6" ht="30">
      <c r="B110" s="405" t="s">
        <v>85</v>
      </c>
      <c r="C110" s="405" t="s">
        <v>19</v>
      </c>
      <c r="D110" s="117">
        <v>98</v>
      </c>
      <c r="E110" s="367" t="s">
        <v>509</v>
      </c>
      <c r="F110" s="405" t="s">
        <v>516</v>
      </c>
    </row>
    <row r="111" spans="2:6">
      <c r="B111" s="405" t="s">
        <v>85</v>
      </c>
      <c r="C111" s="405" t="s">
        <v>19</v>
      </c>
      <c r="D111" s="117">
        <v>98</v>
      </c>
      <c r="E111" s="367" t="s">
        <v>509</v>
      </c>
      <c r="F111" s="405" t="s">
        <v>486</v>
      </c>
    </row>
    <row r="112" spans="2:6">
      <c r="B112" s="405" t="s">
        <v>85</v>
      </c>
      <c r="C112" s="405" t="s">
        <v>19</v>
      </c>
      <c r="D112" s="117">
        <v>98</v>
      </c>
      <c r="E112" s="367" t="s">
        <v>509</v>
      </c>
      <c r="F112" s="405" t="s">
        <v>517</v>
      </c>
    </row>
    <row r="113" spans="2:6">
      <c r="B113" s="405" t="s">
        <v>85</v>
      </c>
      <c r="C113" s="405" t="s">
        <v>19</v>
      </c>
      <c r="D113" s="117">
        <v>98</v>
      </c>
      <c r="E113" s="367" t="s">
        <v>509</v>
      </c>
      <c r="F113" s="405" t="s">
        <v>518</v>
      </c>
    </row>
    <row r="114" spans="2:6">
      <c r="B114" s="405" t="s">
        <v>85</v>
      </c>
      <c r="C114" s="405" t="s">
        <v>19</v>
      </c>
      <c r="D114" s="117">
        <v>98</v>
      </c>
      <c r="E114" s="367" t="s">
        <v>509</v>
      </c>
      <c r="F114" s="405" t="s">
        <v>519</v>
      </c>
    </row>
    <row r="115" spans="2:6">
      <c r="B115" s="405" t="s">
        <v>85</v>
      </c>
      <c r="C115" s="405" t="s">
        <v>19</v>
      </c>
      <c r="D115" s="117" t="s">
        <v>528</v>
      </c>
      <c r="E115" s="367" t="s">
        <v>520</v>
      </c>
      <c r="F115" s="405" t="s">
        <v>521</v>
      </c>
    </row>
    <row r="116" spans="2:6" ht="30">
      <c r="B116" s="405" t="s">
        <v>85</v>
      </c>
      <c r="C116" s="405" t="s">
        <v>19</v>
      </c>
      <c r="D116" s="117" t="s">
        <v>528</v>
      </c>
      <c r="E116" s="367" t="s">
        <v>520</v>
      </c>
      <c r="F116" s="405" t="s">
        <v>522</v>
      </c>
    </row>
    <row r="117" spans="2:6">
      <c r="B117" s="405" t="s">
        <v>85</v>
      </c>
      <c r="C117" s="405" t="s">
        <v>19</v>
      </c>
      <c r="D117" s="117" t="s">
        <v>528</v>
      </c>
      <c r="E117" s="367" t="s">
        <v>520</v>
      </c>
      <c r="F117" s="405" t="s">
        <v>523</v>
      </c>
    </row>
    <row r="118" spans="2:6">
      <c r="B118" s="405" t="s">
        <v>85</v>
      </c>
      <c r="C118" s="405" t="s">
        <v>19</v>
      </c>
      <c r="D118" s="117" t="s">
        <v>528</v>
      </c>
      <c r="E118" s="367" t="s">
        <v>520</v>
      </c>
      <c r="F118" s="405" t="s">
        <v>499</v>
      </c>
    </row>
    <row r="119" spans="2:6" ht="30">
      <c r="B119" s="405" t="s">
        <v>85</v>
      </c>
      <c r="C119" s="405" t="s">
        <v>19</v>
      </c>
      <c r="D119" s="117" t="s">
        <v>528</v>
      </c>
      <c r="E119" s="367" t="s">
        <v>520</v>
      </c>
      <c r="F119" s="405" t="s">
        <v>524</v>
      </c>
    </row>
    <row r="120" spans="2:6" ht="30">
      <c r="B120" s="405" t="s">
        <v>85</v>
      </c>
      <c r="C120" s="405" t="s">
        <v>19</v>
      </c>
      <c r="D120" s="117" t="s">
        <v>528</v>
      </c>
      <c r="E120" s="367" t="s">
        <v>520</v>
      </c>
      <c r="F120" s="405" t="s">
        <v>525</v>
      </c>
    </row>
    <row r="121" spans="2:6">
      <c r="B121" s="405" t="s">
        <v>85</v>
      </c>
      <c r="C121" s="405" t="s">
        <v>19</v>
      </c>
      <c r="D121" s="117" t="s">
        <v>528</v>
      </c>
      <c r="E121" s="367" t="s">
        <v>520</v>
      </c>
      <c r="F121" s="405" t="s">
        <v>526</v>
      </c>
    </row>
    <row r="122" spans="2:6" ht="30">
      <c r="B122" s="405" t="s">
        <v>85</v>
      </c>
      <c r="C122" s="405" t="s">
        <v>19</v>
      </c>
      <c r="D122" s="117" t="s">
        <v>528</v>
      </c>
      <c r="E122" s="367" t="s">
        <v>520</v>
      </c>
      <c r="F122" s="405" t="s">
        <v>527</v>
      </c>
    </row>
    <row r="123" spans="2:6">
      <c r="B123" s="405" t="s">
        <v>85</v>
      </c>
      <c r="C123" s="405" t="s">
        <v>19</v>
      </c>
      <c r="D123" s="421">
        <v>118</v>
      </c>
      <c r="E123" s="368" t="s">
        <v>508</v>
      </c>
      <c r="F123" s="405" t="s">
        <v>549</v>
      </c>
    </row>
    <row r="124" spans="2:6">
      <c r="B124" s="405" t="s">
        <v>85</v>
      </c>
      <c r="C124" s="405" t="s">
        <v>19</v>
      </c>
      <c r="D124" s="421">
        <v>110</v>
      </c>
      <c r="E124" s="368" t="s">
        <v>510</v>
      </c>
      <c r="F124" s="405" t="s">
        <v>549</v>
      </c>
    </row>
    <row r="125" spans="2:6">
      <c r="B125" s="405" t="s">
        <v>85</v>
      </c>
      <c r="C125" s="405" t="s">
        <v>20</v>
      </c>
      <c r="D125" s="119">
        <v>110</v>
      </c>
      <c r="E125" s="368" t="s">
        <v>530</v>
      </c>
      <c r="F125" s="405" t="s">
        <v>521</v>
      </c>
    </row>
    <row r="126" spans="2:6" ht="30">
      <c r="B126" s="405" t="s">
        <v>85</v>
      </c>
      <c r="C126" s="405" t="s">
        <v>20</v>
      </c>
      <c r="D126" s="119">
        <v>110</v>
      </c>
      <c r="E126" s="368" t="s">
        <v>530</v>
      </c>
      <c r="F126" s="405" t="s">
        <v>522</v>
      </c>
    </row>
    <row r="127" spans="2:6">
      <c r="B127" s="405" t="s">
        <v>85</v>
      </c>
      <c r="C127" s="405" t="s">
        <v>20</v>
      </c>
      <c r="D127" s="119">
        <v>110</v>
      </c>
      <c r="E127" s="368" t="s">
        <v>530</v>
      </c>
      <c r="F127" s="405" t="s">
        <v>523</v>
      </c>
    </row>
    <row r="128" spans="2:6">
      <c r="B128" s="405" t="s">
        <v>85</v>
      </c>
      <c r="C128" s="405" t="s">
        <v>20</v>
      </c>
      <c r="D128" s="119">
        <v>110</v>
      </c>
      <c r="E128" s="368" t="s">
        <v>530</v>
      </c>
      <c r="F128" s="405" t="s">
        <v>499</v>
      </c>
    </row>
    <row r="129" spans="2:6" ht="30">
      <c r="B129" s="405" t="s">
        <v>85</v>
      </c>
      <c r="C129" s="405" t="s">
        <v>20</v>
      </c>
      <c r="D129" s="119">
        <v>110</v>
      </c>
      <c r="E129" s="368" t="s">
        <v>530</v>
      </c>
      <c r="F129" s="405" t="s">
        <v>524</v>
      </c>
    </row>
    <row r="130" spans="2:6" ht="30">
      <c r="B130" s="405" t="s">
        <v>85</v>
      </c>
      <c r="C130" s="405" t="s">
        <v>20</v>
      </c>
      <c r="D130" s="119">
        <v>110</v>
      </c>
      <c r="E130" s="368" t="s">
        <v>530</v>
      </c>
      <c r="F130" s="405" t="s">
        <v>525</v>
      </c>
    </row>
    <row r="131" spans="2:6">
      <c r="B131" s="405" t="s">
        <v>85</v>
      </c>
      <c r="C131" s="405" t="s">
        <v>20</v>
      </c>
      <c r="D131" s="119">
        <v>110</v>
      </c>
      <c r="E131" s="368" t="s">
        <v>530</v>
      </c>
      <c r="F131" s="405" t="s">
        <v>526</v>
      </c>
    </row>
    <row r="132" spans="2:6" ht="30">
      <c r="B132" s="405" t="s">
        <v>85</v>
      </c>
      <c r="C132" s="405" t="s">
        <v>20</v>
      </c>
      <c r="D132" s="119">
        <v>110</v>
      </c>
      <c r="E132" s="368" t="s">
        <v>530</v>
      </c>
      <c r="F132" s="405" t="s">
        <v>527</v>
      </c>
    </row>
    <row r="133" spans="2:6">
      <c r="B133" s="405" t="s">
        <v>85</v>
      </c>
      <c r="C133" s="405" t="s">
        <v>20</v>
      </c>
      <c r="D133" s="119">
        <v>98</v>
      </c>
      <c r="E133" s="368" t="s">
        <v>531</v>
      </c>
      <c r="F133" s="405" t="s">
        <v>538</v>
      </c>
    </row>
    <row r="134" spans="2:6" ht="30">
      <c r="B134" s="405" t="s">
        <v>85</v>
      </c>
      <c r="C134" s="405" t="s">
        <v>20</v>
      </c>
      <c r="D134" s="119">
        <v>98</v>
      </c>
      <c r="E134" s="368" t="s">
        <v>531</v>
      </c>
      <c r="F134" s="405" t="s">
        <v>539</v>
      </c>
    </row>
    <row r="135" spans="2:6">
      <c r="B135" s="405" t="s">
        <v>85</v>
      </c>
      <c r="C135" s="405" t="s">
        <v>20</v>
      </c>
      <c r="D135" s="119">
        <v>98</v>
      </c>
      <c r="E135" s="368" t="s">
        <v>531</v>
      </c>
      <c r="F135" s="405" t="s">
        <v>540</v>
      </c>
    </row>
    <row r="136" spans="2:6">
      <c r="B136" s="405" t="s">
        <v>85</v>
      </c>
      <c r="C136" s="405" t="s">
        <v>20</v>
      </c>
      <c r="D136" s="119">
        <v>98</v>
      </c>
      <c r="E136" s="368" t="s">
        <v>531</v>
      </c>
      <c r="F136" s="405" t="s">
        <v>541</v>
      </c>
    </row>
    <row r="137" spans="2:6">
      <c r="B137" s="405" t="s">
        <v>85</v>
      </c>
      <c r="C137" s="405" t="s">
        <v>20</v>
      </c>
      <c r="D137" s="119">
        <v>112</v>
      </c>
      <c r="E137" s="368" t="s">
        <v>532</v>
      </c>
      <c r="F137" s="405" t="s">
        <v>542</v>
      </c>
    </row>
    <row r="138" spans="2:6">
      <c r="B138" s="405" t="s">
        <v>85</v>
      </c>
      <c r="C138" s="405" t="s">
        <v>20</v>
      </c>
      <c r="D138" s="119">
        <v>112</v>
      </c>
      <c r="E138" s="368" t="s">
        <v>532</v>
      </c>
      <c r="F138" s="405" t="s">
        <v>543</v>
      </c>
    </row>
    <row r="139" spans="2:6">
      <c r="B139" s="405" t="s">
        <v>85</v>
      </c>
      <c r="C139" s="405" t="s">
        <v>20</v>
      </c>
      <c r="D139" s="119">
        <v>112</v>
      </c>
      <c r="E139" s="368" t="s">
        <v>532</v>
      </c>
      <c r="F139" s="405" t="s">
        <v>544</v>
      </c>
    </row>
    <row r="140" spans="2:6">
      <c r="B140" s="405" t="s">
        <v>85</v>
      </c>
      <c r="C140" s="405" t="s">
        <v>20</v>
      </c>
      <c r="D140" s="119">
        <v>112</v>
      </c>
      <c r="E140" s="368" t="s">
        <v>532</v>
      </c>
      <c r="F140" s="405" t="s">
        <v>545</v>
      </c>
    </row>
    <row r="141" spans="2:6">
      <c r="B141" s="405" t="s">
        <v>85</v>
      </c>
      <c r="C141" s="405" t="s">
        <v>20</v>
      </c>
      <c r="D141" s="119">
        <v>118</v>
      </c>
      <c r="E141" s="368" t="s">
        <v>533</v>
      </c>
      <c r="F141" s="405" t="s">
        <v>482</v>
      </c>
    </row>
    <row r="142" spans="2:6">
      <c r="B142" s="405" t="s">
        <v>85</v>
      </c>
      <c r="C142" s="405" t="s">
        <v>20</v>
      </c>
      <c r="D142" s="119">
        <v>118</v>
      </c>
      <c r="E142" s="368" t="s">
        <v>533</v>
      </c>
      <c r="F142" s="405" t="s">
        <v>521</v>
      </c>
    </row>
    <row r="143" spans="2:6">
      <c r="B143" s="405" t="s">
        <v>85</v>
      </c>
      <c r="C143" s="405" t="s">
        <v>20</v>
      </c>
      <c r="D143" s="119">
        <v>118</v>
      </c>
      <c r="E143" s="368" t="s">
        <v>533</v>
      </c>
      <c r="F143" s="405" t="s">
        <v>511</v>
      </c>
    </row>
    <row r="144" spans="2:6" ht="30">
      <c r="B144" s="405" t="s">
        <v>85</v>
      </c>
      <c r="C144" s="405" t="s">
        <v>20</v>
      </c>
      <c r="D144" s="119">
        <v>118</v>
      </c>
      <c r="E144" s="368" t="s">
        <v>533</v>
      </c>
      <c r="F144" s="405" t="s">
        <v>546</v>
      </c>
    </row>
    <row r="145" spans="2:6">
      <c r="B145" s="405" t="s">
        <v>85</v>
      </c>
      <c r="C145" s="405" t="s">
        <v>20</v>
      </c>
      <c r="D145" s="119">
        <v>118</v>
      </c>
      <c r="E145" s="368" t="s">
        <v>533</v>
      </c>
      <c r="F145" s="405" t="s">
        <v>499</v>
      </c>
    </row>
    <row r="146" spans="2:6">
      <c r="B146" s="405" t="s">
        <v>85</v>
      </c>
      <c r="C146" s="405" t="s">
        <v>20</v>
      </c>
      <c r="D146" s="119">
        <v>118</v>
      </c>
      <c r="E146" s="368" t="s">
        <v>533</v>
      </c>
      <c r="F146" s="405" t="s">
        <v>106</v>
      </c>
    </row>
    <row r="147" spans="2:6" ht="30">
      <c r="B147" s="405" t="s">
        <v>85</v>
      </c>
      <c r="C147" s="405" t="s">
        <v>20</v>
      </c>
      <c r="D147" s="119">
        <v>118</v>
      </c>
      <c r="E147" s="368" t="s">
        <v>533</v>
      </c>
      <c r="F147" s="405" t="s">
        <v>547</v>
      </c>
    </row>
    <row r="148" spans="2:6">
      <c r="B148" s="405" t="s">
        <v>85</v>
      </c>
      <c r="C148" s="405" t="s">
        <v>20</v>
      </c>
      <c r="D148" s="119">
        <v>118</v>
      </c>
      <c r="E148" s="368" t="s">
        <v>533</v>
      </c>
      <c r="F148" s="405" t="s">
        <v>548</v>
      </c>
    </row>
    <row r="149" spans="2:6">
      <c r="B149" s="405" t="s">
        <v>85</v>
      </c>
      <c r="C149" s="405" t="s">
        <v>20</v>
      </c>
      <c r="D149" s="119">
        <v>118</v>
      </c>
      <c r="E149" s="368" t="s">
        <v>533</v>
      </c>
      <c r="F149" s="405" t="s">
        <v>102</v>
      </c>
    </row>
    <row r="150" spans="2:6">
      <c r="B150" s="405" t="s">
        <v>85</v>
      </c>
      <c r="C150" s="405" t="s">
        <v>20</v>
      </c>
      <c r="D150" s="119">
        <v>112</v>
      </c>
      <c r="E150" s="368" t="s">
        <v>534</v>
      </c>
      <c r="F150" s="405" t="s">
        <v>549</v>
      </c>
    </row>
    <row r="151" spans="2:6">
      <c r="B151" s="405" t="s">
        <v>85</v>
      </c>
      <c r="C151" s="405" t="s">
        <v>20</v>
      </c>
      <c r="D151" s="119">
        <v>118</v>
      </c>
      <c r="E151" s="368" t="s">
        <v>535</v>
      </c>
      <c r="F151" s="405" t="s">
        <v>550</v>
      </c>
    </row>
    <row r="152" spans="2:6">
      <c r="B152" s="405" t="s">
        <v>85</v>
      </c>
      <c r="C152" s="405" t="s">
        <v>20</v>
      </c>
      <c r="D152" s="119">
        <v>118</v>
      </c>
      <c r="E152" s="368" t="s">
        <v>535</v>
      </c>
      <c r="F152" s="405" t="s">
        <v>551</v>
      </c>
    </row>
    <row r="153" spans="2:6">
      <c r="B153" s="405" t="s">
        <v>85</v>
      </c>
      <c r="C153" s="405" t="s">
        <v>20</v>
      </c>
      <c r="D153" s="119">
        <v>118</v>
      </c>
      <c r="E153" s="368" t="s">
        <v>535</v>
      </c>
      <c r="F153" s="405" t="s">
        <v>496</v>
      </c>
    </row>
    <row r="154" spans="2:6">
      <c r="B154" s="405" t="s">
        <v>85</v>
      </c>
      <c r="C154" s="405" t="s">
        <v>20</v>
      </c>
      <c r="D154" s="119">
        <v>118</v>
      </c>
      <c r="E154" s="368" t="s">
        <v>535</v>
      </c>
      <c r="F154" s="405" t="s">
        <v>552</v>
      </c>
    </row>
    <row r="155" spans="2:6">
      <c r="B155" s="405" t="s">
        <v>85</v>
      </c>
      <c r="C155" s="405" t="s">
        <v>20</v>
      </c>
      <c r="D155" s="119">
        <v>118</v>
      </c>
      <c r="E155" s="368" t="s">
        <v>535</v>
      </c>
      <c r="F155" s="405" t="s">
        <v>553</v>
      </c>
    </row>
    <row r="156" spans="2:6">
      <c r="B156" s="405" t="s">
        <v>85</v>
      </c>
      <c r="C156" s="405" t="s">
        <v>20</v>
      </c>
      <c r="D156" s="119">
        <v>118</v>
      </c>
      <c r="E156" s="368" t="s">
        <v>536</v>
      </c>
      <c r="F156" s="405" t="s">
        <v>102</v>
      </c>
    </row>
    <row r="157" spans="2:6">
      <c r="B157" s="405" t="s">
        <v>85</v>
      </c>
      <c r="C157" s="405" t="s">
        <v>20</v>
      </c>
      <c r="D157" s="119">
        <v>118</v>
      </c>
      <c r="E157" s="368" t="s">
        <v>536</v>
      </c>
      <c r="F157" s="405" t="s">
        <v>498</v>
      </c>
    </row>
    <row r="158" spans="2:6">
      <c r="B158" s="405" t="s">
        <v>85</v>
      </c>
      <c r="C158" s="405" t="s">
        <v>20</v>
      </c>
      <c r="D158" s="119">
        <v>118</v>
      </c>
      <c r="E158" s="368" t="s">
        <v>536</v>
      </c>
      <c r="F158" s="405" t="s">
        <v>488</v>
      </c>
    </row>
    <row r="159" spans="2:6">
      <c r="B159" s="405" t="s">
        <v>85</v>
      </c>
      <c r="C159" s="405" t="s">
        <v>20</v>
      </c>
      <c r="D159" s="119">
        <v>118</v>
      </c>
      <c r="E159" s="368" t="s">
        <v>536</v>
      </c>
      <c r="F159" s="405" t="s">
        <v>105</v>
      </c>
    </row>
    <row r="160" spans="2:6">
      <c r="B160" s="405" t="s">
        <v>85</v>
      </c>
      <c r="C160" s="405" t="s">
        <v>20</v>
      </c>
      <c r="D160" s="119">
        <v>62</v>
      </c>
      <c r="E160" s="368" t="s">
        <v>537</v>
      </c>
      <c r="F160" s="405" t="s">
        <v>499</v>
      </c>
    </row>
    <row r="161" spans="2:6">
      <c r="B161" s="405" t="s">
        <v>85</v>
      </c>
      <c r="C161" s="405" t="s">
        <v>20</v>
      </c>
      <c r="D161" s="119">
        <v>62</v>
      </c>
      <c r="E161" s="368" t="s">
        <v>537</v>
      </c>
      <c r="F161" s="405" t="s">
        <v>521</v>
      </c>
    </row>
    <row r="162" spans="2:6">
      <c r="B162" s="405" t="s">
        <v>85</v>
      </c>
      <c r="C162" s="405" t="s">
        <v>20</v>
      </c>
      <c r="D162" s="119">
        <v>62</v>
      </c>
      <c r="E162" s="368" t="s">
        <v>537</v>
      </c>
      <c r="F162" s="405" t="s">
        <v>105</v>
      </c>
    </row>
    <row r="163" spans="2:6">
      <c r="B163" s="405" t="s">
        <v>85</v>
      </c>
      <c r="C163" s="405" t="s">
        <v>20</v>
      </c>
      <c r="D163" s="119">
        <v>62</v>
      </c>
      <c r="E163" s="368" t="s">
        <v>537</v>
      </c>
      <c r="F163" s="405" t="s">
        <v>548</v>
      </c>
    </row>
    <row r="164" spans="2:6">
      <c r="B164" s="405" t="s">
        <v>85</v>
      </c>
      <c r="C164" s="405" t="s">
        <v>21</v>
      </c>
      <c r="D164" s="119">
        <v>110</v>
      </c>
      <c r="E164" s="368" t="s">
        <v>555</v>
      </c>
      <c r="F164" s="405" t="s">
        <v>549</v>
      </c>
    </row>
    <row r="165" spans="2:6">
      <c r="B165" s="405" t="s">
        <v>85</v>
      </c>
      <c r="C165" s="405" t="s">
        <v>21</v>
      </c>
      <c r="D165" s="119">
        <v>118</v>
      </c>
      <c r="E165" s="368" t="s">
        <v>537</v>
      </c>
      <c r="F165" s="405" t="s">
        <v>499</v>
      </c>
    </row>
    <row r="166" spans="2:6">
      <c r="B166" s="405" t="s">
        <v>85</v>
      </c>
      <c r="C166" s="405" t="s">
        <v>21</v>
      </c>
      <c r="D166" s="119">
        <v>118</v>
      </c>
      <c r="E166" s="368" t="s">
        <v>537</v>
      </c>
      <c r="F166" s="405" t="s">
        <v>521</v>
      </c>
    </row>
    <row r="167" spans="2:6">
      <c r="B167" s="405" t="s">
        <v>85</v>
      </c>
      <c r="C167" s="405" t="s">
        <v>21</v>
      </c>
      <c r="D167" s="119">
        <v>118</v>
      </c>
      <c r="E167" s="368" t="s">
        <v>537</v>
      </c>
      <c r="F167" s="405" t="s">
        <v>105</v>
      </c>
    </row>
    <row r="168" spans="2:6">
      <c r="B168" s="405" t="s">
        <v>85</v>
      </c>
      <c r="C168" s="405" t="s">
        <v>21</v>
      </c>
      <c r="D168" s="119">
        <v>118</v>
      </c>
      <c r="E168" s="368" t="s">
        <v>537</v>
      </c>
      <c r="F168" s="405" t="s">
        <v>548</v>
      </c>
    </row>
    <row r="169" spans="2:6">
      <c r="B169" s="405" t="s">
        <v>85</v>
      </c>
      <c r="C169" s="405" t="s">
        <v>21</v>
      </c>
      <c r="D169" s="119">
        <v>110</v>
      </c>
      <c r="E169" s="368" t="s">
        <v>556</v>
      </c>
      <c r="F169" s="405" t="s">
        <v>496</v>
      </c>
    </row>
    <row r="170" spans="2:6">
      <c r="B170" s="405" t="s">
        <v>85</v>
      </c>
      <c r="C170" s="405" t="s">
        <v>21</v>
      </c>
      <c r="D170" s="119">
        <v>110</v>
      </c>
      <c r="E170" s="368" t="s">
        <v>556</v>
      </c>
      <c r="F170" s="405" t="s">
        <v>511</v>
      </c>
    </row>
    <row r="171" spans="2:6">
      <c r="B171" s="405" t="s">
        <v>85</v>
      </c>
      <c r="C171" s="405" t="s">
        <v>21</v>
      </c>
      <c r="D171" s="119">
        <v>110</v>
      </c>
      <c r="E171" s="368" t="s">
        <v>556</v>
      </c>
      <c r="F171" s="405" t="s">
        <v>560</v>
      </c>
    </row>
    <row r="172" spans="2:6">
      <c r="B172" s="405" t="s">
        <v>85</v>
      </c>
      <c r="C172" s="405" t="s">
        <v>21</v>
      </c>
      <c r="D172" s="119">
        <v>110</v>
      </c>
      <c r="E172" s="368" t="s">
        <v>556</v>
      </c>
      <c r="F172" s="405" t="s">
        <v>105</v>
      </c>
    </row>
    <row r="173" spans="2:6">
      <c r="B173" s="405" t="s">
        <v>85</v>
      </c>
      <c r="C173" s="405" t="s">
        <v>21</v>
      </c>
      <c r="D173" s="119">
        <v>110</v>
      </c>
      <c r="E173" s="368" t="s">
        <v>556</v>
      </c>
      <c r="F173" s="405" t="s">
        <v>488</v>
      </c>
    </row>
    <row r="174" spans="2:6" ht="30">
      <c r="B174" s="405" t="s">
        <v>85</v>
      </c>
      <c r="C174" s="405" t="s">
        <v>21</v>
      </c>
      <c r="D174" s="119">
        <v>110</v>
      </c>
      <c r="E174" s="368" t="s">
        <v>557</v>
      </c>
      <c r="F174" s="405" t="s">
        <v>561</v>
      </c>
    </row>
    <row r="175" spans="2:6">
      <c r="B175" s="405" t="s">
        <v>85</v>
      </c>
      <c r="C175" s="405" t="s">
        <v>21</v>
      </c>
      <c r="D175" s="119">
        <v>110</v>
      </c>
      <c r="E175" s="368" t="s">
        <v>557</v>
      </c>
      <c r="F175" s="405" t="s">
        <v>521</v>
      </c>
    </row>
    <row r="176" spans="2:6">
      <c r="B176" s="405" t="s">
        <v>85</v>
      </c>
      <c r="C176" s="405" t="s">
        <v>21</v>
      </c>
      <c r="D176" s="119">
        <v>110</v>
      </c>
      <c r="E176" s="368" t="s">
        <v>557</v>
      </c>
      <c r="F176" s="405" t="s">
        <v>106</v>
      </c>
    </row>
    <row r="177" spans="2:6">
      <c r="B177" s="405" t="s">
        <v>85</v>
      </c>
      <c r="C177" s="405" t="s">
        <v>21</v>
      </c>
      <c r="D177" s="119">
        <v>110</v>
      </c>
      <c r="E177" s="368" t="s">
        <v>557</v>
      </c>
      <c r="F177" s="405" t="s">
        <v>499</v>
      </c>
    </row>
    <row r="178" spans="2:6">
      <c r="B178" s="405" t="s">
        <v>85</v>
      </c>
      <c r="C178" s="405" t="s">
        <v>21</v>
      </c>
      <c r="D178" s="119">
        <v>118</v>
      </c>
      <c r="E178" s="368" t="s">
        <v>558</v>
      </c>
      <c r="F178" s="405" t="s">
        <v>469</v>
      </c>
    </row>
    <row r="179" spans="2:6">
      <c r="B179" s="405" t="s">
        <v>85</v>
      </c>
      <c r="C179" s="405" t="s">
        <v>21</v>
      </c>
      <c r="D179" s="119">
        <v>118</v>
      </c>
      <c r="E179" s="368" t="s">
        <v>558</v>
      </c>
      <c r="F179" s="405" t="s">
        <v>473</v>
      </c>
    </row>
    <row r="180" spans="2:6">
      <c r="B180" s="405" t="s">
        <v>85</v>
      </c>
      <c r="C180" s="405" t="s">
        <v>21</v>
      </c>
      <c r="D180" s="119">
        <v>118</v>
      </c>
      <c r="E180" s="368" t="s">
        <v>558</v>
      </c>
      <c r="F180" s="405" t="s">
        <v>102</v>
      </c>
    </row>
    <row r="181" spans="2:6" ht="30">
      <c r="B181" s="405" t="s">
        <v>85</v>
      </c>
      <c r="C181" s="405" t="s">
        <v>21</v>
      </c>
      <c r="D181" s="119">
        <v>118</v>
      </c>
      <c r="E181" s="368" t="s">
        <v>559</v>
      </c>
      <c r="F181" s="405" t="s">
        <v>562</v>
      </c>
    </row>
    <row r="182" spans="2:6">
      <c r="B182" s="405" t="s">
        <v>85</v>
      </c>
      <c r="C182" s="405" t="s">
        <v>21</v>
      </c>
      <c r="D182" s="119">
        <v>118</v>
      </c>
      <c r="E182" s="368" t="s">
        <v>559</v>
      </c>
      <c r="F182" s="405" t="s">
        <v>563</v>
      </c>
    </row>
    <row r="183" spans="2:6">
      <c r="B183" s="405" t="s">
        <v>85</v>
      </c>
      <c r="C183" s="405" t="s">
        <v>21</v>
      </c>
      <c r="D183" s="119">
        <v>118</v>
      </c>
      <c r="E183" s="368" t="s">
        <v>559</v>
      </c>
      <c r="F183" s="405" t="s">
        <v>488</v>
      </c>
    </row>
    <row r="184" spans="2:6">
      <c r="B184" s="405" t="s">
        <v>85</v>
      </c>
      <c r="C184" s="405" t="s">
        <v>21</v>
      </c>
      <c r="D184" s="119">
        <v>118</v>
      </c>
      <c r="E184" s="368" t="s">
        <v>559</v>
      </c>
      <c r="F184" s="405" t="s">
        <v>104</v>
      </c>
    </row>
    <row r="185" spans="2:6">
      <c r="B185" s="405" t="s">
        <v>85</v>
      </c>
      <c r="C185" s="405" t="s">
        <v>22</v>
      </c>
      <c r="D185" s="119">
        <v>110</v>
      </c>
      <c r="E185" s="368" t="s">
        <v>565</v>
      </c>
      <c r="F185" s="405" t="s">
        <v>496</v>
      </c>
    </row>
    <row r="186" spans="2:6">
      <c r="B186" s="405" t="s">
        <v>85</v>
      </c>
      <c r="C186" s="405" t="s">
        <v>22</v>
      </c>
      <c r="D186" s="119">
        <v>110</v>
      </c>
      <c r="E186" s="368" t="s">
        <v>565</v>
      </c>
      <c r="F186" s="405" t="s">
        <v>105</v>
      </c>
    </row>
    <row r="187" spans="2:6">
      <c r="B187" s="405" t="s">
        <v>85</v>
      </c>
      <c r="C187" s="405" t="s">
        <v>22</v>
      </c>
      <c r="D187" s="119">
        <v>110</v>
      </c>
      <c r="E187" s="368" t="s">
        <v>565</v>
      </c>
      <c r="F187" s="405" t="s">
        <v>497</v>
      </c>
    </row>
    <row r="188" spans="2:6">
      <c r="B188" s="405" t="s">
        <v>85</v>
      </c>
      <c r="C188" s="405" t="s">
        <v>22</v>
      </c>
      <c r="D188" s="119">
        <v>110</v>
      </c>
      <c r="E188" s="368" t="s">
        <v>565</v>
      </c>
      <c r="F188" s="405" t="s">
        <v>473</v>
      </c>
    </row>
    <row r="189" spans="2:6">
      <c r="B189" s="405" t="s">
        <v>85</v>
      </c>
      <c r="C189" s="405" t="s">
        <v>22</v>
      </c>
      <c r="D189" s="119">
        <v>110</v>
      </c>
      <c r="E189" s="368" t="s">
        <v>566</v>
      </c>
      <c r="F189" s="405" t="s">
        <v>105</v>
      </c>
    </row>
    <row r="190" spans="2:6">
      <c r="B190" s="405" t="s">
        <v>85</v>
      </c>
      <c r="C190" s="405" t="s">
        <v>22</v>
      </c>
      <c r="D190" s="119">
        <v>110</v>
      </c>
      <c r="E190" s="368" t="s">
        <v>566</v>
      </c>
      <c r="F190" s="405" t="s">
        <v>473</v>
      </c>
    </row>
    <row r="191" spans="2:6">
      <c r="B191" s="405" t="s">
        <v>85</v>
      </c>
      <c r="C191" s="405" t="s">
        <v>22</v>
      </c>
      <c r="D191" s="119">
        <v>110</v>
      </c>
      <c r="E191" s="368" t="s">
        <v>566</v>
      </c>
      <c r="F191" s="405" t="s">
        <v>102</v>
      </c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6"/>
  <sheetViews>
    <sheetView topLeftCell="A80" workbookViewId="0">
      <selection activeCell="H109" sqref="H109"/>
    </sheetView>
  </sheetViews>
  <sheetFormatPr defaultColWidth="11.5703125" defaultRowHeight="15"/>
  <cols>
    <col min="1" max="1" width="11.5703125" style="1" customWidth="1"/>
    <col min="2" max="2" width="8.85546875" style="405" customWidth="1"/>
    <col min="3" max="3" width="33.5703125" style="405" customWidth="1"/>
    <col min="4" max="4" width="16.85546875" style="405" customWidth="1"/>
    <col min="5" max="5" width="11.5703125" style="399"/>
    <col min="6" max="6" width="11.5703125" style="405"/>
    <col min="7" max="7" width="38" style="405" customWidth="1"/>
    <col min="8" max="8" width="17" style="405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73" t="s">
        <v>463</v>
      </c>
      <c r="C3" s="474"/>
      <c r="D3" s="475"/>
      <c r="F3" s="473" t="s">
        <v>507</v>
      </c>
      <c r="G3" s="474"/>
      <c r="H3" s="475"/>
    </row>
    <row r="4" spans="2:8" ht="15.75" thickBot="1">
      <c r="B4" s="417" t="s">
        <v>165</v>
      </c>
      <c r="C4" s="426" t="s">
        <v>461</v>
      </c>
      <c r="D4" s="427" t="s">
        <v>163</v>
      </c>
      <c r="F4" s="417" t="s">
        <v>165</v>
      </c>
      <c r="G4" s="426" t="s">
        <v>461</v>
      </c>
      <c r="H4" s="427" t="s">
        <v>163</v>
      </c>
    </row>
    <row r="5" spans="2:8" ht="15.75" thickBot="1">
      <c r="B5" s="417">
        <v>98.5</v>
      </c>
      <c r="C5" s="404" t="s">
        <v>413</v>
      </c>
      <c r="D5" s="414" t="s">
        <v>462</v>
      </c>
      <c r="F5" s="418">
        <v>98</v>
      </c>
      <c r="G5" s="406" t="s">
        <v>509</v>
      </c>
      <c r="H5" s="409" t="s">
        <v>482</v>
      </c>
    </row>
    <row r="6" spans="2:8" ht="15.75" thickBot="1">
      <c r="F6" s="410">
        <v>98</v>
      </c>
      <c r="G6" s="367" t="s">
        <v>509</v>
      </c>
      <c r="H6" s="411" t="s">
        <v>480</v>
      </c>
    </row>
    <row r="7" spans="2:8" ht="15.75" thickBot="1">
      <c r="B7" s="473" t="s">
        <v>464</v>
      </c>
      <c r="C7" s="474"/>
      <c r="D7" s="475"/>
      <c r="F7" s="410">
        <v>98</v>
      </c>
      <c r="G7" s="367" t="s">
        <v>509</v>
      </c>
      <c r="H7" s="411" t="s">
        <v>502</v>
      </c>
    </row>
    <row r="8" spans="2:8" ht="15.75" thickBot="1">
      <c r="B8" s="418" t="s">
        <v>165</v>
      </c>
      <c r="C8" s="424" t="s">
        <v>461</v>
      </c>
      <c r="D8" s="425" t="s">
        <v>163</v>
      </c>
      <c r="F8" s="410">
        <v>98</v>
      </c>
      <c r="G8" s="367" t="s">
        <v>509</v>
      </c>
      <c r="H8" s="411" t="s">
        <v>105</v>
      </c>
    </row>
    <row r="9" spans="2:8">
      <c r="B9" s="418">
        <v>118</v>
      </c>
      <c r="C9" s="406" t="s">
        <v>414</v>
      </c>
      <c r="D9" s="409" t="s">
        <v>102</v>
      </c>
      <c r="F9" s="410">
        <v>98</v>
      </c>
      <c r="G9" s="367" t="s">
        <v>509</v>
      </c>
      <c r="H9" s="411" t="s">
        <v>513</v>
      </c>
    </row>
    <row r="10" spans="2:8">
      <c r="B10" s="410">
        <v>98</v>
      </c>
      <c r="C10" s="367" t="s">
        <v>415</v>
      </c>
      <c r="D10" s="411" t="s">
        <v>102</v>
      </c>
      <c r="F10" s="410">
        <v>98</v>
      </c>
      <c r="G10" s="367" t="s">
        <v>509</v>
      </c>
      <c r="H10" s="411" t="s">
        <v>514</v>
      </c>
    </row>
    <row r="11" spans="2:8">
      <c r="B11" s="410">
        <v>98</v>
      </c>
      <c r="C11" s="367" t="s">
        <v>415</v>
      </c>
      <c r="D11" s="411" t="s">
        <v>104</v>
      </c>
      <c r="F11" s="410">
        <v>98</v>
      </c>
      <c r="G11" s="367" t="s">
        <v>509</v>
      </c>
      <c r="H11" s="411" t="s">
        <v>515</v>
      </c>
    </row>
    <row r="12" spans="2:8">
      <c r="B12" s="410">
        <v>98</v>
      </c>
      <c r="C12" s="367" t="s">
        <v>415</v>
      </c>
      <c r="D12" s="411" t="s">
        <v>105</v>
      </c>
      <c r="F12" s="410">
        <v>98</v>
      </c>
      <c r="G12" s="367" t="s">
        <v>509</v>
      </c>
      <c r="H12" s="411" t="s">
        <v>516</v>
      </c>
    </row>
    <row r="13" spans="2:8">
      <c r="B13" s="410">
        <v>118</v>
      </c>
      <c r="C13" s="367" t="s">
        <v>416</v>
      </c>
      <c r="D13" s="411" t="s">
        <v>465</v>
      </c>
      <c r="F13" s="410">
        <v>98</v>
      </c>
      <c r="G13" s="367" t="s">
        <v>509</v>
      </c>
      <c r="H13" s="411" t="s">
        <v>486</v>
      </c>
    </row>
    <row r="14" spans="2:8">
      <c r="B14" s="410">
        <v>118</v>
      </c>
      <c r="C14" s="367" t="s">
        <v>418</v>
      </c>
      <c r="D14" s="411" t="s">
        <v>465</v>
      </c>
      <c r="F14" s="410">
        <v>98</v>
      </c>
      <c r="G14" s="367" t="s">
        <v>509</v>
      </c>
      <c r="H14" s="411" t="s">
        <v>517</v>
      </c>
    </row>
    <row r="15" spans="2:8">
      <c r="B15" s="410">
        <v>118</v>
      </c>
      <c r="C15" s="367" t="s">
        <v>418</v>
      </c>
      <c r="D15" s="411" t="s">
        <v>466</v>
      </c>
      <c r="F15" s="410">
        <v>98</v>
      </c>
      <c r="G15" s="367" t="s">
        <v>509</v>
      </c>
      <c r="H15" s="411" t="s">
        <v>518</v>
      </c>
    </row>
    <row r="16" spans="2:8">
      <c r="B16" s="410">
        <v>118</v>
      </c>
      <c r="C16" s="367" t="s">
        <v>418</v>
      </c>
      <c r="D16" s="411" t="s">
        <v>467</v>
      </c>
      <c r="F16" s="410">
        <v>98</v>
      </c>
      <c r="G16" s="367" t="s">
        <v>509</v>
      </c>
      <c r="H16" s="411" t="s">
        <v>519</v>
      </c>
    </row>
    <row r="17" spans="2:8">
      <c r="B17" s="410">
        <v>118</v>
      </c>
      <c r="C17" s="367" t="s">
        <v>418</v>
      </c>
      <c r="D17" s="411" t="s">
        <v>468</v>
      </c>
      <c r="F17" s="410" t="s">
        <v>528</v>
      </c>
      <c r="G17" s="367" t="s">
        <v>520</v>
      </c>
      <c r="H17" s="411" t="s">
        <v>521</v>
      </c>
    </row>
    <row r="18" spans="2:8">
      <c r="B18" s="410">
        <v>118</v>
      </c>
      <c r="C18" s="367" t="s">
        <v>418</v>
      </c>
      <c r="D18" s="411" t="s">
        <v>469</v>
      </c>
      <c r="F18" s="410" t="s">
        <v>528</v>
      </c>
      <c r="G18" s="367" t="s">
        <v>520</v>
      </c>
      <c r="H18" s="411" t="s">
        <v>522</v>
      </c>
    </row>
    <row r="19" spans="2:8">
      <c r="B19" s="410">
        <v>118</v>
      </c>
      <c r="C19" s="367" t="s">
        <v>418</v>
      </c>
      <c r="D19" s="411" t="s">
        <v>470</v>
      </c>
      <c r="F19" s="410" t="s">
        <v>528</v>
      </c>
      <c r="G19" s="367" t="s">
        <v>520</v>
      </c>
      <c r="H19" s="411" t="s">
        <v>523</v>
      </c>
    </row>
    <row r="20" spans="2:8">
      <c r="B20" s="410">
        <v>118</v>
      </c>
      <c r="C20" s="367" t="s">
        <v>418</v>
      </c>
      <c r="D20" s="411" t="s">
        <v>471</v>
      </c>
      <c r="F20" s="410" t="s">
        <v>528</v>
      </c>
      <c r="G20" s="367" t="s">
        <v>520</v>
      </c>
      <c r="H20" s="411" t="s">
        <v>499</v>
      </c>
    </row>
    <row r="21" spans="2:8">
      <c r="B21" s="410">
        <v>118</v>
      </c>
      <c r="C21" s="367" t="s">
        <v>418</v>
      </c>
      <c r="D21" s="411" t="s">
        <v>472</v>
      </c>
      <c r="F21" s="410" t="s">
        <v>528</v>
      </c>
      <c r="G21" s="367" t="s">
        <v>520</v>
      </c>
      <c r="H21" s="411" t="s">
        <v>524</v>
      </c>
    </row>
    <row r="22" spans="2:8">
      <c r="B22" s="410">
        <v>98</v>
      </c>
      <c r="C22" s="367" t="s">
        <v>417</v>
      </c>
      <c r="D22" s="411" t="s">
        <v>473</v>
      </c>
      <c r="F22" s="410" t="s">
        <v>528</v>
      </c>
      <c r="G22" s="367" t="s">
        <v>520</v>
      </c>
      <c r="H22" s="411" t="s">
        <v>525</v>
      </c>
    </row>
    <row r="23" spans="2:8">
      <c r="B23" s="410">
        <v>98</v>
      </c>
      <c r="C23" s="367" t="s">
        <v>417</v>
      </c>
      <c r="D23" s="411" t="s">
        <v>102</v>
      </c>
      <c r="F23" s="410" t="s">
        <v>528</v>
      </c>
      <c r="G23" s="367" t="s">
        <v>520</v>
      </c>
      <c r="H23" s="411" t="s">
        <v>526</v>
      </c>
    </row>
    <row r="24" spans="2:8">
      <c r="B24" s="410">
        <v>98</v>
      </c>
      <c r="C24" s="367" t="s">
        <v>419</v>
      </c>
      <c r="D24" s="411" t="s">
        <v>474</v>
      </c>
      <c r="F24" s="410" t="s">
        <v>528</v>
      </c>
      <c r="G24" s="367" t="s">
        <v>520</v>
      </c>
      <c r="H24" s="411" t="s">
        <v>527</v>
      </c>
    </row>
    <row r="25" spans="2:8">
      <c r="B25" s="410">
        <v>98</v>
      </c>
      <c r="C25" s="367" t="s">
        <v>419</v>
      </c>
      <c r="D25" s="411" t="s">
        <v>475</v>
      </c>
      <c r="F25" s="422">
        <v>118</v>
      </c>
      <c r="G25" s="368" t="s">
        <v>508</v>
      </c>
      <c r="H25" s="411"/>
    </row>
    <row r="26" spans="2:8" ht="15.75" thickBot="1">
      <c r="B26" s="410">
        <v>98</v>
      </c>
      <c r="C26" s="367" t="s">
        <v>419</v>
      </c>
      <c r="D26" s="411" t="s">
        <v>476</v>
      </c>
      <c r="F26" s="423">
        <v>110</v>
      </c>
      <c r="G26" s="416" t="s">
        <v>510</v>
      </c>
      <c r="H26" s="413"/>
    </row>
    <row r="27" spans="2:8" ht="15.75" thickBot="1">
      <c r="B27" s="410">
        <v>98</v>
      </c>
      <c r="C27" s="367" t="s">
        <v>419</v>
      </c>
      <c r="D27" s="411" t="s">
        <v>104</v>
      </c>
    </row>
    <row r="28" spans="2:8" ht="15.75" thickBot="1">
      <c r="B28" s="410">
        <v>118</v>
      </c>
      <c r="C28" s="367" t="s">
        <v>420</v>
      </c>
      <c r="D28" s="411" t="s">
        <v>102</v>
      </c>
      <c r="F28" s="473" t="s">
        <v>529</v>
      </c>
      <c r="G28" s="474"/>
      <c r="H28" s="475"/>
    </row>
    <row r="29" spans="2:8" ht="15.75" thickBot="1">
      <c r="B29" s="410">
        <v>118</v>
      </c>
      <c r="C29" s="367" t="s">
        <v>420</v>
      </c>
      <c r="D29" s="411" t="s">
        <v>477</v>
      </c>
      <c r="F29" s="417" t="s">
        <v>165</v>
      </c>
      <c r="G29" s="426" t="s">
        <v>461</v>
      </c>
      <c r="H29" s="427" t="s">
        <v>163</v>
      </c>
    </row>
    <row r="30" spans="2:8">
      <c r="B30" s="410">
        <v>118</v>
      </c>
      <c r="C30" s="367" t="s">
        <v>420</v>
      </c>
      <c r="D30" s="411" t="s">
        <v>478</v>
      </c>
      <c r="F30" s="400">
        <v>110</v>
      </c>
      <c r="G30" s="415" t="s">
        <v>530</v>
      </c>
      <c r="H30" s="409" t="s">
        <v>521</v>
      </c>
    </row>
    <row r="31" spans="2:8">
      <c r="B31" s="410">
        <v>118</v>
      </c>
      <c r="C31" s="367" t="s">
        <v>420</v>
      </c>
      <c r="D31" s="411" t="s">
        <v>479</v>
      </c>
      <c r="F31" s="401">
        <v>110</v>
      </c>
      <c r="G31" s="368" t="s">
        <v>530</v>
      </c>
      <c r="H31" s="411" t="s">
        <v>522</v>
      </c>
    </row>
    <row r="32" spans="2:8">
      <c r="B32" s="410">
        <v>118</v>
      </c>
      <c r="C32" s="367" t="s">
        <v>420</v>
      </c>
      <c r="D32" s="411" t="s">
        <v>480</v>
      </c>
      <c r="F32" s="401">
        <v>110</v>
      </c>
      <c r="G32" s="368" t="s">
        <v>530</v>
      </c>
      <c r="H32" s="411" t="s">
        <v>523</v>
      </c>
    </row>
    <row r="33" spans="2:8">
      <c r="B33" s="410">
        <v>118</v>
      </c>
      <c r="C33" s="367" t="s">
        <v>420</v>
      </c>
      <c r="D33" s="411" t="s">
        <v>481</v>
      </c>
      <c r="F33" s="401">
        <v>110</v>
      </c>
      <c r="G33" s="368" t="s">
        <v>530</v>
      </c>
      <c r="H33" s="411" t="s">
        <v>499</v>
      </c>
    </row>
    <row r="34" spans="2:8">
      <c r="B34" s="410">
        <v>118</v>
      </c>
      <c r="C34" s="367" t="s">
        <v>420</v>
      </c>
      <c r="D34" s="411" t="s">
        <v>482</v>
      </c>
      <c r="F34" s="401">
        <v>110</v>
      </c>
      <c r="G34" s="368" t="s">
        <v>530</v>
      </c>
      <c r="H34" s="411" t="s">
        <v>524</v>
      </c>
    </row>
    <row r="35" spans="2:8">
      <c r="B35" s="410">
        <v>94</v>
      </c>
      <c r="C35" s="367" t="s">
        <v>421</v>
      </c>
      <c r="D35" s="411" t="s">
        <v>493</v>
      </c>
      <c r="F35" s="401">
        <v>110</v>
      </c>
      <c r="G35" s="368" t="s">
        <v>530</v>
      </c>
      <c r="H35" s="411" t="s">
        <v>525</v>
      </c>
    </row>
    <row r="36" spans="2:8">
      <c r="B36" s="410">
        <v>94</v>
      </c>
      <c r="C36" s="367" t="s">
        <v>422</v>
      </c>
      <c r="D36" s="411" t="s">
        <v>493</v>
      </c>
      <c r="F36" s="401">
        <v>110</v>
      </c>
      <c r="G36" s="368" t="s">
        <v>530</v>
      </c>
      <c r="H36" s="411" t="s">
        <v>526</v>
      </c>
    </row>
    <row r="37" spans="2:8">
      <c r="B37" s="410">
        <v>78</v>
      </c>
      <c r="C37" s="367" t="s">
        <v>423</v>
      </c>
      <c r="D37" s="411" t="s">
        <v>102</v>
      </c>
      <c r="F37" s="401">
        <v>110</v>
      </c>
      <c r="G37" s="368" t="s">
        <v>530</v>
      </c>
      <c r="H37" s="411" t="s">
        <v>527</v>
      </c>
    </row>
    <row r="38" spans="2:8" ht="30">
      <c r="B38" s="410">
        <v>118</v>
      </c>
      <c r="C38" s="367" t="s">
        <v>424</v>
      </c>
      <c r="D38" s="411" t="s">
        <v>102</v>
      </c>
      <c r="F38" s="401">
        <v>98</v>
      </c>
      <c r="G38" s="368" t="s">
        <v>531</v>
      </c>
      <c r="H38" s="411" t="s">
        <v>538</v>
      </c>
    </row>
    <row r="39" spans="2:8">
      <c r="B39" s="410">
        <v>98</v>
      </c>
      <c r="C39" s="367" t="s">
        <v>425</v>
      </c>
      <c r="D39" s="411" t="s">
        <v>483</v>
      </c>
      <c r="F39" s="401">
        <v>98</v>
      </c>
      <c r="G39" s="368" t="s">
        <v>531</v>
      </c>
      <c r="H39" s="411" t="s">
        <v>539</v>
      </c>
    </row>
    <row r="40" spans="2:8">
      <c r="B40" s="410">
        <v>98</v>
      </c>
      <c r="C40" s="367" t="s">
        <v>425</v>
      </c>
      <c r="D40" s="411" t="s">
        <v>473</v>
      </c>
      <c r="F40" s="401">
        <v>98</v>
      </c>
      <c r="G40" s="368" t="s">
        <v>531</v>
      </c>
      <c r="H40" s="411" t="s">
        <v>540</v>
      </c>
    </row>
    <row r="41" spans="2:8">
      <c r="B41" s="410">
        <v>98</v>
      </c>
      <c r="C41" s="367" t="s">
        <v>425</v>
      </c>
      <c r="D41" s="411" t="s">
        <v>484</v>
      </c>
      <c r="F41" s="401">
        <v>98</v>
      </c>
      <c r="G41" s="368" t="s">
        <v>531</v>
      </c>
      <c r="H41" s="411" t="s">
        <v>541</v>
      </c>
    </row>
    <row r="42" spans="2:8">
      <c r="B42" s="410">
        <v>98</v>
      </c>
      <c r="C42" s="367" t="s">
        <v>425</v>
      </c>
      <c r="D42" s="411" t="s">
        <v>485</v>
      </c>
      <c r="F42" s="401">
        <v>112</v>
      </c>
      <c r="G42" s="368" t="s">
        <v>532</v>
      </c>
      <c r="H42" s="411" t="s">
        <v>542</v>
      </c>
    </row>
    <row r="43" spans="2:8">
      <c r="B43" s="410">
        <v>98</v>
      </c>
      <c r="C43" s="367" t="s">
        <v>425</v>
      </c>
      <c r="D43" s="411" t="s">
        <v>486</v>
      </c>
      <c r="F43" s="401">
        <v>112</v>
      </c>
      <c r="G43" s="368" t="s">
        <v>532</v>
      </c>
      <c r="H43" s="411" t="s">
        <v>543</v>
      </c>
    </row>
    <row r="44" spans="2:8">
      <c r="B44" s="410">
        <v>98</v>
      </c>
      <c r="C44" s="367" t="s">
        <v>425</v>
      </c>
      <c r="D44" s="411" t="s">
        <v>487</v>
      </c>
      <c r="F44" s="401">
        <v>112</v>
      </c>
      <c r="G44" s="368" t="s">
        <v>532</v>
      </c>
      <c r="H44" s="411" t="s">
        <v>544</v>
      </c>
    </row>
    <row r="45" spans="2:8">
      <c r="B45" s="410">
        <v>98</v>
      </c>
      <c r="C45" s="367" t="s">
        <v>425</v>
      </c>
      <c r="D45" s="411" t="s">
        <v>488</v>
      </c>
      <c r="F45" s="401">
        <v>112</v>
      </c>
      <c r="G45" s="368" t="s">
        <v>532</v>
      </c>
      <c r="H45" s="411" t="s">
        <v>545</v>
      </c>
    </row>
    <row r="46" spans="2:8">
      <c r="B46" s="410">
        <v>98</v>
      </c>
      <c r="C46" s="367" t="s">
        <v>425</v>
      </c>
      <c r="D46" s="411" t="s">
        <v>489</v>
      </c>
      <c r="F46" s="401">
        <v>118</v>
      </c>
      <c r="G46" s="368" t="s">
        <v>533</v>
      </c>
      <c r="H46" s="411" t="s">
        <v>482</v>
      </c>
    </row>
    <row r="47" spans="2:8">
      <c r="B47" s="410">
        <v>98</v>
      </c>
      <c r="C47" s="367" t="s">
        <v>425</v>
      </c>
      <c r="D47" s="411" t="s">
        <v>490</v>
      </c>
      <c r="F47" s="401">
        <v>118</v>
      </c>
      <c r="G47" s="368" t="s">
        <v>533</v>
      </c>
      <c r="H47" s="411" t="s">
        <v>521</v>
      </c>
    </row>
    <row r="48" spans="2:8">
      <c r="B48" s="410">
        <v>98</v>
      </c>
      <c r="C48" s="367" t="s">
        <v>425</v>
      </c>
      <c r="D48" s="411" t="s">
        <v>491</v>
      </c>
      <c r="F48" s="401">
        <v>118</v>
      </c>
      <c r="G48" s="368" t="s">
        <v>533</v>
      </c>
      <c r="H48" s="411" t="s">
        <v>511</v>
      </c>
    </row>
    <row r="49" spans="2:8">
      <c r="B49" s="410">
        <v>98</v>
      </c>
      <c r="C49" s="367" t="s">
        <v>425</v>
      </c>
      <c r="D49" s="411" t="s">
        <v>492</v>
      </c>
      <c r="F49" s="401">
        <v>118</v>
      </c>
      <c r="G49" s="368" t="s">
        <v>533</v>
      </c>
      <c r="H49" s="411" t="s">
        <v>546</v>
      </c>
    </row>
    <row r="50" spans="2:8" ht="15.75" thickBot="1">
      <c r="B50" s="412">
        <v>118</v>
      </c>
      <c r="C50" s="407" t="s">
        <v>443</v>
      </c>
      <c r="D50" s="413" t="s">
        <v>494</v>
      </c>
      <c r="F50" s="401">
        <v>118</v>
      </c>
      <c r="G50" s="368" t="s">
        <v>533</v>
      </c>
      <c r="H50" s="411" t="s">
        <v>499</v>
      </c>
    </row>
    <row r="51" spans="2:8" ht="15.75" thickBot="1">
      <c r="F51" s="401">
        <v>118</v>
      </c>
      <c r="G51" s="368" t="s">
        <v>533</v>
      </c>
      <c r="H51" s="411" t="s">
        <v>106</v>
      </c>
    </row>
    <row r="52" spans="2:8" ht="15.75" thickBot="1">
      <c r="B52" s="473" t="s">
        <v>495</v>
      </c>
      <c r="C52" s="474"/>
      <c r="D52" s="475"/>
      <c r="E52" s="1"/>
      <c r="F52" s="401">
        <v>118</v>
      </c>
      <c r="G52" s="368" t="s">
        <v>533</v>
      </c>
      <c r="H52" s="411" t="s">
        <v>547</v>
      </c>
    </row>
    <row r="53" spans="2:8" ht="15.75" thickBot="1">
      <c r="B53" s="417" t="s">
        <v>165</v>
      </c>
      <c r="C53" s="426" t="s">
        <v>461</v>
      </c>
      <c r="D53" s="427" t="s">
        <v>163</v>
      </c>
      <c r="E53" s="1"/>
      <c r="F53" s="401">
        <v>118</v>
      </c>
      <c r="G53" s="368" t="s">
        <v>533</v>
      </c>
      <c r="H53" s="411" t="s">
        <v>548</v>
      </c>
    </row>
    <row r="54" spans="2:8">
      <c r="B54" s="410">
        <v>118</v>
      </c>
      <c r="C54" s="367" t="s">
        <v>426</v>
      </c>
      <c r="D54" s="411" t="s">
        <v>465</v>
      </c>
      <c r="E54" s="1"/>
      <c r="F54" s="401">
        <v>118</v>
      </c>
      <c r="G54" s="368" t="s">
        <v>533</v>
      </c>
      <c r="H54" s="411" t="s">
        <v>102</v>
      </c>
    </row>
    <row r="55" spans="2:8">
      <c r="B55" s="410">
        <v>118</v>
      </c>
      <c r="C55" s="367" t="s">
        <v>426</v>
      </c>
      <c r="D55" s="411" t="s">
        <v>473</v>
      </c>
      <c r="E55" s="1"/>
      <c r="F55" s="401">
        <v>112</v>
      </c>
      <c r="G55" s="368" t="s">
        <v>534</v>
      </c>
      <c r="H55" s="411" t="s">
        <v>549</v>
      </c>
    </row>
    <row r="56" spans="2:8">
      <c r="B56" s="410">
        <v>118</v>
      </c>
      <c r="C56" s="367" t="s">
        <v>426</v>
      </c>
      <c r="D56" s="411" t="s">
        <v>466</v>
      </c>
      <c r="E56" s="1"/>
      <c r="F56" s="401">
        <v>118</v>
      </c>
      <c r="G56" s="368" t="s">
        <v>535</v>
      </c>
      <c r="H56" s="411" t="s">
        <v>550</v>
      </c>
    </row>
    <row r="57" spans="2:8">
      <c r="B57" s="410">
        <v>118</v>
      </c>
      <c r="C57" s="367" t="s">
        <v>426</v>
      </c>
      <c r="D57" s="411" t="s">
        <v>105</v>
      </c>
      <c r="E57" s="1"/>
      <c r="F57" s="401">
        <v>118</v>
      </c>
      <c r="G57" s="368" t="s">
        <v>535</v>
      </c>
      <c r="H57" s="411" t="s">
        <v>551</v>
      </c>
    </row>
    <row r="58" spans="2:8">
      <c r="B58" s="410">
        <v>118</v>
      </c>
      <c r="C58" s="367" t="s">
        <v>426</v>
      </c>
      <c r="D58" s="411" t="s">
        <v>496</v>
      </c>
      <c r="E58" s="1"/>
      <c r="F58" s="401">
        <v>118</v>
      </c>
      <c r="G58" s="368" t="s">
        <v>535</v>
      </c>
      <c r="H58" s="411" t="s">
        <v>496</v>
      </c>
    </row>
    <row r="59" spans="2:8">
      <c r="B59" s="410">
        <v>98</v>
      </c>
      <c r="C59" s="367" t="s">
        <v>433</v>
      </c>
      <c r="D59" s="411" t="s">
        <v>102</v>
      </c>
      <c r="E59" s="1"/>
      <c r="F59" s="401">
        <v>118</v>
      </c>
      <c r="G59" s="368" t="s">
        <v>535</v>
      </c>
      <c r="H59" s="411" t="s">
        <v>552</v>
      </c>
    </row>
    <row r="60" spans="2:8">
      <c r="B60" s="410">
        <v>98</v>
      </c>
      <c r="C60" s="367" t="s">
        <v>433</v>
      </c>
      <c r="D60" s="411" t="s">
        <v>497</v>
      </c>
      <c r="E60" s="1"/>
      <c r="F60" s="401">
        <v>118</v>
      </c>
      <c r="G60" s="368" t="s">
        <v>535</v>
      </c>
      <c r="H60" s="411" t="s">
        <v>553</v>
      </c>
    </row>
    <row r="61" spans="2:8">
      <c r="B61" s="410">
        <v>98</v>
      </c>
      <c r="C61" s="367" t="s">
        <v>433</v>
      </c>
      <c r="D61" s="411" t="s">
        <v>105</v>
      </c>
      <c r="E61" s="1"/>
      <c r="F61" s="401">
        <v>118</v>
      </c>
      <c r="G61" s="368" t="s">
        <v>536</v>
      </c>
      <c r="H61" s="411" t="s">
        <v>102</v>
      </c>
    </row>
    <row r="62" spans="2:8">
      <c r="B62" s="410">
        <v>98</v>
      </c>
      <c r="C62" s="367" t="s">
        <v>433</v>
      </c>
      <c r="D62" s="411" t="s">
        <v>498</v>
      </c>
      <c r="E62" s="1"/>
      <c r="F62" s="401">
        <v>118</v>
      </c>
      <c r="G62" s="368" t="s">
        <v>536</v>
      </c>
      <c r="H62" s="411" t="s">
        <v>498</v>
      </c>
    </row>
    <row r="63" spans="2:8">
      <c r="B63" s="410">
        <v>98</v>
      </c>
      <c r="C63" s="367" t="s">
        <v>432</v>
      </c>
      <c r="D63" s="411" t="s">
        <v>483</v>
      </c>
      <c r="E63" s="1"/>
      <c r="F63" s="401">
        <v>118</v>
      </c>
      <c r="G63" s="368" t="s">
        <v>536</v>
      </c>
      <c r="H63" s="411" t="s">
        <v>488</v>
      </c>
    </row>
    <row r="64" spans="2:8">
      <c r="B64" s="410">
        <v>98</v>
      </c>
      <c r="C64" s="367" t="s">
        <v>432</v>
      </c>
      <c r="D64" s="411" t="s">
        <v>497</v>
      </c>
      <c r="E64" s="119"/>
      <c r="F64" s="401">
        <v>118</v>
      </c>
      <c r="G64" s="368" t="s">
        <v>536</v>
      </c>
      <c r="H64" s="411" t="s">
        <v>105</v>
      </c>
    </row>
    <row r="65" spans="2:8">
      <c r="B65" s="410">
        <v>118</v>
      </c>
      <c r="C65" s="367" t="s">
        <v>428</v>
      </c>
      <c r="D65" s="411" t="s">
        <v>483</v>
      </c>
      <c r="E65" s="1"/>
      <c r="F65" s="401">
        <v>62</v>
      </c>
      <c r="G65" s="368" t="s">
        <v>537</v>
      </c>
      <c r="H65" s="411" t="s">
        <v>499</v>
      </c>
    </row>
    <row r="66" spans="2:8">
      <c r="B66" s="410">
        <v>118</v>
      </c>
      <c r="C66" s="367" t="s">
        <v>428</v>
      </c>
      <c r="D66" s="411" t="s">
        <v>473</v>
      </c>
      <c r="E66" s="1"/>
      <c r="F66" s="401">
        <v>62</v>
      </c>
      <c r="G66" s="368" t="s">
        <v>537</v>
      </c>
      <c r="H66" s="411" t="s">
        <v>521</v>
      </c>
    </row>
    <row r="67" spans="2:8">
      <c r="B67" s="410">
        <v>118</v>
      </c>
      <c r="C67" s="367" t="s">
        <v>428</v>
      </c>
      <c r="D67" s="411" t="s">
        <v>106</v>
      </c>
      <c r="E67" s="1"/>
      <c r="F67" s="401">
        <v>62</v>
      </c>
      <c r="G67" s="368" t="s">
        <v>537</v>
      </c>
      <c r="H67" s="411" t="s">
        <v>105</v>
      </c>
    </row>
    <row r="68" spans="2:8" ht="15.75" thickBot="1">
      <c r="B68" s="410">
        <v>118</v>
      </c>
      <c r="C68" s="367" t="s">
        <v>428</v>
      </c>
      <c r="D68" s="411" t="s">
        <v>487</v>
      </c>
      <c r="E68" s="1"/>
      <c r="F68" s="402">
        <v>62</v>
      </c>
      <c r="G68" s="416" t="s">
        <v>537</v>
      </c>
      <c r="H68" s="413" t="s">
        <v>548</v>
      </c>
    </row>
    <row r="69" spans="2:8" ht="15.75" thickBot="1">
      <c r="B69" s="410">
        <v>98</v>
      </c>
      <c r="C69" s="367" t="s">
        <v>434</v>
      </c>
      <c r="D69" s="411" t="s">
        <v>496</v>
      </c>
      <c r="E69" s="1"/>
    </row>
    <row r="70" spans="2:8" ht="15.75" thickBot="1">
      <c r="B70" s="410">
        <v>98</v>
      </c>
      <c r="C70" s="367" t="s">
        <v>434</v>
      </c>
      <c r="D70" s="411" t="s">
        <v>499</v>
      </c>
      <c r="E70" s="1"/>
      <c r="F70" s="473" t="s">
        <v>554</v>
      </c>
      <c r="G70" s="474"/>
      <c r="H70" s="475"/>
    </row>
    <row r="71" spans="2:8" ht="15.75" thickBot="1">
      <c r="B71" s="410">
        <v>98</v>
      </c>
      <c r="C71" s="367" t="s">
        <v>434</v>
      </c>
      <c r="D71" s="411" t="s">
        <v>486</v>
      </c>
      <c r="E71" s="1"/>
      <c r="F71" s="417" t="s">
        <v>165</v>
      </c>
      <c r="G71" s="426" t="s">
        <v>461</v>
      </c>
      <c r="H71" s="427" t="s">
        <v>163</v>
      </c>
    </row>
    <row r="72" spans="2:8">
      <c r="B72" s="410">
        <v>98</v>
      </c>
      <c r="C72" s="367" t="s">
        <v>434</v>
      </c>
      <c r="D72" s="411" t="s">
        <v>500</v>
      </c>
      <c r="E72" s="1"/>
      <c r="F72" s="400">
        <v>110</v>
      </c>
      <c r="G72" s="415" t="s">
        <v>555</v>
      </c>
      <c r="H72" s="409" t="s">
        <v>549</v>
      </c>
    </row>
    <row r="73" spans="2:8">
      <c r="B73" s="410">
        <v>98</v>
      </c>
      <c r="C73" s="367" t="s">
        <v>434</v>
      </c>
      <c r="D73" s="411" t="s">
        <v>469</v>
      </c>
      <c r="E73" s="1"/>
      <c r="F73" s="401">
        <v>118</v>
      </c>
      <c r="G73" s="368" t="s">
        <v>537</v>
      </c>
      <c r="H73" s="411" t="s">
        <v>499</v>
      </c>
    </row>
    <row r="74" spans="2:8">
      <c r="B74" s="410">
        <v>118</v>
      </c>
      <c r="C74" s="367" t="s">
        <v>427</v>
      </c>
      <c r="D74" s="411" t="s">
        <v>102</v>
      </c>
      <c r="F74" s="401">
        <v>118</v>
      </c>
      <c r="G74" s="368" t="s">
        <v>537</v>
      </c>
      <c r="H74" s="411" t="s">
        <v>521</v>
      </c>
    </row>
    <row r="75" spans="2:8" ht="30">
      <c r="B75" s="410">
        <v>94</v>
      </c>
      <c r="C75" s="367" t="s">
        <v>429</v>
      </c>
      <c r="D75" s="411" t="s">
        <v>102</v>
      </c>
      <c r="F75" s="401">
        <v>118</v>
      </c>
      <c r="G75" s="368" t="s">
        <v>537</v>
      </c>
      <c r="H75" s="411" t="s">
        <v>105</v>
      </c>
    </row>
    <row r="76" spans="2:8" ht="30">
      <c r="B76" s="410">
        <v>98.5</v>
      </c>
      <c r="C76" s="367" t="s">
        <v>430</v>
      </c>
      <c r="D76" s="411" t="s">
        <v>102</v>
      </c>
      <c r="F76" s="401">
        <v>118</v>
      </c>
      <c r="G76" s="368" t="s">
        <v>537</v>
      </c>
      <c r="H76" s="411" t="s">
        <v>548</v>
      </c>
    </row>
    <row r="77" spans="2:8" ht="30.75" thickBot="1">
      <c r="B77" s="412">
        <v>78</v>
      </c>
      <c r="C77" s="407" t="s">
        <v>431</v>
      </c>
      <c r="D77" s="413" t="s">
        <v>102</v>
      </c>
      <c r="F77" s="401">
        <v>110</v>
      </c>
      <c r="G77" s="368" t="s">
        <v>556</v>
      </c>
      <c r="H77" s="411" t="s">
        <v>496</v>
      </c>
    </row>
    <row r="78" spans="2:8">
      <c r="E78" s="1"/>
      <c r="F78" s="401">
        <v>110</v>
      </c>
      <c r="G78" s="368" t="s">
        <v>556</v>
      </c>
      <c r="H78" s="411" t="s">
        <v>511</v>
      </c>
    </row>
    <row r="79" spans="2:8" ht="15.75" thickBot="1">
      <c r="E79" s="1"/>
      <c r="F79" s="401">
        <v>110</v>
      </c>
      <c r="G79" s="368" t="s">
        <v>556</v>
      </c>
      <c r="H79" s="411" t="s">
        <v>560</v>
      </c>
    </row>
    <row r="80" spans="2:8" ht="15.75" thickBot="1">
      <c r="B80" s="473" t="s">
        <v>501</v>
      </c>
      <c r="C80" s="474"/>
      <c r="D80" s="475"/>
      <c r="E80" s="1"/>
      <c r="F80" s="401">
        <v>110</v>
      </c>
      <c r="G80" s="368" t="s">
        <v>556</v>
      </c>
      <c r="H80" s="411" t="s">
        <v>105</v>
      </c>
    </row>
    <row r="81" spans="2:8" ht="15.75" thickBot="1">
      <c r="B81" s="417" t="s">
        <v>165</v>
      </c>
      <c r="C81" s="426" t="s">
        <v>461</v>
      </c>
      <c r="D81" s="427" t="s">
        <v>163</v>
      </c>
      <c r="E81" s="1"/>
      <c r="F81" s="401">
        <v>110</v>
      </c>
      <c r="G81" s="368" t="s">
        <v>556</v>
      </c>
      <c r="H81" s="411" t="s">
        <v>488</v>
      </c>
    </row>
    <row r="82" spans="2:8">
      <c r="B82" s="418">
        <v>98</v>
      </c>
      <c r="C82" s="406" t="s">
        <v>435</v>
      </c>
      <c r="D82" s="409" t="s">
        <v>485</v>
      </c>
      <c r="E82" s="1"/>
      <c r="F82" s="401">
        <v>110</v>
      </c>
      <c r="G82" s="368" t="s">
        <v>557</v>
      </c>
      <c r="H82" s="411" t="s">
        <v>561</v>
      </c>
    </row>
    <row r="83" spans="2:8">
      <c r="B83" s="410">
        <v>98</v>
      </c>
      <c r="C83" s="367" t="s">
        <v>435</v>
      </c>
      <c r="D83" s="411" t="s">
        <v>496</v>
      </c>
      <c r="E83" s="1"/>
      <c r="F83" s="401">
        <v>110</v>
      </c>
      <c r="G83" s="368" t="s">
        <v>557</v>
      </c>
      <c r="H83" s="411" t="s">
        <v>521</v>
      </c>
    </row>
    <row r="84" spans="2:8">
      <c r="B84" s="410">
        <v>118</v>
      </c>
      <c r="C84" s="367" t="s">
        <v>436</v>
      </c>
      <c r="D84" s="411" t="s">
        <v>483</v>
      </c>
      <c r="E84" s="1"/>
      <c r="F84" s="401">
        <v>110</v>
      </c>
      <c r="G84" s="368" t="s">
        <v>557</v>
      </c>
      <c r="H84" s="411" t="s">
        <v>106</v>
      </c>
    </row>
    <row r="85" spans="2:8">
      <c r="B85" s="410">
        <v>118</v>
      </c>
      <c r="C85" s="367" t="s">
        <v>436</v>
      </c>
      <c r="D85" s="411" t="s">
        <v>466</v>
      </c>
      <c r="E85" s="1"/>
      <c r="F85" s="401">
        <v>110</v>
      </c>
      <c r="G85" s="368" t="s">
        <v>557</v>
      </c>
      <c r="H85" s="411" t="s">
        <v>499</v>
      </c>
    </row>
    <row r="86" spans="2:8">
      <c r="B86" s="410">
        <v>118</v>
      </c>
      <c r="C86" s="367" t="s">
        <v>436</v>
      </c>
      <c r="D86" s="411" t="s">
        <v>105</v>
      </c>
      <c r="E86" s="1"/>
      <c r="F86" s="401">
        <v>118</v>
      </c>
      <c r="G86" s="368" t="s">
        <v>558</v>
      </c>
      <c r="H86" s="411" t="s">
        <v>469</v>
      </c>
    </row>
    <row r="87" spans="2:8">
      <c r="B87" s="410">
        <v>118</v>
      </c>
      <c r="C87" s="367" t="s">
        <v>436</v>
      </c>
      <c r="D87" s="411" t="s">
        <v>492</v>
      </c>
      <c r="E87" s="1"/>
      <c r="F87" s="401">
        <v>118</v>
      </c>
      <c r="G87" s="368" t="s">
        <v>558</v>
      </c>
      <c r="H87" s="411" t="s">
        <v>473</v>
      </c>
    </row>
    <row r="88" spans="2:8">
      <c r="B88" s="410">
        <v>118</v>
      </c>
      <c r="C88" s="367" t="s">
        <v>436</v>
      </c>
      <c r="D88" s="411" t="s">
        <v>502</v>
      </c>
      <c r="E88" s="1"/>
      <c r="F88" s="401">
        <v>118</v>
      </c>
      <c r="G88" s="368" t="s">
        <v>558</v>
      </c>
      <c r="H88" s="411" t="s">
        <v>102</v>
      </c>
    </row>
    <row r="89" spans="2:8">
      <c r="B89" s="410">
        <v>118</v>
      </c>
      <c r="C89" s="367" t="s">
        <v>437</v>
      </c>
      <c r="D89" s="411" t="s">
        <v>102</v>
      </c>
      <c r="E89" s="1"/>
      <c r="F89" s="401">
        <v>118</v>
      </c>
      <c r="G89" s="368" t="s">
        <v>559</v>
      </c>
      <c r="H89" s="411" t="s">
        <v>562</v>
      </c>
    </row>
    <row r="90" spans="2:8">
      <c r="B90" s="410">
        <v>118</v>
      </c>
      <c r="C90" s="367" t="s">
        <v>437</v>
      </c>
      <c r="D90" s="411" t="s">
        <v>497</v>
      </c>
      <c r="E90" s="1"/>
      <c r="F90" s="401">
        <v>118</v>
      </c>
      <c r="G90" s="368" t="s">
        <v>559</v>
      </c>
      <c r="H90" s="411" t="s">
        <v>563</v>
      </c>
    </row>
    <row r="91" spans="2:8">
      <c r="B91" s="410">
        <v>118</v>
      </c>
      <c r="C91" s="367" t="s">
        <v>437</v>
      </c>
      <c r="D91" s="411" t="s">
        <v>484</v>
      </c>
      <c r="E91" s="1"/>
      <c r="F91" s="401">
        <v>118</v>
      </c>
      <c r="G91" s="368" t="s">
        <v>559</v>
      </c>
      <c r="H91" s="411" t="s">
        <v>488</v>
      </c>
    </row>
    <row r="92" spans="2:8" ht="15.75" thickBot="1">
      <c r="B92" s="410">
        <v>118</v>
      </c>
      <c r="C92" s="367" t="s">
        <v>437</v>
      </c>
      <c r="D92" s="411" t="s">
        <v>485</v>
      </c>
      <c r="E92" s="1"/>
      <c r="F92" s="402">
        <v>118</v>
      </c>
      <c r="G92" s="416" t="s">
        <v>559</v>
      </c>
      <c r="H92" s="413" t="s">
        <v>104</v>
      </c>
    </row>
    <row r="93" spans="2:8" ht="15.75" thickBot="1">
      <c r="B93" s="410">
        <v>118</v>
      </c>
      <c r="C93" s="367" t="s">
        <v>437</v>
      </c>
      <c r="D93" s="411" t="s">
        <v>502</v>
      </c>
      <c r="E93" s="1"/>
    </row>
    <row r="94" spans="2:8" ht="15.75" thickBot="1">
      <c r="B94" s="410">
        <v>118</v>
      </c>
      <c r="C94" s="367" t="s">
        <v>438</v>
      </c>
      <c r="D94" s="411" t="s">
        <v>483</v>
      </c>
      <c r="E94" s="1"/>
      <c r="F94" s="473" t="s">
        <v>564</v>
      </c>
      <c r="G94" s="474"/>
      <c r="H94" s="475"/>
    </row>
    <row r="95" spans="2:8" ht="15.75" thickBot="1">
      <c r="B95" s="410">
        <v>118</v>
      </c>
      <c r="C95" s="367" t="s">
        <v>438</v>
      </c>
      <c r="D95" s="411" t="s">
        <v>473</v>
      </c>
      <c r="E95" s="1"/>
      <c r="F95" s="418" t="s">
        <v>165</v>
      </c>
      <c r="G95" s="424" t="s">
        <v>461</v>
      </c>
      <c r="H95" s="425" t="s">
        <v>163</v>
      </c>
    </row>
    <row r="96" spans="2:8">
      <c r="B96" s="410">
        <v>118</v>
      </c>
      <c r="C96" s="367" t="s">
        <v>438</v>
      </c>
      <c r="D96" s="411" t="s">
        <v>106</v>
      </c>
      <c r="E96" s="1"/>
      <c r="F96" s="400">
        <v>110</v>
      </c>
      <c r="G96" s="415" t="s">
        <v>565</v>
      </c>
      <c r="H96" s="409" t="s">
        <v>496</v>
      </c>
    </row>
    <row r="97" spans="2:8">
      <c r="B97" s="410">
        <v>118</v>
      </c>
      <c r="C97" s="367" t="s">
        <v>438</v>
      </c>
      <c r="D97" s="411" t="s">
        <v>487</v>
      </c>
      <c r="E97" s="1"/>
      <c r="F97" s="401">
        <v>110</v>
      </c>
      <c r="G97" s="368" t="s">
        <v>565</v>
      </c>
      <c r="H97" s="411" t="s">
        <v>105</v>
      </c>
    </row>
    <row r="98" spans="2:8" ht="30">
      <c r="B98" s="410">
        <v>118</v>
      </c>
      <c r="C98" s="367" t="s">
        <v>439</v>
      </c>
      <c r="D98" s="411" t="s">
        <v>102</v>
      </c>
      <c r="F98" s="401">
        <v>110</v>
      </c>
      <c r="G98" s="368" t="s">
        <v>565</v>
      </c>
      <c r="H98" s="411" t="s">
        <v>497</v>
      </c>
    </row>
    <row r="99" spans="2:8">
      <c r="B99" s="410">
        <v>98</v>
      </c>
      <c r="C99" s="367" t="s">
        <v>440</v>
      </c>
      <c r="D99" s="411" t="s">
        <v>465</v>
      </c>
      <c r="E99" s="1"/>
      <c r="F99" s="401">
        <v>110</v>
      </c>
      <c r="G99" s="368" t="s">
        <v>565</v>
      </c>
      <c r="H99" s="411" t="s">
        <v>473</v>
      </c>
    </row>
    <row r="100" spans="2:8">
      <c r="B100" s="410">
        <v>98</v>
      </c>
      <c r="C100" s="367" t="s">
        <v>440</v>
      </c>
      <c r="D100" s="411" t="s">
        <v>466</v>
      </c>
      <c r="E100" s="1"/>
      <c r="F100" s="401">
        <v>110</v>
      </c>
      <c r="G100" s="368" t="s">
        <v>566</v>
      </c>
      <c r="H100" s="411" t="s">
        <v>105</v>
      </c>
    </row>
    <row r="101" spans="2:8">
      <c r="B101" s="410">
        <v>98</v>
      </c>
      <c r="C101" s="367" t="s">
        <v>440</v>
      </c>
      <c r="D101" s="411" t="s">
        <v>467</v>
      </c>
      <c r="E101" s="1"/>
      <c r="F101" s="401">
        <v>110</v>
      </c>
      <c r="G101" s="368" t="s">
        <v>566</v>
      </c>
      <c r="H101" s="411" t="s">
        <v>473</v>
      </c>
    </row>
    <row r="102" spans="2:8" ht="15.75" thickBot="1">
      <c r="B102" s="410">
        <v>118</v>
      </c>
      <c r="C102" s="367" t="s">
        <v>441</v>
      </c>
      <c r="D102" s="411" t="s">
        <v>503</v>
      </c>
      <c r="E102" s="1"/>
      <c r="F102" s="402">
        <v>110</v>
      </c>
      <c r="G102" s="416" t="s">
        <v>566</v>
      </c>
      <c r="H102" s="413" t="s">
        <v>102</v>
      </c>
    </row>
    <row r="103" spans="2:8">
      <c r="B103" s="410">
        <v>118</v>
      </c>
      <c r="C103" s="367" t="s">
        <v>441</v>
      </c>
      <c r="D103" s="411" t="s">
        <v>504</v>
      </c>
      <c r="E103" s="1"/>
    </row>
    <row r="104" spans="2:8" ht="15.75" thickBot="1">
      <c r="B104" s="412">
        <v>118</v>
      </c>
      <c r="C104" s="407" t="s">
        <v>441</v>
      </c>
      <c r="D104" s="413" t="s">
        <v>505</v>
      </c>
      <c r="E104" s="1"/>
    </row>
    <row r="105" spans="2:8" ht="15.75" thickBot="1"/>
    <row r="106" spans="2:8" ht="15.75" thickBot="1">
      <c r="B106" s="473" t="s">
        <v>506</v>
      </c>
      <c r="C106" s="474"/>
      <c r="D106" s="475"/>
    </row>
    <row r="107" spans="2:8" ht="15.75" thickBot="1">
      <c r="B107" s="418" t="s">
        <v>165</v>
      </c>
      <c r="C107" s="424" t="s">
        <v>461</v>
      </c>
      <c r="D107" s="425" t="s">
        <v>163</v>
      </c>
    </row>
    <row r="108" spans="2:8">
      <c r="B108" s="418">
        <v>118</v>
      </c>
      <c r="C108" s="406" t="s">
        <v>444</v>
      </c>
      <c r="D108" s="409" t="s">
        <v>482</v>
      </c>
    </row>
    <row r="109" spans="2:8">
      <c r="B109" s="410">
        <v>118</v>
      </c>
      <c r="C109" s="367" t="s">
        <v>444</v>
      </c>
      <c r="D109" s="411" t="s">
        <v>511</v>
      </c>
    </row>
    <row r="110" spans="2:8">
      <c r="B110" s="410">
        <v>118</v>
      </c>
      <c r="C110" s="367" t="s">
        <v>444</v>
      </c>
      <c r="D110" s="411" t="s">
        <v>512</v>
      </c>
    </row>
    <row r="111" spans="2:8">
      <c r="B111" s="410">
        <v>118</v>
      </c>
      <c r="C111" s="367" t="s">
        <v>444</v>
      </c>
      <c r="D111" s="411" t="s">
        <v>473</v>
      </c>
    </row>
    <row r="112" spans="2:8">
      <c r="B112" s="410">
        <v>118</v>
      </c>
      <c r="C112" s="367" t="s">
        <v>445</v>
      </c>
      <c r="D112" s="411" t="s">
        <v>102</v>
      </c>
    </row>
    <row r="113" spans="2:4">
      <c r="B113" s="410">
        <v>118</v>
      </c>
      <c r="C113" s="367" t="s">
        <v>445</v>
      </c>
      <c r="D113" s="411" t="s">
        <v>478</v>
      </c>
    </row>
    <row r="114" spans="2:4">
      <c r="B114" s="410">
        <v>118</v>
      </c>
      <c r="C114" s="367" t="s">
        <v>445</v>
      </c>
      <c r="D114" s="411" t="s">
        <v>481</v>
      </c>
    </row>
    <row r="115" spans="2:4">
      <c r="B115" s="410">
        <v>118</v>
      </c>
      <c r="C115" s="367" t="s">
        <v>445</v>
      </c>
      <c r="D115" s="411" t="s">
        <v>482</v>
      </c>
    </row>
    <row r="116" spans="2:4" ht="15.75" thickBot="1">
      <c r="B116" s="412">
        <v>110</v>
      </c>
      <c r="C116" s="407" t="s">
        <v>442</v>
      </c>
      <c r="D116" s="413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 ht="30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76">
        <v>44656</v>
      </c>
      <c r="Z1" s="476"/>
      <c r="AG1" s="8"/>
      <c r="AH1" s="8"/>
    </row>
    <row r="2" spans="2:75" s="1" customFormat="1" ht="18" customHeight="1">
      <c r="F2" s="20"/>
      <c r="M2" s="478" t="s">
        <v>411</v>
      </c>
      <c r="N2" s="478"/>
      <c r="O2" s="478"/>
      <c r="P2" s="478"/>
      <c r="Q2" s="478"/>
      <c r="R2" s="478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79"/>
      <c r="N3" s="479"/>
      <c r="O3" s="479"/>
      <c r="P3" s="479"/>
      <c r="Q3" s="479"/>
      <c r="R3" s="479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77" t="s">
        <v>60</v>
      </c>
      <c r="BE4" s="477"/>
      <c r="BF4" s="477"/>
      <c r="BG4" s="477"/>
      <c r="BH4" s="477"/>
      <c r="BI4" s="477"/>
      <c r="BJ4" s="477"/>
      <c r="BK4" s="477"/>
      <c r="BL4" s="477"/>
      <c r="BM4" s="477"/>
      <c r="BN4" s="477"/>
      <c r="BO4" s="477"/>
      <c r="BP4" s="477"/>
      <c r="BQ4" s="477"/>
      <c r="BR4" s="477"/>
      <c r="BS4" s="477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34">
        <v>183</v>
      </c>
      <c r="S7" s="435">
        <v>188</v>
      </c>
      <c r="T7" s="435">
        <v>195</v>
      </c>
      <c r="U7" s="435">
        <v>200</v>
      </c>
      <c r="V7" s="436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0</v>
      </c>
      <c r="AL7" s="36">
        <f>'CALCULATOR SHEET'!L13</f>
        <v>0</v>
      </c>
      <c r="AM7" s="36" t="str">
        <f>IF(AK7=0,"",MATCH(CEILING(AK7,6),$E$4:$AA$4,0))</f>
        <v/>
      </c>
      <c r="AN7" s="36" t="str">
        <f>IF(AL7=0,"",MATCH(CEILING(AL7,6),$D$7:$D$28,0))</f>
        <v/>
      </c>
      <c r="AO7" s="57" t="str">
        <f>IF(AM7="","",INDEX($E$7:$AA$28,AN7,AM7))</f>
        <v/>
      </c>
      <c r="AP7" s="58"/>
      <c r="AQ7" s="58" t="str">
        <f>IF(AK7&gt;0,HLOOKUP(CEILING(AK7,6),$E$39:$Q$40,2,0),"")</f>
        <v/>
      </c>
      <c r="AR7" s="57" t="str">
        <f>IF(AK7&gt;0,HLOOKUP(CEILING(AK7,6),$E$30:$AA$31,2,0),"")</f>
        <v/>
      </c>
      <c r="AS7" s="57" t="str">
        <f>IF(AK7&gt;0,HLOOKUP(CEILING(AK7,6),$E$33:$AA$34,2,0),"")</f>
        <v/>
      </c>
      <c r="AT7" s="59" t="b">
        <f>IF(AK7&gt;0,HLOOKUP(CEILING(AK7,6),$E$36:$AA$37,2,0))</f>
        <v>0</v>
      </c>
      <c r="AU7" s="57" t="str">
        <f>IF(AM7="","",INDEX($AZ$6:$BV$27,AN7,AM7))</f>
        <v/>
      </c>
      <c r="AV7" s="37" t="str">
        <f>IF(AL7&gt;0,VLOOKUP(CEILING(AL7,6),$AB$7:$AC$28,2,0),"")</f>
        <v/>
      </c>
      <c r="AW7" s="105" t="str">
        <f>IF(AL7&gt;0,VLOOKUP(CEILING(AL7,6),$AB$7:$AD$28,3,0),"")</f>
        <v/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383">
        <v>63</v>
      </c>
      <c r="G8" s="383">
        <v>67</v>
      </c>
      <c r="H8" s="383">
        <v>73</v>
      </c>
      <c r="I8" s="383">
        <v>77</v>
      </c>
      <c r="J8" s="383">
        <v>82</v>
      </c>
      <c r="K8" s="383">
        <v>86</v>
      </c>
      <c r="L8" s="383">
        <v>91</v>
      </c>
      <c r="M8" s="383">
        <v>95</v>
      </c>
      <c r="N8" s="384">
        <v>116</v>
      </c>
      <c r="O8" s="384">
        <v>121</v>
      </c>
      <c r="P8" s="384">
        <v>127</v>
      </c>
      <c r="Q8" s="384">
        <v>143</v>
      </c>
      <c r="R8" s="432">
        <v>187</v>
      </c>
      <c r="S8" s="433">
        <v>193</v>
      </c>
      <c r="T8" s="433">
        <v>200</v>
      </c>
      <c r="U8" s="433">
        <v>205</v>
      </c>
      <c r="V8" s="437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0</v>
      </c>
      <c r="AL8" s="36">
        <f>'CALCULATOR SHEET'!L14</f>
        <v>0</v>
      </c>
      <c r="AM8" s="36" t="str">
        <f t="shared" ref="AM8:AM71" si="0">IF(AK8=0,"",MATCH(CEILING(AK8,6),$E$4:$AA$4,0))</f>
        <v/>
      </c>
      <c r="AN8" s="36" t="str">
        <f t="shared" ref="AN8:AN71" si="1">IF(AL8=0,"",MATCH(CEILING(AL8,6),$D$7:$D$28,0))</f>
        <v/>
      </c>
      <c r="AO8" s="57" t="str">
        <f t="shared" ref="AO8:AO71" si="2">IF(AM8="","",INDEX($E$7:$AA$28,AN8,AM8))</f>
        <v/>
      </c>
      <c r="AP8" s="58"/>
      <c r="AQ8" s="58" t="str">
        <f t="shared" ref="AQ8:AQ71" si="3">IF(AK8&gt;0,HLOOKUP(CEILING(AK8,6),$E$39:$Q$40,2,0),"")</f>
        <v/>
      </c>
      <c r="AR8" s="57" t="str">
        <f t="shared" ref="AR8:AR71" si="4">IF(AK8&gt;0,HLOOKUP(CEILING(AK8,6),$E$30:$AA$31,2,0),"")</f>
        <v/>
      </c>
      <c r="AS8" s="57" t="str">
        <f t="shared" ref="AS8:AS71" si="5">IF(AK8&gt;0,HLOOKUP(CEILING(AK8,6),$E$33:$AA$34,2,0),"")</f>
        <v/>
      </c>
      <c r="AT8" s="59" t="b">
        <f t="shared" ref="AT8:AT71" si="6">IF(AK8&gt;0,HLOOKUP(CEILING(AK8,6),$E$36:$AA$37,2,0))</f>
        <v>0</v>
      </c>
      <c r="AU8" s="57" t="str">
        <f t="shared" ref="AU8:AU71" si="7">IF(AM8="","",INDEX($AZ$6:$BV$27,AN8,AM8))</f>
        <v/>
      </c>
      <c r="AV8" s="37" t="str">
        <f t="shared" ref="AV8:AV71" si="8">IF(AL8&gt;0,VLOOKUP(CEILING(AL8,6),$AB$7:$AC$28,2,0),"")</f>
        <v/>
      </c>
      <c r="AW8" s="105" t="str">
        <f t="shared" ref="AW8:AW71" si="9">IF(AL8&gt;0,VLOOKUP(CEILING(AL8,6),$AB$7:$AD$28,3,0),"")</f>
        <v/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383">
        <v>65</v>
      </c>
      <c r="G9" s="383">
        <v>69</v>
      </c>
      <c r="H9" s="383">
        <v>75</v>
      </c>
      <c r="I9" s="383">
        <v>79</v>
      </c>
      <c r="J9" s="383">
        <v>85</v>
      </c>
      <c r="K9" s="383">
        <v>89</v>
      </c>
      <c r="L9" s="383">
        <v>95</v>
      </c>
      <c r="M9" s="383">
        <v>98</v>
      </c>
      <c r="N9" s="384">
        <v>120</v>
      </c>
      <c r="O9" s="384">
        <v>124</v>
      </c>
      <c r="P9" s="384">
        <v>131</v>
      </c>
      <c r="Q9" s="384">
        <v>147</v>
      </c>
      <c r="R9" s="432">
        <v>192</v>
      </c>
      <c r="S9" s="433">
        <v>197</v>
      </c>
      <c r="T9" s="433">
        <v>204</v>
      </c>
      <c r="U9" s="433">
        <v>210</v>
      </c>
      <c r="V9" s="437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0</v>
      </c>
      <c r="AL9" s="36">
        <f>'CALCULATOR SHEET'!L15</f>
        <v>0</v>
      </c>
      <c r="AM9" s="36" t="str">
        <f t="shared" si="0"/>
        <v/>
      </c>
      <c r="AN9" s="36" t="str">
        <f t="shared" si="1"/>
        <v/>
      </c>
      <c r="AO9" s="57" t="str">
        <f t="shared" si="2"/>
        <v/>
      </c>
      <c r="AP9" s="58"/>
      <c r="AQ9" s="58" t="str">
        <f t="shared" si="3"/>
        <v/>
      </c>
      <c r="AR9" s="57" t="str">
        <f t="shared" si="4"/>
        <v/>
      </c>
      <c r="AS9" s="57" t="str">
        <f t="shared" si="5"/>
        <v/>
      </c>
      <c r="AT9" s="59" t="b">
        <f t="shared" si="6"/>
        <v>0</v>
      </c>
      <c r="AU9" s="57" t="str">
        <f t="shared" si="7"/>
        <v/>
      </c>
      <c r="AV9" s="37" t="str">
        <f t="shared" si="8"/>
        <v/>
      </c>
      <c r="AW9" s="105" t="str">
        <f t="shared" si="9"/>
        <v/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383">
        <v>67</v>
      </c>
      <c r="G10" s="383">
        <v>71</v>
      </c>
      <c r="H10" s="383">
        <v>78</v>
      </c>
      <c r="I10" s="383">
        <v>82</v>
      </c>
      <c r="J10" s="383">
        <v>88</v>
      </c>
      <c r="K10" s="383">
        <v>92</v>
      </c>
      <c r="L10" s="383">
        <v>98</v>
      </c>
      <c r="M10" s="383">
        <v>102</v>
      </c>
      <c r="N10" s="384">
        <v>123</v>
      </c>
      <c r="O10" s="384">
        <v>128</v>
      </c>
      <c r="P10" s="384">
        <v>135</v>
      </c>
      <c r="Q10" s="384">
        <v>151</v>
      </c>
      <c r="R10" s="432">
        <v>196</v>
      </c>
      <c r="S10" s="433">
        <v>202</v>
      </c>
      <c r="T10" s="433">
        <v>209</v>
      </c>
      <c r="U10" s="433">
        <v>215</v>
      </c>
      <c r="V10" s="437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0</v>
      </c>
      <c r="AL10" s="36">
        <f>'CALCULATOR SHEET'!L16</f>
        <v>0</v>
      </c>
      <c r="AM10" s="36" t="str">
        <f t="shared" si="0"/>
        <v/>
      </c>
      <c r="AN10" s="36" t="str">
        <f t="shared" si="1"/>
        <v/>
      </c>
      <c r="AO10" s="57" t="str">
        <f t="shared" si="2"/>
        <v/>
      </c>
      <c r="AP10" s="58"/>
      <c r="AQ10" s="58" t="str">
        <f t="shared" si="3"/>
        <v/>
      </c>
      <c r="AR10" s="57" t="str">
        <f t="shared" si="4"/>
        <v/>
      </c>
      <c r="AS10" s="57" t="str">
        <f t="shared" si="5"/>
        <v/>
      </c>
      <c r="AT10" s="59" t="b">
        <f t="shared" si="6"/>
        <v>0</v>
      </c>
      <c r="AU10" s="57" t="str">
        <f t="shared" si="7"/>
        <v/>
      </c>
      <c r="AV10" s="37" t="str">
        <f t="shared" si="8"/>
        <v/>
      </c>
      <c r="AW10" s="105" t="str">
        <f t="shared" si="9"/>
        <v/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383">
        <v>69</v>
      </c>
      <c r="G11" s="383">
        <v>73</v>
      </c>
      <c r="H11" s="383">
        <v>80</v>
      </c>
      <c r="I11" s="383">
        <v>84</v>
      </c>
      <c r="J11" s="383">
        <v>90</v>
      </c>
      <c r="K11" s="383">
        <v>95</v>
      </c>
      <c r="L11" s="383">
        <v>101</v>
      </c>
      <c r="M11" s="383">
        <v>105</v>
      </c>
      <c r="N11" s="384">
        <v>127</v>
      </c>
      <c r="O11" s="384">
        <v>132</v>
      </c>
      <c r="P11" s="384">
        <v>139</v>
      </c>
      <c r="Q11" s="384">
        <v>155</v>
      </c>
      <c r="R11" s="432">
        <v>200</v>
      </c>
      <c r="S11" s="433">
        <v>206</v>
      </c>
      <c r="T11" s="433">
        <v>214</v>
      </c>
      <c r="U11" s="433">
        <v>220</v>
      </c>
      <c r="V11" s="437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0</v>
      </c>
      <c r="AL11" s="36">
        <f>'CALCULATOR SHEET'!L17</f>
        <v>0</v>
      </c>
      <c r="AM11" s="36" t="str">
        <f t="shared" si="0"/>
        <v/>
      </c>
      <c r="AN11" s="36" t="str">
        <f t="shared" si="1"/>
        <v/>
      </c>
      <c r="AO11" s="57" t="str">
        <f t="shared" si="2"/>
        <v/>
      </c>
      <c r="AP11" s="58"/>
      <c r="AQ11" s="58" t="str">
        <f t="shared" si="3"/>
        <v/>
      </c>
      <c r="AR11" s="57" t="str">
        <f t="shared" si="4"/>
        <v/>
      </c>
      <c r="AS11" s="57" t="str">
        <f t="shared" si="5"/>
        <v/>
      </c>
      <c r="AT11" s="59" t="b">
        <f t="shared" si="6"/>
        <v>0</v>
      </c>
      <c r="AU11" s="57" t="str">
        <f t="shared" si="7"/>
        <v/>
      </c>
      <c r="AV11" s="37" t="str">
        <f t="shared" si="8"/>
        <v/>
      </c>
      <c r="AW11" s="105" t="str">
        <f t="shared" si="9"/>
        <v/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383">
        <v>71</v>
      </c>
      <c r="G12" s="383">
        <v>75</v>
      </c>
      <c r="H12" s="383">
        <v>82</v>
      </c>
      <c r="I12" s="383">
        <v>87</v>
      </c>
      <c r="J12" s="383">
        <v>93</v>
      </c>
      <c r="K12" s="385">
        <v>98</v>
      </c>
      <c r="L12" s="383">
        <v>104</v>
      </c>
      <c r="M12" s="383">
        <v>108</v>
      </c>
      <c r="N12" s="384">
        <v>131</v>
      </c>
      <c r="O12" s="384">
        <v>136</v>
      </c>
      <c r="P12" s="384">
        <v>143</v>
      </c>
      <c r="Q12" s="384">
        <v>159</v>
      </c>
      <c r="R12" s="432">
        <v>205</v>
      </c>
      <c r="S12" s="433">
        <v>211</v>
      </c>
      <c r="T12" s="433">
        <v>219</v>
      </c>
      <c r="U12" s="433">
        <v>224</v>
      </c>
      <c r="V12" s="437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0</v>
      </c>
      <c r="AL12" s="36">
        <f>'CALCULATOR SHEET'!L18</f>
        <v>0</v>
      </c>
      <c r="AM12" s="36" t="str">
        <f t="shared" si="0"/>
        <v/>
      </c>
      <c r="AN12" s="36" t="str">
        <f t="shared" si="1"/>
        <v/>
      </c>
      <c r="AO12" s="57" t="str">
        <f t="shared" si="2"/>
        <v/>
      </c>
      <c r="AP12" s="58"/>
      <c r="AQ12" s="58" t="str">
        <f t="shared" si="3"/>
        <v/>
      </c>
      <c r="AR12" s="57" t="str">
        <f t="shared" si="4"/>
        <v/>
      </c>
      <c r="AS12" s="57" t="str">
        <f t="shared" si="5"/>
        <v/>
      </c>
      <c r="AT12" s="59" t="b">
        <f t="shared" si="6"/>
        <v>0</v>
      </c>
      <c r="AU12" s="57" t="str">
        <f t="shared" si="7"/>
        <v/>
      </c>
      <c r="AV12" s="37" t="str">
        <f t="shared" si="8"/>
        <v/>
      </c>
      <c r="AW12" s="105" t="str">
        <f t="shared" si="9"/>
        <v/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383">
        <v>73</v>
      </c>
      <c r="G13" s="383">
        <v>77</v>
      </c>
      <c r="H13" s="383">
        <v>85</v>
      </c>
      <c r="I13" s="383">
        <v>89</v>
      </c>
      <c r="J13" s="383">
        <v>96</v>
      </c>
      <c r="K13" s="383">
        <v>101</v>
      </c>
      <c r="L13" s="383">
        <v>107</v>
      </c>
      <c r="M13" s="383">
        <v>112</v>
      </c>
      <c r="N13" s="384">
        <v>134</v>
      </c>
      <c r="O13" s="384">
        <v>139</v>
      </c>
      <c r="P13" s="384">
        <v>147</v>
      </c>
      <c r="Q13" s="384">
        <v>163</v>
      </c>
      <c r="R13" s="432">
        <v>209</v>
      </c>
      <c r="S13" s="433">
        <v>215</v>
      </c>
      <c r="T13" s="433">
        <v>223</v>
      </c>
      <c r="U13" s="433">
        <v>229</v>
      </c>
      <c r="V13" s="437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0</v>
      </c>
      <c r="AL13" s="36">
        <f>'CALCULATOR SHEET'!L19</f>
        <v>0</v>
      </c>
      <c r="AM13" s="36" t="str">
        <f t="shared" si="0"/>
        <v/>
      </c>
      <c r="AN13" s="36" t="str">
        <f t="shared" si="1"/>
        <v/>
      </c>
      <c r="AO13" s="57" t="str">
        <f t="shared" si="2"/>
        <v/>
      </c>
      <c r="AP13" s="58"/>
      <c r="AQ13" s="58" t="str">
        <f t="shared" si="3"/>
        <v/>
      </c>
      <c r="AR13" s="57" t="str">
        <f t="shared" si="4"/>
        <v/>
      </c>
      <c r="AS13" s="57" t="str">
        <f t="shared" si="5"/>
        <v/>
      </c>
      <c r="AT13" s="59" t="b">
        <f t="shared" si="6"/>
        <v>0</v>
      </c>
      <c r="AU13" s="57" t="str">
        <f t="shared" si="7"/>
        <v/>
      </c>
      <c r="AV13" s="37" t="str">
        <f t="shared" si="8"/>
        <v/>
      </c>
      <c r="AW13" s="105" t="str">
        <f t="shared" si="9"/>
        <v/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383">
        <v>75</v>
      </c>
      <c r="G14" s="383">
        <v>79</v>
      </c>
      <c r="H14" s="383">
        <v>87</v>
      </c>
      <c r="I14" s="383">
        <v>92</v>
      </c>
      <c r="J14" s="383">
        <v>99</v>
      </c>
      <c r="K14" s="383">
        <v>103</v>
      </c>
      <c r="L14" s="383">
        <v>110</v>
      </c>
      <c r="M14" s="383">
        <v>115</v>
      </c>
      <c r="N14" s="384">
        <v>138</v>
      </c>
      <c r="O14" s="384">
        <v>143</v>
      </c>
      <c r="P14" s="384">
        <v>150</v>
      </c>
      <c r="Q14" s="384">
        <v>167</v>
      </c>
      <c r="R14" s="432">
        <v>213</v>
      </c>
      <c r="S14" s="433">
        <v>220</v>
      </c>
      <c r="T14" s="433">
        <v>228</v>
      </c>
      <c r="U14" s="433">
        <v>234</v>
      </c>
      <c r="V14" s="437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0</v>
      </c>
      <c r="AL14" s="36">
        <f>'CALCULATOR SHEET'!L20</f>
        <v>0</v>
      </c>
      <c r="AM14" s="36" t="str">
        <f t="shared" si="0"/>
        <v/>
      </c>
      <c r="AN14" s="36" t="str">
        <f t="shared" si="1"/>
        <v/>
      </c>
      <c r="AO14" s="57" t="str">
        <f t="shared" si="2"/>
        <v/>
      </c>
      <c r="AP14" s="58"/>
      <c r="AQ14" s="58" t="str">
        <f t="shared" si="3"/>
        <v/>
      </c>
      <c r="AR14" s="57" t="str">
        <f t="shared" si="4"/>
        <v/>
      </c>
      <c r="AS14" s="57" t="str">
        <f t="shared" si="5"/>
        <v/>
      </c>
      <c r="AT14" s="59" t="b">
        <f t="shared" si="6"/>
        <v>0</v>
      </c>
      <c r="AU14" s="57" t="str">
        <f t="shared" si="7"/>
        <v/>
      </c>
      <c r="AV14" s="37" t="str">
        <f t="shared" si="8"/>
        <v/>
      </c>
      <c r="AW14" s="105" t="str">
        <f t="shared" si="9"/>
        <v/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383">
        <v>76</v>
      </c>
      <c r="G15" s="383">
        <v>81</v>
      </c>
      <c r="H15" s="383">
        <v>89</v>
      </c>
      <c r="I15" s="383">
        <v>94</v>
      </c>
      <c r="J15" s="383">
        <v>101</v>
      </c>
      <c r="K15" s="383">
        <v>106</v>
      </c>
      <c r="L15" s="383">
        <v>113</v>
      </c>
      <c r="M15" s="383">
        <v>119</v>
      </c>
      <c r="N15" s="384">
        <v>141</v>
      </c>
      <c r="O15" s="384">
        <v>147</v>
      </c>
      <c r="P15" s="384">
        <v>154</v>
      </c>
      <c r="Q15" s="384">
        <v>172</v>
      </c>
      <c r="R15" s="432">
        <v>218</v>
      </c>
      <c r="S15" s="433">
        <v>224</v>
      </c>
      <c r="T15" s="433">
        <v>233</v>
      </c>
      <c r="U15" s="433">
        <v>239</v>
      </c>
      <c r="V15" s="437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0</v>
      </c>
      <c r="AL15" s="36">
        <f>'CALCULATOR SHEET'!L21</f>
        <v>0</v>
      </c>
      <c r="AM15" s="36" t="str">
        <f t="shared" si="0"/>
        <v/>
      </c>
      <c r="AN15" s="36" t="str">
        <f t="shared" si="1"/>
        <v/>
      </c>
      <c r="AO15" s="57" t="str">
        <f t="shared" si="2"/>
        <v/>
      </c>
      <c r="AP15" s="58"/>
      <c r="AQ15" s="58" t="str">
        <f t="shared" si="3"/>
        <v/>
      </c>
      <c r="AR15" s="57" t="str">
        <f t="shared" si="4"/>
        <v/>
      </c>
      <c r="AS15" s="57" t="str">
        <f t="shared" si="5"/>
        <v/>
      </c>
      <c r="AT15" s="59" t="b">
        <f t="shared" si="6"/>
        <v>0</v>
      </c>
      <c r="AU15" s="57" t="str">
        <f t="shared" si="7"/>
        <v/>
      </c>
      <c r="AV15" s="37" t="str">
        <f t="shared" si="8"/>
        <v/>
      </c>
      <c r="AW15" s="105" t="str">
        <f t="shared" si="9"/>
        <v/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383">
        <v>78</v>
      </c>
      <c r="G16" s="383">
        <v>83</v>
      </c>
      <c r="H16" s="383">
        <v>92</v>
      </c>
      <c r="I16" s="383">
        <v>97</v>
      </c>
      <c r="J16" s="383">
        <v>104</v>
      </c>
      <c r="K16" s="383">
        <v>109</v>
      </c>
      <c r="L16" s="383">
        <v>117</v>
      </c>
      <c r="M16" s="383">
        <v>122</v>
      </c>
      <c r="N16" s="384">
        <v>145</v>
      </c>
      <c r="O16" s="384">
        <v>151</v>
      </c>
      <c r="P16" s="384">
        <v>158</v>
      </c>
      <c r="Q16" s="384">
        <v>176</v>
      </c>
      <c r="R16" s="432">
        <v>222</v>
      </c>
      <c r="S16" s="433">
        <v>229</v>
      </c>
      <c r="T16" s="433">
        <v>237</v>
      </c>
      <c r="U16" s="433">
        <v>244</v>
      </c>
      <c r="V16" s="437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383">
        <v>80</v>
      </c>
      <c r="G17" s="383">
        <v>86</v>
      </c>
      <c r="H17" s="383">
        <v>94</v>
      </c>
      <c r="I17" s="383">
        <v>99</v>
      </c>
      <c r="J17" s="383">
        <v>107</v>
      </c>
      <c r="K17" s="383">
        <v>112</v>
      </c>
      <c r="L17" s="383">
        <v>120</v>
      </c>
      <c r="M17" s="383">
        <v>125</v>
      </c>
      <c r="N17" s="384">
        <v>148</v>
      </c>
      <c r="O17" s="384">
        <v>154</v>
      </c>
      <c r="P17" s="384">
        <v>162</v>
      </c>
      <c r="Q17" s="384">
        <v>180</v>
      </c>
      <c r="R17" s="432">
        <v>226</v>
      </c>
      <c r="S17" s="433">
        <v>233</v>
      </c>
      <c r="T17" s="433">
        <v>242</v>
      </c>
      <c r="U17" s="433">
        <v>249</v>
      </c>
      <c r="V17" s="437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383">
        <v>82</v>
      </c>
      <c r="G18" s="383">
        <v>88</v>
      </c>
      <c r="H18" s="383">
        <v>96</v>
      </c>
      <c r="I18" s="383">
        <v>102</v>
      </c>
      <c r="J18" s="383">
        <v>110</v>
      </c>
      <c r="K18" s="383">
        <v>115</v>
      </c>
      <c r="L18" s="383">
        <v>123</v>
      </c>
      <c r="M18" s="383">
        <v>129</v>
      </c>
      <c r="N18" s="384">
        <v>152</v>
      </c>
      <c r="O18" s="384">
        <v>158</v>
      </c>
      <c r="P18" s="384">
        <v>166</v>
      </c>
      <c r="Q18" s="384">
        <v>184</v>
      </c>
      <c r="R18" s="432">
        <v>231</v>
      </c>
      <c r="S18" s="433">
        <v>238</v>
      </c>
      <c r="T18" s="433">
        <v>247</v>
      </c>
      <c r="U18" s="433">
        <v>254</v>
      </c>
      <c r="V18" s="437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384">
        <v>95</v>
      </c>
      <c r="G19" s="384">
        <v>101</v>
      </c>
      <c r="H19" s="384">
        <v>111</v>
      </c>
      <c r="I19" s="384">
        <v>117</v>
      </c>
      <c r="J19" s="384">
        <v>126</v>
      </c>
      <c r="K19" s="384">
        <v>132</v>
      </c>
      <c r="L19" s="384">
        <v>140</v>
      </c>
      <c r="M19" s="384">
        <v>147</v>
      </c>
      <c r="N19" s="384">
        <v>155</v>
      </c>
      <c r="O19" s="384">
        <v>162</v>
      </c>
      <c r="P19" s="384">
        <v>170</v>
      </c>
      <c r="Q19" s="384">
        <v>188</v>
      </c>
      <c r="R19" s="432">
        <v>235</v>
      </c>
      <c r="S19" s="433">
        <v>242</v>
      </c>
      <c r="T19" s="433">
        <v>252</v>
      </c>
      <c r="U19" s="433">
        <v>259</v>
      </c>
      <c r="V19" s="437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384">
        <v>97</v>
      </c>
      <c r="G20" s="384">
        <v>103</v>
      </c>
      <c r="H20" s="384">
        <v>113</v>
      </c>
      <c r="I20" s="384">
        <v>120</v>
      </c>
      <c r="J20" s="384">
        <v>128</v>
      </c>
      <c r="K20" s="384">
        <v>135</v>
      </c>
      <c r="L20" s="384">
        <v>144</v>
      </c>
      <c r="M20" s="384">
        <v>150</v>
      </c>
      <c r="N20" s="384">
        <v>159</v>
      </c>
      <c r="O20" s="384">
        <v>165</v>
      </c>
      <c r="P20" s="384">
        <v>174</v>
      </c>
      <c r="Q20" s="384">
        <v>192</v>
      </c>
      <c r="R20" s="432">
        <v>239</v>
      </c>
      <c r="S20" s="433">
        <v>247</v>
      </c>
      <c r="T20" s="433">
        <v>256</v>
      </c>
      <c r="U20" s="433">
        <v>264</v>
      </c>
      <c r="V20" s="437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384">
        <v>99</v>
      </c>
      <c r="G21" s="384">
        <v>105</v>
      </c>
      <c r="H21" s="384">
        <v>116</v>
      </c>
      <c r="I21" s="384">
        <v>122</v>
      </c>
      <c r="J21" s="384">
        <v>131</v>
      </c>
      <c r="K21" s="384">
        <v>138</v>
      </c>
      <c r="L21" s="384">
        <v>147</v>
      </c>
      <c r="M21" s="384">
        <v>154</v>
      </c>
      <c r="N21" s="384">
        <v>162</v>
      </c>
      <c r="O21" s="384">
        <v>169</v>
      </c>
      <c r="P21" s="384">
        <v>178</v>
      </c>
      <c r="Q21" s="384">
        <v>196</v>
      </c>
      <c r="R21" s="432">
        <v>244</v>
      </c>
      <c r="S21" s="433">
        <v>251</v>
      </c>
      <c r="T21" s="433">
        <v>261</v>
      </c>
      <c r="U21" s="433">
        <v>269</v>
      </c>
      <c r="V21" s="437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384">
        <v>101</v>
      </c>
      <c r="G22" s="384">
        <v>107</v>
      </c>
      <c r="H22" s="384">
        <v>118</v>
      </c>
      <c r="I22" s="384">
        <v>125</v>
      </c>
      <c r="J22" s="384">
        <v>134</v>
      </c>
      <c r="K22" s="384">
        <v>141</v>
      </c>
      <c r="L22" s="384">
        <v>150</v>
      </c>
      <c r="M22" s="384">
        <v>157</v>
      </c>
      <c r="N22" s="384">
        <v>166</v>
      </c>
      <c r="O22" s="384">
        <v>173</v>
      </c>
      <c r="P22" s="384">
        <v>182</v>
      </c>
      <c r="Q22" s="384">
        <v>201</v>
      </c>
      <c r="R22" s="432">
        <v>248</v>
      </c>
      <c r="S22" s="433">
        <v>256</v>
      </c>
      <c r="T22" s="433">
        <v>266</v>
      </c>
      <c r="U22" s="433">
        <v>274</v>
      </c>
      <c r="V22" s="437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384">
        <v>103</v>
      </c>
      <c r="G23" s="384">
        <v>110</v>
      </c>
      <c r="H23" s="384">
        <v>120</v>
      </c>
      <c r="I23" s="384">
        <v>127</v>
      </c>
      <c r="J23" s="384">
        <v>137</v>
      </c>
      <c r="K23" s="384">
        <v>144</v>
      </c>
      <c r="L23" s="384">
        <v>153</v>
      </c>
      <c r="M23" s="384">
        <v>160</v>
      </c>
      <c r="N23" s="384">
        <v>169</v>
      </c>
      <c r="O23" s="384">
        <v>177</v>
      </c>
      <c r="P23" s="384">
        <v>186</v>
      </c>
      <c r="Q23" s="384">
        <v>205</v>
      </c>
      <c r="R23" s="432">
        <v>252</v>
      </c>
      <c r="S23" s="433">
        <v>260</v>
      </c>
      <c r="T23" s="433">
        <v>271</v>
      </c>
      <c r="U23" s="433">
        <v>279</v>
      </c>
      <c r="V23" s="437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384">
        <v>104</v>
      </c>
      <c r="G24" s="384">
        <v>112</v>
      </c>
      <c r="H24" s="384">
        <v>123</v>
      </c>
      <c r="I24" s="384">
        <v>130</v>
      </c>
      <c r="J24" s="384">
        <v>139</v>
      </c>
      <c r="K24" s="384">
        <v>147</v>
      </c>
      <c r="L24" s="384">
        <v>156</v>
      </c>
      <c r="M24" s="384">
        <v>164</v>
      </c>
      <c r="N24" s="384">
        <v>173</v>
      </c>
      <c r="O24" s="384">
        <v>180</v>
      </c>
      <c r="P24" s="384">
        <v>190</v>
      </c>
      <c r="Q24" s="384">
        <v>209</v>
      </c>
      <c r="R24" s="432">
        <v>257</v>
      </c>
      <c r="S24" s="433">
        <v>265</v>
      </c>
      <c r="T24" s="433">
        <v>275</v>
      </c>
      <c r="U24" s="433">
        <v>283</v>
      </c>
      <c r="V24" s="437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384">
        <v>106</v>
      </c>
      <c r="G25" s="384">
        <v>114</v>
      </c>
      <c r="H25" s="384">
        <v>125</v>
      </c>
      <c r="I25" s="384">
        <v>133</v>
      </c>
      <c r="J25" s="384">
        <v>142</v>
      </c>
      <c r="K25" s="384">
        <v>150</v>
      </c>
      <c r="L25" s="384">
        <v>159</v>
      </c>
      <c r="M25" s="384">
        <v>167</v>
      </c>
      <c r="N25" s="384">
        <v>176</v>
      </c>
      <c r="O25" s="384">
        <v>184</v>
      </c>
      <c r="P25" s="384">
        <v>194</v>
      </c>
      <c r="Q25" s="384">
        <v>213</v>
      </c>
      <c r="R25" s="432">
        <v>261</v>
      </c>
      <c r="S25" s="433">
        <v>269</v>
      </c>
      <c r="T25" s="433">
        <v>280</v>
      </c>
      <c r="U25" s="433">
        <v>288</v>
      </c>
      <c r="V25" s="437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38">
        <v>265</v>
      </c>
      <c r="S26" s="439">
        <v>274</v>
      </c>
      <c r="T26" s="439">
        <v>285</v>
      </c>
      <c r="U26" s="439">
        <v>293</v>
      </c>
      <c r="V26" s="440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'CALCULATOR SHEET'!Print_Area</vt:lpstr>
      <vt:lpstr>CLIENTE!Print_Area</vt:lpstr>
      <vt:lpstr>'ROLLER G1'!Print_Area</vt:lpstr>
      <vt:lpstr>'ROLLER G2'!Print_Area</vt:lpstr>
      <vt:lpstr>'ROLLER G3'!Print_Area</vt:lpstr>
      <vt:lpstr>'ROLLER G4'!Print_Area</vt:lpstr>
      <vt:lpstr>'ROLLER G5'!Print_Area</vt:lpstr>
      <vt:lpstr>CLIENTE!Print_Titles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Dennise Flores</cp:lastModifiedBy>
  <cp:lastPrinted>2026-01-14T18:29:35Z</cp:lastPrinted>
  <dcterms:created xsi:type="dcterms:W3CDTF">2016-09-27T19:33:28Z</dcterms:created>
  <dcterms:modified xsi:type="dcterms:W3CDTF">2026-02-09T20:01:29Z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