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2926EG-1 MARIELA CHEE\"/>
    </mc:Choice>
  </mc:AlternateContent>
  <xr:revisionPtr revIDLastSave="0" documentId="8_{FE9DC775-876B-42AA-8250-51FA591EACA3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5" l="1"/>
  <c r="AC64" i="5"/>
  <c r="AC65" i="5"/>
  <c r="AC66" i="5"/>
  <c r="BD16" i="5" l="1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J23" i="5" l="1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F20" i="5" l="1"/>
  <c r="BJ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17" i="5" l="1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7" i="5" l="1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7CA7AFA-6ADE-41DC-9A97-215877756F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2E2DF5F1-1EF4-4D87-9071-2EB4746128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CA4BEA9C-AE13-4EAB-8FB5-B857A33439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B8573DD-A776-4B60-B952-436E6DC781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050352-12D1-4F71-B7C7-1BA0312CE2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C7ED931B-3489-4717-A18E-646EE4D46F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35CDD83A-E847-45B8-920C-C7E116F756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B16AB268-03C0-4AA2-86FB-78D666F014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0341095-E72D-421F-87A5-E73B379C57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<sst xmlns="http://schemas.openxmlformats.org/spreadsheetml/2006/main" count="9390" uniqueCount="758">
  <si>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</si>
  <si>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</si>
  <si>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</si>
  <si>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</si>
  <si>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</si>
  <si>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</si>
  <si>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</si>
  <si>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</si>
  <si>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</si>
  <si>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</si>
  <si>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</si>
  <si>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</si>
  <si>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</si>
  <si>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</si>
  <si>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</si>
  <si>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</si>
  <si>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</si>
  <si>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</si>
  <si>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</si>
  <si>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</si>
  <si>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</si>
  <si>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</si>
  <si>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</si>
  <si>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</si>
  <si>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</si>
  <si>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</si>
  <si>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</si>
  <si>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</si>
  <si>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</si>
  <si>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</si>
  <si>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</si>
  <si>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</si>
  <si>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</si>
  <si>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</si>
  <si>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</si>
  <si>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</si>
  <si>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</si>
  <si>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</si>
  <si>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</si>
  <si>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</si>
  <si>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</si>
  <si>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</si>
  <si>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</si>
  <si>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</si>
  <si>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</si>
  <si>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</si>
  <si>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</si>
  <si>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</si>
  <si>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</si>
  <si>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</si>
  <si>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</si>
  <si>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</si>
  <si>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</si>
  <si>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</si>
  <si>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</si>
  <si>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</si>
  <si>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</si>
  <si>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</si>
  <si>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</si>
  <si>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</si>
  <si>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</si>
  <si>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</si>
  <si>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</si>
  <si>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</si>
  <si>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</si>
  <si>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</si>
  <si>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</si>
  <si>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</si>
  <si>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</si>
  <si>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</si>
  <si>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</si>
  <si>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</si>
  <si>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</si>
  <si>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</si>
  <si>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</si>
  <si>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</si>
  <si>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</si>
  <si>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</si>
  <si>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</si>
  <si>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</si>
  <si>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</si>
  <si>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</si>
  <si>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</si>
  <si>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</si>
  <si>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</si>
  <si>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</si>
  <si>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</si>
  <si>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</si>
  <si>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</si>
  <si>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</si>
  <si>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</si>
  <si>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</si>
  <si>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</si>
  <si>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</si>
  <si>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</si>
  <si>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</si>
  <si>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</si>
  <si>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</si>
  <si>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</si>
  <si>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</si>
  <si>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</si>
  <si>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</si>
  <si>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</si>
  <si>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</si>
  <si>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</si>
  <si>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</si>
  <si>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</si>
  <si>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</si>
  <si>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</si>
  <si>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</si>
  <si>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</si>
  <si>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</si>
  <si>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</si>
  <si>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</si>
  <si>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</si>
  <si>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</si>
  <si>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</si>
  <si>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</si>
  <si>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</si>
  <si>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</si>
  <si>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</si>
  <si>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</si>
  <si>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</si>
  <si>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</si>
  <si>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</si>
  <si>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</si>
  <si>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</si>
  <si>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</si>
  <si>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</si>
  <si>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</si>
  <si>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</si>
  <si>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</si>
  <si>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</si>
  <si>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</si>
  <si>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</si>
  <si>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</si>
  <si>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</si>
  <si>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</si>
  <si>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</si>
  <si>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</si>
  <si>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</si>
  <si>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</si>
  <si>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</si>
  <si>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</si>
  <si>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</si>
  <si>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</si>
  <si>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</si>
  <si>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</si>
  <si>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</si>
  <si>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</si>
  <si>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</si>
  <si>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</si>
  <si>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</si>
  <si>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</si>
  <si>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</si>
  <si>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</si>
  <si>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</si>
  <si>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</si>
  <si>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</si>
  <si>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</si>
  <si>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</si>
  <si>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</si>
  <si>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</si>
  <si>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</si>
  <si>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</si>
  <si>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</si>
  <si>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</si>
  <si>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</si>
  <si>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</si>
  <si>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</si>
  <si>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</si>
  <si>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</si>
  <si>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</si>
  <si>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</si>
  <si>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</si>
  <si>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</si>
  <si>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</si>
  <si>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</si>
  <si>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</si>
  <si>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</si>
  <si>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</si>
  <si>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</si>
  <si>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</si>
  <si>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</si>
  <si>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</si>
  <si>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</si>
  <si>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</si>
  <si>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</si>
  <si>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</si>
  <si>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</si>
  <si>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</si>
  <si>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</si>
  <si>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</si>
  <si>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</si>
  <si>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</si>
  <si>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</si>
  <si>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</si>
  <si>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</si>
  <si>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</si>
  <si>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</si>
  <si>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</si>
  <si>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</si>
  <si>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</si>
  <si>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</si>
  <si>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</si>
  <si>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</si>
  <si>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</si>
  <si>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</si>
  <si>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</si>
  <si>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</si>
  <si>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</si>
  <si>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</si>
  <si>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</si>
  <si>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</si>
  <si>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</si>
  <si>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</si>
  <si>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</si>
  <si>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</si>
  <si>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</si>
  <si>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</si>
  <si>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</si>
  <si>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</si>
  <si>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</si>
  <si>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</si>
  <si>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</si>
  <si>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</si>
  <si>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</si>
  <si>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</si>
  <si>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</si>
  <si>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</si>
  <si>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</si>
  <si>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</si>
  <si>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</si>
  <si>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</si>
  <si>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</si>
  <si>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</si>
  <si>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</si>
  <si>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</si>
  <si>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</si>
  <si>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</si>
  <si>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</si>
  <si>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</si>
  <si>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</si>
  <si>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</si>
  <si>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</si>
  <si>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</si>
  <si>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</si>
  <si>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</si>
  <si>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</si>
  <si>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</si>
  <si>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</si>
  <si>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</si>
  <si>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</si>
  <si>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</si>
  <si>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</si>
  <si>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</si>
  <si>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</si>
  <si>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</si>
  <si>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</si>
  <si>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</si>
  <si>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</si>
  <si>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</si>
  <si>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</si>
  <si>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</si>
  <si>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</si>
  <si>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</si>
  <si>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</si>
  <si>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</si>
  <si>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</si>
  <si>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</si>
  <si>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</si>
  <si>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</si>
  <si>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</si>
  <si>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</si>
  <si>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</si>
  <si>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</si>
  <si>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</si>
  <si>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</si>
  <si>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</si>
  <si>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</si>
  <si>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</si>
  <si>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</si>
  <si>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</si>
  <si>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</si>
  <si>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</si>
  <si>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</si>
  <si>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</si>
  <si>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</si>
  <si>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</si>
  <si>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</si>
  <si>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</si>
  <si>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</si>
  <si>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</si>
  <si>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</si>
  <si>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</si>
  <si>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</si>
  <si>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</si>
  <si>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</si>
  <si>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</si>
  <si>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</si>
  <si>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</si>
  <si>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</si>
  <si>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</si>
  <si>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</si>
  <si>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</si>
  <si>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</si>
  <si>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</si>
  <si>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</si>
  <si>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</si>
  <si>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</si>
  <si>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</si>
  <si>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</si>
  <si>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</si>
  <si>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</si>
  <si>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</si>
  <si>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</si>
  <si>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</si>
  <si>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</si>
  <si>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</si>
  <si>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</si>
  <si>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</si>
  <si>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</si>
  <si>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</si>
  <si>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</si>
  <si>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</si>
  <si>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</si>
  <si>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</si>
  <si>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</si>
  <si>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</si>
  <si>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</si>
  <si>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</si>
  <si>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</si>
  <si>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</si>
  <si>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</si>
  <si>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</si>
  <si>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</si>
  <si>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</si>
  <si>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</si>
  <si>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</si>
  <si>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</si>
  <si>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</si>
  <si>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</si>
  <si>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</si>
  <si>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</si>
  <si>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</si>
  <si>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</si>
  <si>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</si>
  <si>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</si>
  <si>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</si>
  <si>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</si>
  <si>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</si>
  <si>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</si>
  <si>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</si>
  <si>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</si>
  <si>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</si>
  <si>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</si>
  <si>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</si>
  <si>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</si>
  <si>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</si>
  <si>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</si>
  <si>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</si>
  <si>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</si>
  <si>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</si>
  <si>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</si>
  <si>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</si>
  <si>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</si>
  <si>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</si>
  <si>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</si>
  <si>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</si>
  <si>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</si>
  <si>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</si>
  <si>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</si>
  <si>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</si>
  <si>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</si>
  <si>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</si>
  <si>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</si>
  <si>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</si>
  <si>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</si>
  <si>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</si>
  <si>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</si>
  <si>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</si>
  <si>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</si>
  <si>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</si>
  <si>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</si>
  <si>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</si>
  <si>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</si>
  <si>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</si>
  <si>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</si>
  <si>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</si>
  <si>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</si>
  <si>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</si>
  <si>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</si>
  <si>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</si>
  <si>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</si>
  <si>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</si>
  <si>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</si>
  <si>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</si>
  <si>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</si>
  <si>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</si>
  <si>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</si>
  <si>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</si>
  <si>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</si>
  <si>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</si>
  <si>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</si>
  <si>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</si>
  <si>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</si>
  <si>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</si>
  <si>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</si>
  <si>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</si>
  <si>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</si>
  <si>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</si>
  <si>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</si>
  <si>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</si>
  <si>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</si>
  <si>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</si>
  <si>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</si>
  <si>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</si>
  <si>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</si>
  <si>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</si>
  <si>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</si>
  <si>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</si>
  <si>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</si>
  <si>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</si>
  <si>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</si>
  <si>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</si>
  <si>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</si>
  <si>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</si>
  <si>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</si>
  <si>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</si>
  <si>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</si>
  <si>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</si>
  <si>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</si>
  <si>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</si>
  <si>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</si>
  <si>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</si>
  <si>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</si>
  <si>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</si>
  <si>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</si>
  <si>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</si>
  <si>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</si>
  <si>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</si>
  <si>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</si>
  <si>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</si>
  <si>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</si>
  <si>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</si>
  <si>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</si>
  <si>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</si>
  <si>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</si>
  <si>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</si>
  <si>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</si>
  <si>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</si>
  <si>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</si>
  <si>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</si>
  <si>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</si>
  <si>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</si>
  <si>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</si>
  <si>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</si>
  <si>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</si>
  <si>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</si>
  <si>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</si>
  <si>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</si>
  <si>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</si>
  <si>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</si>
  <si>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</si>
  <si>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</si>
  <si>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</si>
  <si>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</si>
  <si>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</si>
  <si>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</si>
  <si>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</si>
  <si>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</si>
  <si>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</si>
  <si>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</si>
  <si>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</si>
  <si>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</si>
  <si>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</si>
  <si>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</si>
  <si>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</si>
  <si>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</si>
  <si>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</si>
  <si>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</si>
  <si>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</si>
  <si>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</si>
  <si>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</si>
  <si>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</si>
  <si>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</si>
  <si>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</si>
  <si>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</si>
  <si>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</si>
  <si>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</si>
  <si>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</si>
  <si>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</si>
  <si>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</si>
  <si>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</si>
  <si>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</si>
  <si>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</si>
  <si>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</si>
  <si>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</si>
  <si>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</si>
  <si>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</si>
  <si>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</si>
  <si>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</si>
  <si>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</si>
  <si>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</si>
  <si>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</si>
  <si>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</si>
  <si>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</si>
  <si>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</si>
  <si>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</si>
  <si>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</si>
  <si>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</si>
  <si>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</si>
  <si>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</si>
  <si>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</si>
  <si>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</si>
  <si>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</si>
  <si>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</si>
  <si>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</si>
  <si>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</si>
  <si>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</si>
  <si>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</si>
  <si>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</si>
  <si>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</si>
  <si>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</si>
  <si>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</si>
  <si>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</si>
  <si>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</si>
  <si>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</si>
  <si>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</si>
  <si>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</si>
  <si>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</si>
  <si>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</si>
  <si>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</si>
  <si>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</si>
  <si>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</si>
  <si>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</si>
  <si>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</si>
  <si>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</si>
  <si>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</si>
  <si>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</si>
  <si>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</si>
  <si>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</si>
  <si>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</si>
  <si>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</si>
  <si>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</si>
  <si>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</si>
  <si>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</si>
  <si>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</si>
  <si>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</si>
  <si>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</si>
  <si>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</si>
  <si>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</si>
  <si>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</si>
  <si>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</si>
  <si>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</si>
  <si>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</si>
  <si>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</si>
  <si>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</si>
  <si>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</si>
  <si>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</si>
  <si>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</si>
  <si>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</si>
  <si>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</si>
  <si>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</si>
  <si>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</si>
  <si>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</si>
  <si>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</si>
  <si>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</si>
  <si>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</si>
  <si>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</si>
  <si>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</si>
  <si>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</si>
  <si>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</si>
  <si>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</si>
  <si>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</si>
  <si>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</si>
  <si>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</si>
  <si>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</si>
  <si>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</si>
  <si>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</si>
  <si>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</si>
  <si>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</si>
  <si>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</si>
  <si>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</si>
  <si>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</si>
  <si>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</si>
  <si>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</si>
  <si>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</si>
  <si>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</si>
  <si>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</si>
  <si>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</si>
  <si>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</si>
  <si>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</si>
  <si>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</si>
  <si>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</si>
  <si>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</si>
  <si>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</si>
  <si>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</si>
  <si>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</si>
  <si>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</si>
  <si>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</si>
  <si>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</si>
  <si>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</si>
  <si>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</si>
  <si>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</si>
  <si>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</si>
  <si>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</si>
  <si>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</si>
  <si>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</si>
  <si>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</si>
  <si>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</si>
  <si>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</si>
  <si>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</si>
  <si>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</si>
  <si>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</si>
  <si>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</si>
  <si>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</si>
  <si>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</si>
  <si>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</si>
  <si>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</si>
  <si>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</si>
  <si>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</si>
  <si>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</si>
  <si>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</si>
  <si>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</si>
  <si>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</si>
  <si>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</si>
  <si>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</si>
  <si>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</si>
  <si>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</si>
  <si>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</si>
  <si>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</si>
  <si>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</si>
  <si>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</si>
  <si>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</si>
  <si>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</si>
  <si>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</si>
  <si>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</si>
  <si>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</si>
  <si>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</si>
  <si>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</si>
  <si>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</si>
  <si>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</si>
  <si>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</si>
  <si>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</si>
  <si>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</si>
  <si>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</si>
  <si>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</si>
  <si>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</si>
  <si>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</si>
  <si>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</si>
  <si>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</si>
  <si>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</si>
  <si>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</si>
  <si>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</si>
  <si>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</si>
  <si>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</si>
  <si>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</si>
  <si>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</si>
  <si>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</si>
  <si>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</si>
  <si>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</si>
  <si>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</si>
  <si>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</si>
  <si>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</si>
  <si>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</si>
  <si>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</si>
  <si>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</si>
  <si>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</si>
  <si>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</si>
  <si>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</si>
  <si>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</si>
  <si>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</si>
  <si>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</si>
  <si>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</si>
  <si>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</si>
  <si>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</si>
  <si>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</si>
  <si>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</si>
  <si>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</si>
  <si>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</si>
  <si>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</si>
  <si>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</si>
  <si>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</si>
  <si>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</si>
  <si>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</si>
  <si>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</si>
  <si>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</si>
  <si>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</si>
  <si>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</si>
  <si>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</si>
  <si>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</si>
  <si>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</si>
  <si>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</si>
  <si>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</si>
  <si>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</si>
  <si>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</si>
  <si>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</si>
  <si>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</si>
  <si>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</si>
  <si>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</si>
  <si>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</si>
  <si>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</si>
  <si>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</si>
  <si>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</si>
  <si>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</si>
  <si>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</si>
  <si>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</si>
  <si>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</si>
  <si>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</si>
  <si>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</si>
  <si>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</si>
  <si>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</si>
  <si>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</si>
  <si>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</si>
  <si>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</si>
  <si>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</si>
  <si>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</si>
  <si>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</si>
  <si>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</si>
  <si>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</si>
  <si>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</si>
  <si>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</si>
  <si>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</si>
  <si>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</si>
  <si>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</si>
  <si>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</si>
  <si>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</si>
  <si>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</si>
  <si>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</si>
  <si>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</si>
  <si>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</si>
  <si>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</si>
  <si>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</si>
  <si>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</si>
  <si>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</si>
  <si>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</si>
  <si>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</si>
  <si>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</si>
  <si>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</si>
  <si>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</si>
  <si>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</si>
  <si>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</si>
  <si>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</si>
  <si>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</si>
  <si>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</si>
  <si>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</si>
  <si>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</si>
  <si>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</si>
  <si>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</si>
  <si>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PRINCIPAL</t>
  </si>
  <si>
    <t>CORNISA TAPIZADA</t>
  </si>
  <si>
    <t>MARIELA CHEE</t>
  </si>
  <si>
    <t>CHAPULTEPEC CALIFORNIA, MENORCA #8</t>
  </si>
  <si>
    <t>KN-FAB-00384</t>
  </si>
  <si>
    <t>SERENITY BONE</t>
  </si>
  <si>
    <t>MARIELA CHEE TELA VERTILUX</t>
  </si>
  <si>
    <t>BS 012926EG-2REV1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</si>
</sst>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012926EG-2REV1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MARIELA CHEE TELA VERTILUX</v>
      </c>
      <c r="L4" s="340"/>
      <c r="N4" s="340" t="str">
        <f>'FILL QUOTE-CALCULATIONS'!O6</f>
        <v>CHAPULTEPEC CALIFORNIA, MENORCA #8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MARIELA CHEE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46051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HARDWARE</v>
      </c>
      <c r="Q10" s="907"/>
      <c r="R10" s="907"/>
      <c r="S10" s="907"/>
      <c r="T10" s="352" t="str">
        <f>'FILL QUOTE-CALCULATIONS'!T12</f>
        <v>DRAPERIES</v>
      </c>
      <c r="U10" s="352" t="str">
        <f>'FILL QUOTE-CALCULATIONS'!W12</f>
        <v>HARDWARE</v>
      </c>
      <c r="V10" s="907" t="str">
        <f>'FILL QUOTE-CALCULATIONS'!AB12</f>
        <v>TOTALS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PINCH PLEATED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1.5</v>
      </c>
      <c r="H12" s="360" t="str">
        <f>IF(OR(C12&lt;1,C12=""),"",IF('FILL QUOTE-CALCULATIONS'!$S$4="INGLES",'FILL QUOTE-CALCULATIONS'!H15,VLOOKUP('FILL QUOTE-CALCULATIONS'!H15,'DROP LIST'!$M$7:$N$10,2,0)))</f>
        <v>LINE-VTLUX</v>
      </c>
      <c r="I12" s="360" t="str">
        <f>IF(OR(C12&lt;1,C12=""),"",IF('FILL QUOTE-CALCULATIONS'!$S$4="INGLES",'FILL QUOTE-CALCULATIONS'!I15,VLOOKUP('FILL QUOTE-CALCULATIONS'!I15,'DROP LIST'!$M$15:$N$18,2,0)))</f>
        <v>SH-VTX-SERENITY</v>
      </c>
      <c r="J12" s="360" t="str">
        <f>'FILL QUOTE-CALCULATIONS'!J15</f>
        <v/>
      </c>
      <c r="K12" s="360" t="str">
        <f>IF(OR(C12&lt;1,C12=""),"",'FILL QUOTE-CALCULATIONS'!K15)</f>
        <v>SERENITY BONE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PRINCIPAL</v>
      </c>
      <c r="N12" s="362">
        <f>IF(OR(C12&lt;1,C12=""),"",'FILL QUOTE-CALCULATIONS'!N15)</f>
        <v>118</v>
      </c>
      <c r="O12" s="362">
        <f>IF(OR(C12&lt;1,C12=""),"",'FILL QUOTE-CALCULATIONS'!O15)</f>
        <v>88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-P.P.- 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714.95</v>
      </c>
      <c r="U12" s="364">
        <f>IF(OR(C12&lt;1,C12=""),"",'FILL QUOTE-CALCULATIONS'!W15)</f>
        <v>100.15</v>
      </c>
      <c r="V12" s="365">
        <f>IF(OR(C12&lt;1,C12=""),"",IF('FILL QUOTE-CALCULATIONS'!$S$3="DOLLARS",'FILL QUOTE-CALCULATIONS'!AB15,'FILL QUOTE-CALCULATIONS'!AB15*'FILL QUOTE-CALCULATIONS'!$AC$4))</f>
        <v>815.1</v>
      </c>
      <c r="W12" s="366">
        <f>IF(OR(C12&lt;1,C12=""),"",IF('FILL QUOTE-CALCULATIONS'!$S$3="DOLLARS",'FILL QUOTE-CALCULATIONS'!AC15,'FILL QUOTE-CALCULATIONS'!AC15*'FILL QUOTE-CALCULATIONS'!$AC$4))</f>
        <v>815.1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PINCH PLEATED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 t="str">
        <f>'FILL QUOTE-CALCULATIONS'!J16</f>
        <v/>
      </c>
      <c r="K13" s="360" t="str">
        <f>IF(OR(C13&lt;1,C13=""),"",'FILL QUOTE-CALCULATIONS'!K16)</f>
        <v>KN-FAB-00384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PRINCIPAL</v>
      </c>
      <c r="N13" s="362">
        <f>IF(OR(C13&lt;1,C13=""),"",'FILL QUOTE-CALCULATIONS'!N16)</f>
        <v>118</v>
      </c>
      <c r="O13" s="362">
        <f>IF(OR(C13&lt;1,C13=""),"",'FILL QUOTE-CALCULATIONS'!O16)</f>
        <v>88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-P.P.- 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327.70000000000005</v>
      </c>
      <c r="U13" s="364">
        <f>IF(OR(C13&lt;1,C13=""),"",'FILL QUOTE-CALCULATIONS'!W16)</f>
        <v>100.15</v>
      </c>
      <c r="V13" s="365">
        <f>IF(OR(C13&lt;1,C13=""),"",IF('FILL QUOTE-CALCULATIONS'!$S$3="DOLLARS",'FILL QUOTE-CALCULATIONS'!AB16,'FILL QUOTE-CALCULATIONS'!AB16*'FILL QUOTE-CALCULATIONS'!$AC$4))</f>
        <v>427.85</v>
      </c>
      <c r="W13" s="366">
        <f>IF(OR(C13&lt;1,C13=""),"",IF('FILL QUOTE-CALCULATIONS'!$S$3="DOLLARS",'FILL QUOTE-CALCULATIONS'!AC16,'FILL QUOTE-CALCULATIONS'!AC16*'FILL QUOTE-CALCULATIONS'!$AC$4))</f>
        <v>427.85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CORNISA TAPIZADA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1242.95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0.39999999999999997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497.17999999999995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745.7700000000001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8" t="str">
        <f>'FILL QUOTE-CALCULATIONS'!AB76</f>
        <v>ESAU GOMEZ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714.95</v>
      </c>
      <c r="D19" s="109">
        <f>'FILL QUOTE-CALCULATIONS'!BF16</f>
        <v>327.70000000000005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</v>
      </c>
      <c r="D24" s="73" t="str">
        <f>'FILL QUOTE-CALCULATIONS'!AN16</f>
        <v>N/A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1429.9</v>
      </c>
      <c r="D29" s="119" t="str">
        <f>E19</f>
        <v/>
      </c>
      <c r="E29" s="119" t="str">
        <f>E19</f>
        <v/>
      </c>
      <c r="F29" s="119">
        <f>D19*2</f>
        <v>655.40000000000009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</v>
      </c>
      <c r="D24" s="73" t="str">
        <f>'FILL QUOTE-CALCULATIONS'!AN16</f>
        <v>N/A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2" sqref="AC2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757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756</v>
      </c>
      <c r="L6" s="214"/>
      <c r="O6" s="906" t="s">
        <v>753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752</v>
      </c>
      <c r="L9" s="214"/>
      <c r="O9" s="906"/>
      <c r="P9" s="214"/>
      <c r="Q9" s="214"/>
      <c r="R9" s="211"/>
      <c r="S9" s="213" t="s">
        <v>749</v>
      </c>
      <c r="T9" s="214"/>
      <c r="AC9" s="221">
        <v>46051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DRAPERIES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HARDWARE</v>
      </c>
      <c r="Q12" s="914"/>
      <c r="R12" s="914"/>
      <c r="S12" s="915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8" t="str">
        <f>IF(S4="INGLES","TOTALS","TOTALES")</f>
        <v>TOTALS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131</v>
      </c>
      <c r="F15" s="179" t="s">
        <v>135</v>
      </c>
      <c r="G15" s="671">
        <v>1.5</v>
      </c>
      <c r="H15" s="905" t="s">
        <v>663</v>
      </c>
      <c r="I15" s="905" t="s">
        <v>683</v>
      </c>
      <c r="J15" s="179" t="str">
        <f t="shared" ref="J15" si="0">IF(OR(C15="",C15&lt;1),"",IF(H15="C.O.M.",CEILING(AQ15,0.5),""))</f>
        <v/>
      </c>
      <c r="K15" s="672" t="s">
        <v>755</v>
      </c>
      <c r="L15" s="179" t="s">
        <v>122</v>
      </c>
      <c r="M15" s="672" t="s">
        <v>750</v>
      </c>
      <c r="N15" s="673">
        <v>118</v>
      </c>
      <c r="O15" s="673">
        <v>88</v>
      </c>
      <c r="P15" s="197" t="s">
        <v>266</v>
      </c>
      <c r="Q15" s="178" t="s">
        <v>736</v>
      </c>
      <c r="R15" s="176" t="s">
        <v>289</v>
      </c>
      <c r="S15" s="179" t="s">
        <v>289</v>
      </c>
      <c r="T15" s="895">
        <f t="shared" ref="T15:T62" si="1">IF(E15="",0,IF(OR(C15&lt;1,C15=""),"",BF15))</f>
        <v>714.95</v>
      </c>
      <c r="U15" s="668">
        <v>0.4</v>
      </c>
      <c r="V15" s="669">
        <v>0.5</v>
      </c>
      <c r="W15" s="896">
        <f t="shared" ref="W15:W62" si="2">IF(OR(C15&lt;1,C15=""),"",BI15)</f>
        <v>100.15</v>
      </c>
      <c r="X15" s="694">
        <v>0.4</v>
      </c>
      <c r="Y15" s="690">
        <v>0.3</v>
      </c>
      <c r="Z15" s="667">
        <f>T15*IF($L$4="RESIDENCIAL",1-U15,1-V15)+W15*IF($L$4="RESIDENCIAL",1-X15,1-Y15)</f>
        <v>489.06000000000006</v>
      </c>
      <c r="AA15" s="659">
        <f>IF(E15="",0,IF(OR(C15&lt;1,C15=""),"",IF($S$3="PESOS",Z15*C15*$AC$4,Z15*C15)))</f>
        <v>489.06000000000006</v>
      </c>
      <c r="AB15" s="895">
        <f t="shared" ref="AB15:AB62" si="3">IF(E15="",0,IF(OR(C15&lt;1,C15=""),"",T15+W15))</f>
        <v>815.1</v>
      </c>
      <c r="AC15" s="896">
        <f>IF(E15="",0,IF(OR(C15&lt;1,C15=""),"",IF($S$3="PESOS",AB15*C15*$AC$4, AB15*C15)))</f>
        <v>815.1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5.9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195.4</v>
      </c>
      <c r="AJ15" s="307">
        <f t="shared" ref="AJ15:AJ62" si="9">IF(C15="","",O15+AG15+AH15)</f>
        <v>105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3.6185185185185187</v>
      </c>
      <c r="AN15" s="309">
        <f t="shared" ref="AN15:AN62" si="13">IF(C15="","",IF(AL15="RAILROAD","N/A",IF(AK15&lt;60,CEILING(AM15,0.5),CEILING(AM15,0.25))))</f>
        <v>4</v>
      </c>
      <c r="AO15" s="309">
        <f t="shared" ref="AO15:AO62" si="14">IF(C15="","",IF(AL15="VERTICAL",AN15*AK15/54,CEILING(AI15/54,0.5)))</f>
        <v>4</v>
      </c>
      <c r="AP15" s="308">
        <f t="shared" ref="AP15:AP62" si="15">IF(C15="","",IF(AL15="VERTICAL",CEILING(AN15*AJ15/36/0.93,0.25),CEILING(AI15/36/0.93,0.25)))</f>
        <v>12.75</v>
      </c>
      <c r="AQ15" s="310">
        <f t="shared" ref="AQ15:AQ62" si="16">IF(C15="","",AP15*C15)</f>
        <v>12.75</v>
      </c>
      <c r="AR15" s="306">
        <f t="shared" ref="AR15:AR62" si="17">IF(C15="","",CEILING(AI15,1))</f>
        <v>196</v>
      </c>
      <c r="AS15" s="308">
        <f t="shared" ref="AS15:AS62" si="18">IF(C15="","",O15+(2*$AG$3)+2+1)</f>
        <v>99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11</v>
      </c>
      <c r="AW15" s="310">
        <f t="shared" ref="AW15:AW62" si="22">IF(C15="","",AV15*C15)</f>
        <v>11</v>
      </c>
      <c r="AX15" s="311">
        <f t="shared" ref="AX15:AX62" si="23">IF(C15="","",N15/12/(1-$AX$13))</f>
        <v>10.688405797101449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49.25</v>
      </c>
      <c r="BA15" s="313">
        <f t="shared" ref="BA15:BA62" si="25">IF(C15="","",AP15*AZ15)</f>
        <v>627.9375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21.75</v>
      </c>
      <c r="BE15" s="315">
        <f t="shared" ref="BE15:BE62" si="27">IF(C15="","",BD15*AO15)</f>
        <v>87</v>
      </c>
      <c r="BF15" s="313">
        <f>IF(C15="","",CEILING(BA15+BC15+BE15,0.05))</f>
        <v>714.95</v>
      </c>
      <c r="BG15" s="316">
        <f>IF(C15="","",IF(Q15="N/A",0,VLOOKUP(Q15,'COST - SELL'!$B$80:$I$91,8,0)*'FILL QUOTE-CALCULATIONS'!AX15))</f>
        <v>90.851449275362313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100.15</v>
      </c>
      <c r="BJ15" s="316">
        <f t="shared" ref="BJ15:BJ62" si="29">IF(C15="","",BF15+BI15)</f>
        <v>815.1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116</v>
      </c>
      <c r="G16" s="671">
        <v>2</v>
      </c>
      <c r="H16" s="905" t="s">
        <v>187</v>
      </c>
      <c r="I16" s="905" t="s">
        <v>323</v>
      </c>
      <c r="J16" s="179" t="str">
        <f t="shared" ref="J16" si="30">IF(OR(C16="",C16&lt;1),"",IF(H16="C.O.M.",CEILING(AQ16,0.5),""))</f>
        <v/>
      </c>
      <c r="K16" s="672" t="s">
        <v>754</v>
      </c>
      <c r="L16" s="179" t="s">
        <v>122</v>
      </c>
      <c r="M16" s="672" t="s">
        <v>750</v>
      </c>
      <c r="N16" s="673">
        <v>118</v>
      </c>
      <c r="O16" s="673">
        <v>88</v>
      </c>
      <c r="P16" s="197" t="s">
        <v>266</v>
      </c>
      <c r="Q16" s="178" t="s">
        <v>736</v>
      </c>
      <c r="R16" s="176" t="s">
        <v>289</v>
      </c>
      <c r="S16" s="179" t="s">
        <v>289</v>
      </c>
      <c r="T16" s="895">
        <f t="shared" si="1"/>
        <v>327.70000000000005</v>
      </c>
      <c r="U16" s="668">
        <v>0.4</v>
      </c>
      <c r="V16" s="669">
        <v>0.5</v>
      </c>
      <c r="W16" s="896">
        <f t="shared" si="2"/>
        <v>100.15</v>
      </c>
      <c r="X16" s="694">
        <v>0.4</v>
      </c>
      <c r="Y16" s="690">
        <v>0.3</v>
      </c>
      <c r="Z16" s="667">
        <f>IF(E16="",0,T16*IF($L$4="RESIDENCIAL",1-U16,1-V16)+W16*IF($L$4="RESIDENCIAL",1-X16,1-Y16))</f>
        <v>256.71000000000004</v>
      </c>
      <c r="AA16" s="659">
        <f>IF(E16="",0,IF(OR(C16&lt;1,C16=""),"",IF($S$3="PESOS",Z16*C16*$AC$4, Z16*C16)))</f>
        <v>256.71000000000004</v>
      </c>
      <c r="AB16" s="895">
        <f t="shared" si="3"/>
        <v>427.85</v>
      </c>
      <c r="AC16" s="896">
        <f>IF(E16="",0,IF(OR(C16&lt;1,C16=""),"",IF($S$3="PESOS",AB16*C16*$AC$4, AB16*C16)))</f>
        <v>427.85</v>
      </c>
      <c r="AD16" s="181"/>
      <c r="AE16" s="883">
        <f t="shared" si="4"/>
        <v>12.5</v>
      </c>
      <c r="AF16" s="883">
        <f t="shared" si="5"/>
        <v>5.9</v>
      </c>
      <c r="AG16" s="883">
        <f t="shared" si="6"/>
        <v>9</v>
      </c>
      <c r="AH16" s="884">
        <f t="shared" si="7"/>
        <v>8</v>
      </c>
      <c r="AI16" s="317">
        <f t="shared" si="8"/>
        <v>254.4</v>
      </c>
      <c r="AJ16" s="304">
        <f t="shared" si="9"/>
        <v>105</v>
      </c>
      <c r="AK16" s="304">
        <f t="shared" si="10"/>
        <v>118</v>
      </c>
      <c r="AL16" s="318" t="str">
        <f t="shared" si="11"/>
        <v>RAILROAD</v>
      </c>
      <c r="AM16" s="318">
        <f t="shared" si="12"/>
        <v>2.1559322033898307</v>
      </c>
      <c r="AN16" s="319" t="str">
        <f t="shared" si="13"/>
        <v>N/A</v>
      </c>
      <c r="AO16" s="319">
        <f t="shared" si="14"/>
        <v>5</v>
      </c>
      <c r="AP16" s="318">
        <f t="shared" si="15"/>
        <v>7.75</v>
      </c>
      <c r="AQ16" s="320">
        <f t="shared" si="16"/>
        <v>7.75</v>
      </c>
      <c r="AR16" s="306">
        <f t="shared" si="17"/>
        <v>255</v>
      </c>
      <c r="AS16" s="308">
        <f t="shared" si="18"/>
        <v>99</v>
      </c>
      <c r="AT16" s="308">
        <f t="shared" si="19"/>
        <v>54</v>
      </c>
      <c r="AU16" s="308" t="str">
        <f t="shared" si="20"/>
        <v>VERTICAL</v>
      </c>
      <c r="AV16" s="308">
        <f t="shared" si="21"/>
        <v>13.9</v>
      </c>
      <c r="AW16" s="310">
        <f t="shared" si="22"/>
        <v>13.9</v>
      </c>
      <c r="AX16" s="321">
        <f t="shared" si="23"/>
        <v>10.688405797101449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246.45000000000002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81.25</v>
      </c>
      <c r="BF16" s="313">
        <f t="shared" ref="BF16:BF62" si="31">IF(C16="","",CEILING(BA16+BC16+BE16,0.05))</f>
        <v>327.70000000000005</v>
      </c>
      <c r="BG16" s="316">
        <f>IF(C16="","",IF(Q16="N/A",0,VLOOKUP(Q16,'COST - SELL'!$B$80:$I$91,8,0)*'FILL QUOTE-CALCULATIONS'!AX16))</f>
        <v>90.851449275362313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100.15</v>
      </c>
      <c r="BJ16" s="316">
        <f t="shared" si="29"/>
        <v>427.85</v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5"/>
      <c r="I17" s="905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2">IF(E17="",0,IF(OR(C17&lt;1,C17=""),"",BF17))</f>
        <v>0</v>
      </c>
      <c r="U17" s="668">
        <v>0.4</v>
      </c>
      <c r="V17" s="669">
        <v>0.5</v>
      </c>
      <c r="W17" s="896" t="str">
        <f t="shared" ref="W17" si="33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4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5">IF(C17="","",$AG$6+$AG$7+$AG$8)</f>
        <v/>
      </c>
      <c r="AF17" s="883" t="str">
        <f t="shared" ref="AF17" si="36">IF(C17="","",N17*$AF$13)</f>
        <v/>
      </c>
      <c r="AG17" s="883" t="str">
        <f t="shared" ref="AG17" si="37">IF(C17="","",$AG$3*2+1)</f>
        <v/>
      </c>
      <c r="AH17" s="884" t="str">
        <f t="shared" ref="AH17" si="38">IF(C17="","",$AG$4*2)</f>
        <v/>
      </c>
      <c r="AI17" s="317" t="str">
        <f t="shared" ref="AI17" si="39">IF(C17="","",N17*G17+AE17+AF17)</f>
        <v/>
      </c>
      <c r="AJ17" s="304" t="str">
        <f t="shared" ref="AJ17" si="40">IF(C17="","",O17+AG17+AH17)</f>
        <v/>
      </c>
      <c r="AK17" s="304" t="str">
        <f t="shared" ref="AK17" si="41">IF(C17="","",IF(OR(F17="SHEER",F17="STAT. SHEER"),118,54))</f>
        <v/>
      </c>
      <c r="AL17" s="318" t="str">
        <f t="shared" ref="AL17" si="42">IF(C17="","",IF(AK17&lt;65,"VERTICAL",IF(AJ17&gt;AK17,"VERTICAL","RAILROAD")))</f>
        <v/>
      </c>
      <c r="AM17" s="318" t="str">
        <f t="shared" ref="AM17" si="43">IF(C17="","",AI17/AK17)</f>
        <v/>
      </c>
      <c r="AN17" s="319" t="str">
        <f t="shared" ref="AN17" si="44">IF(C17="","",IF(AL17="RAILROAD","N/A",IF(AK17&lt;60,CEILING(AM17,0.5),CEILING(AM17,0.25))))</f>
        <v/>
      </c>
      <c r="AO17" s="319" t="str">
        <f t="shared" ref="AO17" si="45">IF(C17="","",IF(AL17="VERTICAL",AN17*AK17/54,CEILING(AI17/54,0.5)))</f>
        <v/>
      </c>
      <c r="AP17" s="318" t="str">
        <f t="shared" ref="AP17" si="46">IF(C17="","",IF(AL17="VERTICAL",CEILING(AN17*AJ17/36/0.93,0.25),CEILING(AI17/36/0.93,0.25)))</f>
        <v/>
      </c>
      <c r="AQ17" s="320" t="str">
        <f t="shared" ref="AQ17" si="47">IF(C17="","",AP17*C17)</f>
        <v/>
      </c>
      <c r="AR17" s="306" t="str">
        <f t="shared" ref="AR17" si="48">IF(C17="","",CEILING(AI17,1))</f>
        <v/>
      </c>
      <c r="AS17" s="308" t="str">
        <f t="shared" ref="AS17" si="49">IF(C17="","",O17+(2*$AG$3)+2+1)</f>
        <v/>
      </c>
      <c r="AT17" s="308" t="str">
        <f t="shared" ref="AT17" si="50">IF(C17="","",IF(OR(L17="3-PASS WW",L17="3-PASS IV-EC"),110,54))</f>
        <v/>
      </c>
      <c r="AU17" s="308" t="str">
        <f t="shared" ref="AU17" si="51">IF(C17="","",IF(AT17&gt;AS17,"RAILROAD","VERTICAL"))</f>
        <v/>
      </c>
      <c r="AV17" s="308" t="str">
        <f t="shared" ref="AV17" si="52">IF(C17="","",IF(AU17="RAILROAD",CEILING(AR17/36/0.94,0.1),CEILING(CEILING(AR17/AT17,0.25)*AS17/36/0.94,0.1)))</f>
        <v/>
      </c>
      <c r="AW17" s="310" t="str">
        <f t="shared" ref="AW17" si="53">IF(C17="","",AV17*C17)</f>
        <v/>
      </c>
      <c r="AX17" s="321" t="str">
        <f t="shared" ref="AX17" si="54">IF(C17="","",N17/12/(1-$AX$13))</f>
        <v/>
      </c>
      <c r="AY17" s="308" t="str">
        <f t="shared" ref="AY17" si="55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6">IF(C17="","",AP17*AZ17)</f>
        <v/>
      </c>
      <c r="BB17" s="314" t="str">
        <f>IF(C17="","",IF(L17="N/A",0,VLOOKUP(L17,'COST - SELL'!$B$60:$I$63,8,0)))</f>
        <v/>
      </c>
      <c r="BC17" s="313" t="str">
        <f t="shared" ref="BC17" si="57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8">IF(C17="","",BD17*AO17)</f>
        <v/>
      </c>
      <c r="BF17" s="313" t="str">
        <f t="shared" ref="BF17" si="59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60">IF(C17="","",CEILING(BG17+BH17,0.05))</f>
        <v/>
      </c>
      <c r="BJ17" s="316" t="str">
        <f t="shared" ref="BJ17" si="61">IF(C17="","",BF17+BI17)</f>
        <v/>
      </c>
    </row>
    <row r="18" spans="2:62" x14ac:dyDescent="0.25">
      <c r="B18" s="231">
        <f t="shared" ref="B18:B62" si="62">1+B17</f>
        <v>4</v>
      </c>
      <c r="C18" s="180"/>
      <c r="D18" s="178"/>
      <c r="E18" s="179"/>
      <c r="F18" s="179"/>
      <c r="G18" s="671"/>
      <c r="H18" s="905"/>
      <c r="I18" s="905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ref="Z18:Z62" si="63">IF(E18="",0,T18*IF($L$4="RESIDENCIAL",1-U18,1-V18)+W18*IF($L$4="RESIDENCIAL",1-X18,1-Y18))</f>
        <v>0</v>
      </c>
      <c r="AA18" s="659">
        <f t="shared" ref="AA18:AA62" si="64">IF(E18="",0,IF(OR(C18&lt;1,C18=""),"",IF($S$3="PESOS",Z18*C18*$AC$4, Z18*C18)))</f>
        <v>0</v>
      </c>
      <c r="AB18" s="895">
        <f t="shared" si="3"/>
        <v>0</v>
      </c>
      <c r="AC18" s="896">
        <f t="shared" ref="AC18:AC62" si="65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5"/>
      <c r="I19" s="905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3"/>
        <v>0</v>
      </c>
      <c r="AA19" s="659">
        <f t="shared" si="64"/>
        <v>0</v>
      </c>
      <c r="AB19" s="895">
        <f t="shared" si="3"/>
        <v>0</v>
      </c>
      <c r="AC19" s="896">
        <f t="shared" si="6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5"/>
      <c r="I20" s="905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3"/>
        <v>0</v>
      </c>
      <c r="AA20" s="659">
        <f t="shared" si="64"/>
        <v>0</v>
      </c>
      <c r="AB20" s="895">
        <f t="shared" si="3"/>
        <v>0</v>
      </c>
      <c r="AC20" s="896">
        <f t="shared" si="6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5"/>
      <c r="I21" s="905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5"/>
      <c r="I22" s="905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5"/>
      <c r="I23" s="905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5"/>
      <c r="I24" s="905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5"/>
      <c r="I25" s="905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6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5"/>
      <c r="I26" s="905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6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5"/>
      <c r="I27" s="905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6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5"/>
      <c r="I28" s="905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6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5"/>
      <c r="I29" s="905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6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5"/>
      <c r="I30" s="905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6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5"/>
      <c r="I31" s="905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6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5"/>
      <c r="I32" s="905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6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5"/>
      <c r="I33" s="905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6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5"/>
      <c r="I34" s="905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6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5"/>
      <c r="I35" s="905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6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5"/>
      <c r="I36" s="905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6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5"/>
      <c r="I37" s="905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6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5"/>
      <c r="I38" s="905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6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5"/>
      <c r="I39" s="905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6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5"/>
      <c r="I40" s="905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6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5"/>
      <c r="I41" s="905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6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5"/>
      <c r="I42" s="905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6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5"/>
      <c r="I43" s="905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6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5"/>
      <c r="I44" s="905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6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5"/>
      <c r="I45" s="905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6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5"/>
      <c r="I46" s="905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6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5"/>
      <c r="I47" s="905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6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5"/>
      <c r="I48" s="905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6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5"/>
      <c r="I49" s="905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6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5"/>
      <c r="I50" s="905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6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6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6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6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6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6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6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6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6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6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6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6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6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2" t="str">
        <f>IF('FILL QUOTE-CALCULATIONS'!S4="INGLES","DESCRIPTION OF ADDITIONAL SERVICES","DESCRIPCION DE SERVICIOS ADICIONALES")</f>
        <v>DESCRIPTION OF ADDITIONAL SERVICES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>
        <v>1</v>
      </c>
      <c r="D64" s="236" t="s">
        <v>751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>
        <f t="shared" ref="AC64:AC67" si="67">IF(C64="","",IF($S$3="PESOS",C64*AB64*$AC$4,C64*AB64))</f>
        <v>0</v>
      </c>
      <c r="AD64" s="181"/>
    </row>
    <row r="65" spans="2:35" ht="18.75" x14ac:dyDescent="0.25">
      <c r="B65" s="231">
        <f t="shared" ref="B65:B67" si="68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7" t="str">
        <f t="shared" si="67"/>
        <v/>
      </c>
      <c r="AD65" s="181"/>
      <c r="AF65" s="222"/>
    </row>
    <row r="66" spans="2:35" ht="18.75" x14ac:dyDescent="0.25">
      <c r="B66" s="231">
        <f t="shared" si="6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7" t="str">
        <f t="shared" si="67"/>
        <v/>
      </c>
      <c r="AD66" s="181"/>
      <c r="AF66" s="222"/>
    </row>
    <row r="67" spans="2:35" ht="19.5" thickBot="1" x14ac:dyDescent="0.3">
      <c r="B67" s="242">
        <f t="shared" si="6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8" t="str">
        <f t="shared" si="67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1242.95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0">
        <f>AC71/AC69</f>
        <v>0.39999999999999997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1">
        <f>SUM(AC15:AC62)-SUM(AA15:AA62)</f>
        <v>497.17999999999995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2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3">
        <f>(AC69-AC71)+AC72</f>
        <v>745.7700000000001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5" t="s">
        <v>172</v>
      </c>
      <c r="G7" s="946"/>
      <c r="H7" s="947"/>
      <c r="J7" s="948" t="s">
        <v>329</v>
      </c>
      <c r="L7" s="945" t="s">
        <v>172</v>
      </c>
      <c r="M7" s="946"/>
      <c r="N7" s="947"/>
    </row>
    <row r="8" spans="2:16" ht="15" hidden="1" customHeight="1" x14ac:dyDescent="0.25">
      <c r="B8" s="957" t="s">
        <v>328</v>
      </c>
      <c r="C8" s="958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9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9"/>
      <c r="C9" s="960"/>
      <c r="D9" s="437">
        <v>0.4</v>
      </c>
      <c r="F9" s="438" t="s">
        <v>77</v>
      </c>
      <c r="G9" s="438" t="s">
        <v>174</v>
      </c>
      <c r="H9" s="438" t="s">
        <v>175</v>
      </c>
      <c r="J9" s="950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5" t="s">
        <v>172</v>
      </c>
      <c r="F22" s="946"/>
      <c r="G22" s="947"/>
      <c r="O22" s="945" t="s">
        <v>172</v>
      </c>
      <c r="P22" s="946"/>
      <c r="Q22" s="947"/>
    </row>
    <row r="23" spans="2:17" hidden="1" x14ac:dyDescent="0.25">
      <c r="B23" s="951" t="s">
        <v>181</v>
      </c>
      <c r="C23" s="952"/>
      <c r="D23" s="953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1" t="s">
        <v>185</v>
      </c>
      <c r="K23" s="952"/>
      <c r="L23" s="952"/>
      <c r="M23" s="952"/>
      <c r="N23" s="953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4"/>
      <c r="C24" s="955"/>
      <c r="D24" s="956"/>
      <c r="E24" s="438" t="s">
        <v>77</v>
      </c>
      <c r="F24" s="438" t="s">
        <v>174</v>
      </c>
      <c r="G24" s="438" t="s">
        <v>175</v>
      </c>
      <c r="J24" s="954"/>
      <c r="K24" s="955"/>
      <c r="L24" s="955"/>
      <c r="M24" s="955"/>
      <c r="N24" s="956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5" t="s">
        <v>172</v>
      </c>
      <c r="H32" s="946"/>
      <c r="I32" s="947"/>
    </row>
    <row r="33" spans="1:12" hidden="1" x14ac:dyDescent="0.25">
      <c r="B33" s="961" t="s">
        <v>662</v>
      </c>
      <c r="C33" s="962"/>
      <c r="D33" s="962"/>
      <c r="E33" s="962"/>
      <c r="F33" s="963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4"/>
      <c r="C34" s="965"/>
      <c r="D34" s="965"/>
      <c r="E34" s="965"/>
      <c r="F34" s="966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5" t="s">
        <v>172</v>
      </c>
      <c r="H56" s="946"/>
      <c r="I56" s="947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29">
        <f>'MARK UP''s'!D12</f>
        <v>0.5</v>
      </c>
      <c r="H68" s="930"/>
      <c r="I68" s="930"/>
      <c r="J68" s="930"/>
      <c r="K68" s="929">
        <f>'MARK UP''s'!E12</f>
        <v>0.4</v>
      </c>
      <c r="L68" s="930"/>
      <c r="M68" s="930"/>
      <c r="N68" s="931"/>
      <c r="O68" s="458"/>
      <c r="P68" s="929">
        <f>'MARK UP''s'!F12</f>
        <v>0.3</v>
      </c>
      <c r="Q68" s="930"/>
      <c r="R68" s="930"/>
      <c r="S68" s="931"/>
    </row>
    <row r="69" spans="2:19" ht="16.5" hidden="1" thickBot="1" x14ac:dyDescent="0.3">
      <c r="C69" s="926" t="s">
        <v>77</v>
      </c>
      <c r="D69" s="927"/>
      <c r="E69" s="927"/>
      <c r="F69" s="928"/>
      <c r="G69" s="926" t="s">
        <v>77</v>
      </c>
      <c r="H69" s="927"/>
      <c r="I69" s="927"/>
      <c r="J69" s="927"/>
      <c r="K69" s="926" t="s">
        <v>174</v>
      </c>
      <c r="L69" s="927"/>
      <c r="M69" s="927"/>
      <c r="N69" s="928"/>
      <c r="O69" s="459"/>
      <c r="P69" s="926" t="s">
        <v>175</v>
      </c>
      <c r="Q69" s="927"/>
      <c r="R69" s="927"/>
      <c r="S69" s="928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2" t="s">
        <v>172</v>
      </c>
      <c r="E78" s="933"/>
      <c r="F78" s="934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8" t="s">
        <v>708</v>
      </c>
      <c r="C98" s="939"/>
      <c r="D98" s="942" t="s">
        <v>339</v>
      </c>
      <c r="E98" s="943"/>
      <c r="F98" s="943"/>
      <c r="G98" s="943"/>
      <c r="H98" s="943"/>
      <c r="I98" s="944"/>
    </row>
    <row r="99" spans="2:9" ht="15.75" hidden="1" thickBot="1" x14ac:dyDescent="0.3">
      <c r="B99" s="940"/>
      <c r="C99" s="94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2026-02-05T23:32:44Z</dcterms:modified>
</cp:coreProperties>
</file>