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ENERO 26\PO BS 012126EG-2 ANA KAREN CIPRES\"/>
    </mc:Choice>
  </mc:AlternateContent>
  <xr:revisionPtr revIDLastSave="0" documentId="8_{D15E3DA9-C25D-4BCC-AA15-6B90C178ACD2}" xr6:coauthVersionLast="47" xr6:coauthVersionMax="47" xr10:uidLastSave="{00000000-0000-0000-0000-000000000000}"/>
  <bookViews>
    <workbookView xWindow="-12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5" l="1"/>
  <c r="J17" i="5"/>
  <c r="BD16" i="5"/>
  <c r="BD15" i="5"/>
  <c r="BB16" i="5"/>
  <c r="BB15" i="5"/>
  <c r="BG17" i="5"/>
  <c r="BD17" i="5"/>
  <c r="BB17" i="5"/>
  <c r="AZ17" i="5"/>
  <c r="AY17" i="5"/>
  <c r="BH17" i="5" s="1"/>
  <c r="AX17" i="5"/>
  <c r="AT17" i="5"/>
  <c r="AS17" i="5"/>
  <c r="AK17" i="5"/>
  <c r="AH17" i="5"/>
  <c r="AG17" i="5"/>
  <c r="AJ17" i="5" s="1"/>
  <c r="AF17" i="5"/>
  <c r="AE17" i="5"/>
  <c r="B17" i="5"/>
  <c r="O7" i="5"/>
  <c r="J16" i="5"/>
  <c r="AC7" i="5"/>
  <c r="J15" i="5"/>
  <c r="AU17" i="5" l="1"/>
  <c r="AL17" i="5"/>
  <c r="AI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D18" i="5"/>
  <c r="AE19" i="5"/>
  <c r="AF19" i="5"/>
  <c r="AG19" i="5"/>
  <c r="AH19" i="5"/>
  <c r="AK19" i="5"/>
  <c r="AL19" i="5" s="1"/>
  <c r="AS19" i="5"/>
  <c r="AT19" i="5"/>
  <c r="AX19" i="5"/>
  <c r="AY19" i="5"/>
  <c r="BH19" i="5" s="1"/>
  <c r="AZ19" i="5"/>
  <c r="BB19" i="5"/>
  <c r="BD19" i="5"/>
  <c r="BG19" i="5"/>
  <c r="BI19" i="5" s="1"/>
  <c r="W19" i="5" s="1"/>
  <c r="AE20" i="5"/>
  <c r="AF20" i="5"/>
  <c r="AG20" i="5"/>
  <c r="AH20" i="5"/>
  <c r="AJ20" i="5"/>
  <c r="AK20" i="5"/>
  <c r="AS20" i="5"/>
  <c r="AT20" i="5"/>
  <c r="AU20" i="5" s="1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H21" i="5"/>
  <c r="AJ21" i="5"/>
  <c r="AL21" i="5" s="1"/>
  <c r="AK21" i="5"/>
  <c r="AS21" i="5"/>
  <c r="AT21" i="5"/>
  <c r="AU21" i="5" s="1"/>
  <c r="AX21" i="5"/>
  <c r="BG21" i="5" s="1"/>
  <c r="AY21" i="5"/>
  <c r="BH21" i="5" s="1"/>
  <c r="AZ21" i="5"/>
  <c r="BB21" i="5"/>
  <c r="BD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H23" i="5"/>
  <c r="AK23" i="5"/>
  <c r="AS23" i="5"/>
  <c r="AT23" i="5"/>
  <c r="AU23" i="5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M24" i="5" s="1"/>
  <c r="AK24" i="5"/>
  <c r="AS24" i="5"/>
  <c r="AT24" i="5"/>
  <c r="AU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L15" i="5" l="1"/>
  <c r="AJ23" i="5"/>
  <c r="AR24" i="5"/>
  <c r="AV24" i="5" s="1"/>
  <c r="AW24" i="5" s="1"/>
  <c r="AJ24" i="5"/>
  <c r="AL24" i="5" s="1"/>
  <c r="AU22" i="5"/>
  <c r="AJ19" i="5"/>
  <c r="BI20" i="5"/>
  <c r="W20" i="5" s="1"/>
  <c r="AL20" i="5"/>
  <c r="AI19" i="5"/>
  <c r="AM19" i="5" s="1"/>
  <c r="AN19" i="5" s="1"/>
  <c r="AO19" i="5" s="1"/>
  <c r="BE19" i="5" s="1"/>
  <c r="AI20" i="5"/>
  <c r="AM17" i="5"/>
  <c r="AN17" i="5" s="1"/>
  <c r="AO17" i="5" s="1"/>
  <c r="BE17" i="5" s="1"/>
  <c r="AR17" i="5"/>
  <c r="AV17" i="5" s="1"/>
  <c r="AU19" i="5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P21" i="5" s="1"/>
  <c r="AO21" i="5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4" i="5" l="1"/>
  <c r="BA24" i="5" s="1"/>
  <c r="BF24" i="5" s="1"/>
  <c r="AN24" i="5"/>
  <c r="AO24" i="5"/>
  <c r="BE24" i="5" s="1"/>
  <c r="BC23" i="5"/>
  <c r="BC21" i="5"/>
  <c r="BC19" i="5"/>
  <c r="AW17" i="5"/>
  <c r="BC17" i="5"/>
  <c r="AO20" i="5"/>
  <c r="BE20" i="5" s="1"/>
  <c r="AP17" i="5"/>
  <c r="AP19" i="5"/>
  <c r="BA19" i="5" s="1"/>
  <c r="BF19" i="5" s="1"/>
  <c r="AN16" i="5"/>
  <c r="AP16" i="5" s="1"/>
  <c r="AQ16" i="5" s="1"/>
  <c r="AR16" i="5"/>
  <c r="AV16" i="5" s="1"/>
  <c r="AR18" i="5"/>
  <c r="AV18" i="5" s="1"/>
  <c r="AN18" i="5"/>
  <c r="AO18" i="5" s="1"/>
  <c r="BE18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W18" i="5" l="1"/>
  <c r="BC18" i="5"/>
  <c r="BF20" i="5"/>
  <c r="BJ20" i="5" s="1"/>
  <c r="AQ17" i="5"/>
  <c r="BA17" i="5"/>
  <c r="BF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17" i="5" l="1"/>
  <c r="T17" i="5"/>
  <c r="AQ18" i="5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7" i="5" l="1"/>
  <c r="AA17" i="5" s="1"/>
  <c r="AB17" i="5"/>
  <c r="AC17" i="5" s="1"/>
  <c r="Z18" i="5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C16" i="5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D043A00F-6486-4F00-A19B-B33779701C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78D7E9B5-9FD2-4F69-A2BD-6BEB760AE3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B8573DD-A776-4B60-B952-436E6DC781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1A050352-12D1-4F71-B7C7-1BA0312CE2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C7ED931B-3489-4717-A18E-646EE4D46F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35CDD83A-E847-45B8-920C-C7E116F756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B16AB268-03C0-4AA2-86FB-78D666F014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0341095-E72D-421F-87A5-E73B379C57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5CA13B1-6FDE-4CA7-9830-7E395A77B9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CDD5A1BB-CC65-4D0F-82A3-60482D88C2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F06AE096-DDCF-426A-9EFA-A2C121602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D04B3D9-CB29-4F9A-88EE-5988A1B84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B8AABD7-E949-4AD6-BB4E-C105A424D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6B9674B-52DD-41AC-94B8-02E27A183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3AD16FA-ED92-4308-9124-3D6DEBF18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F677EA8-EE0F-4B24-9A31-3B6D622C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7F135928-2FCD-4BBE-9C2C-5A6A8622E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415FC01-965A-4451-B16F-3D84AD89E4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266EB425-E22A-482D-9CBF-BE1D5FDD82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E245A2C6-B47B-40E3-A67E-01688A87C2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38969F3-C494-4A99-9CC3-B7DF05FB4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37A1F94D-F9C2-4AD1-960D-9583AC4EEC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ADBB432C-9478-452F-92C3-CE9BA3874B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68812E64-34AC-4375-875E-526DE211F3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CD7419D3-F862-41C3-89F1-EDD0806352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B8393F5-C5C0-4438-BC8B-ABF26F43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<sst xmlns="http://schemas.openxmlformats.org/spreadsheetml/2006/main" count="9413" uniqueCount="758">
  <si>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</si>
  <si>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</si>
  <si>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</si>
  <si>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</si>
  <si>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</si>
  <si>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</si>
  <si>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</si>
  <si>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</si>
  <si>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</si>
  <si>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</si>
  <si>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</si>
  <si>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</si>
  <si>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</si>
  <si>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</si>
  <si>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</si>
  <si>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</si>
  <si>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</si>
  <si>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</si>
  <si>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</si>
  <si>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</si>
  <si>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</si>
  <si>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</si>
  <si>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</si>
  <si>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</si>
  <si>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</si>
  <si>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</si>
  <si>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</si>
  <si>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</si>
  <si>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</si>
  <si>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</si>
  <si>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</si>
  <si>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</si>
  <si>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</si>
  <si>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</si>
  <si>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</si>
  <si>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</si>
  <si>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</si>
  <si>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</si>
  <si>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</si>
  <si>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</si>
  <si>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</si>
  <si>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</si>
  <si>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</si>
  <si>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</si>
  <si>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</si>
  <si>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</si>
  <si>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</si>
  <si>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</si>
  <si>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</si>
  <si>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</si>
  <si>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</si>
  <si>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</si>
  <si>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</si>
  <si>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</si>
  <si>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</si>
  <si>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</si>
  <si>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</si>
  <si>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</si>
  <si>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</si>
  <si>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</si>
  <si>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</si>
  <si>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</si>
  <si>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</si>
  <si>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</si>
  <si>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</si>
  <si>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</si>
  <si>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</si>
  <si>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</si>
  <si>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</si>
  <si>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</si>
  <si>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</si>
  <si>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</si>
  <si>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</si>
  <si>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</si>
  <si>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</si>
  <si>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</si>
  <si>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</si>
  <si>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</si>
  <si>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</si>
  <si>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</si>
  <si>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</si>
  <si>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</si>
  <si>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</si>
  <si>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</si>
  <si>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</si>
  <si>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</si>
  <si>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</si>
  <si>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</si>
  <si>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</si>
  <si>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</si>
  <si>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</si>
  <si>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</si>
  <si>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</si>
  <si>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</si>
  <si>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</si>
  <si>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</si>
  <si>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</si>
  <si>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</si>
  <si>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</si>
  <si>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</si>
  <si>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</si>
  <si>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</si>
  <si>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</si>
  <si>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</si>
  <si>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</si>
  <si>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</si>
  <si>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</si>
  <si>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</si>
  <si>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</si>
  <si>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</si>
  <si>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</si>
  <si>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</si>
  <si>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</si>
  <si>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</si>
  <si>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</si>
  <si>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</si>
  <si>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</si>
  <si>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</si>
  <si>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</si>
  <si>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</si>
  <si>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</si>
  <si>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</si>
  <si>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</si>
  <si>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</si>
  <si>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</si>
  <si>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</si>
  <si>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</si>
  <si>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</si>
  <si>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</si>
  <si>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</si>
  <si>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</si>
  <si>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</si>
  <si>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</si>
  <si>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</si>
  <si>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</si>
  <si>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</si>
  <si>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</si>
  <si>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</si>
  <si>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</si>
  <si>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</si>
  <si>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</si>
  <si>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</si>
  <si>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</si>
  <si>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</si>
  <si>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</si>
  <si>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</si>
  <si>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</si>
  <si>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</si>
  <si>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</si>
  <si>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</si>
  <si>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</si>
  <si>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</si>
  <si>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</si>
  <si>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</si>
  <si>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</si>
  <si>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</si>
  <si>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</si>
  <si>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</si>
  <si>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</si>
  <si>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</si>
  <si>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</si>
  <si>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</si>
  <si>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</si>
  <si>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</si>
  <si>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</si>
  <si>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</si>
  <si>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</si>
  <si>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</si>
  <si>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</si>
  <si>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</si>
  <si>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</si>
  <si>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</si>
  <si>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</si>
  <si>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</si>
  <si>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</si>
  <si>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</si>
  <si>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</si>
  <si>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</si>
  <si>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</si>
  <si>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</si>
  <si>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</si>
  <si>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</si>
  <si>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</si>
  <si>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</si>
  <si>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</si>
  <si>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</si>
  <si>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</si>
  <si>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</si>
  <si>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</si>
  <si>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</si>
  <si>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</si>
  <si>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</si>
  <si>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</si>
  <si>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</si>
  <si>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</si>
  <si>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</si>
  <si>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</si>
  <si>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</si>
  <si>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</si>
  <si>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</si>
  <si>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</si>
  <si>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</si>
  <si>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</si>
  <si>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</si>
  <si>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</si>
  <si>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</si>
  <si>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</si>
  <si>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</si>
  <si>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</si>
  <si>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</si>
  <si>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</si>
  <si>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</si>
  <si>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</si>
  <si>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</si>
  <si>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</si>
  <si>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</si>
  <si>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</si>
  <si>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</si>
  <si>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</si>
  <si>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</si>
  <si>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</si>
  <si>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</si>
  <si>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</si>
  <si>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</si>
  <si>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</si>
  <si>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</si>
  <si>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</si>
  <si>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</si>
  <si>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</si>
  <si>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</si>
  <si>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</si>
  <si>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</si>
  <si>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</si>
  <si>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</si>
  <si>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</si>
  <si>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</si>
  <si>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</si>
  <si>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</si>
  <si>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</si>
  <si>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</si>
  <si>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</si>
  <si>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</si>
  <si>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</si>
  <si>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</si>
  <si>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</si>
  <si>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</si>
  <si>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</si>
  <si>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</si>
  <si>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</si>
  <si>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</si>
  <si>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</si>
  <si>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</si>
  <si>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</si>
  <si>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</si>
  <si>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</si>
  <si>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</si>
  <si>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</si>
  <si>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</si>
  <si>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</si>
  <si>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</si>
  <si>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</si>
  <si>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</si>
  <si>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</si>
  <si>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</si>
  <si>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</si>
  <si>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</si>
  <si>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</si>
  <si>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</si>
  <si>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</si>
  <si>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</si>
  <si>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</si>
  <si>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</si>
  <si>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</si>
  <si>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</si>
  <si>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</si>
  <si>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</si>
  <si>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</si>
  <si>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</si>
  <si>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</si>
  <si>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</si>
  <si>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</si>
  <si>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</si>
  <si>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</si>
  <si>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</si>
  <si>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</si>
  <si>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</si>
  <si>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</si>
  <si>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</si>
  <si>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</si>
  <si>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</si>
  <si>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</si>
  <si>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</si>
  <si>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</si>
  <si>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</si>
  <si>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</si>
  <si>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</si>
  <si>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</si>
  <si>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</si>
  <si>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</si>
  <si>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</si>
  <si>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</si>
  <si>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</si>
  <si>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</si>
  <si>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</si>
  <si>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</si>
  <si>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</si>
  <si>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</si>
  <si>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</si>
  <si>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</si>
  <si>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</si>
  <si>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</si>
  <si>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</si>
  <si>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</si>
  <si>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</si>
  <si>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</si>
  <si>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</si>
  <si>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</si>
  <si>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</si>
  <si>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</si>
  <si>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</si>
  <si>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</si>
  <si>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</si>
  <si>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</si>
  <si>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</si>
  <si>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</si>
  <si>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</si>
  <si>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</si>
  <si>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</si>
  <si>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</si>
  <si>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</si>
  <si>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</si>
  <si>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</si>
  <si>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</si>
  <si>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</si>
  <si>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</si>
  <si>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</si>
  <si>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</si>
  <si>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</si>
  <si>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</si>
  <si>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</si>
  <si>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</si>
  <si>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</si>
  <si>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</si>
  <si>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</si>
  <si>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</si>
  <si>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</si>
  <si>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</si>
  <si>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</si>
  <si>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</si>
  <si>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</si>
  <si>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</si>
  <si>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</si>
  <si>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</si>
  <si>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</si>
  <si>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</si>
  <si>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</si>
  <si>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</si>
  <si>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</si>
  <si>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</si>
  <si>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</si>
  <si>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</si>
  <si>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</si>
  <si>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</si>
  <si>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</si>
  <si>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</si>
  <si>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</si>
  <si>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</si>
  <si>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</si>
  <si>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</si>
  <si>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</si>
  <si>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</si>
  <si>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</si>
  <si>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</si>
  <si>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</si>
  <si>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</si>
  <si>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</si>
  <si>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</si>
  <si>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</si>
  <si>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</si>
  <si>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</si>
  <si>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</si>
  <si>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</si>
  <si>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</si>
  <si>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</si>
  <si>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</si>
  <si>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</si>
  <si>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</si>
  <si>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</si>
  <si>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</si>
  <si>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</si>
  <si>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</si>
  <si>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</si>
  <si>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</si>
  <si>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</si>
  <si>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</si>
  <si>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</si>
  <si>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</si>
  <si>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</si>
  <si>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</si>
  <si>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</si>
  <si>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</si>
  <si>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</si>
  <si>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</si>
  <si>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</si>
  <si>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</si>
  <si>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</si>
  <si>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</si>
  <si>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</si>
  <si>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</si>
  <si>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</si>
  <si>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</si>
  <si>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</si>
  <si>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</si>
  <si>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</si>
  <si>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</si>
  <si>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</si>
  <si>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</si>
  <si>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</si>
  <si>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</si>
  <si>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</si>
  <si>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</si>
  <si>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</si>
  <si>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</si>
  <si>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</si>
  <si>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</si>
  <si>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</si>
  <si>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</si>
  <si>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</si>
  <si>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</si>
  <si>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</si>
  <si>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</si>
  <si>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</si>
  <si>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</si>
  <si>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</si>
  <si>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</si>
  <si>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</si>
  <si>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</si>
  <si>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</si>
  <si>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</si>
  <si>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</si>
  <si>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</si>
  <si>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</si>
  <si>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</si>
  <si>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</si>
  <si>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</si>
  <si>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</si>
  <si>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</si>
  <si>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</si>
  <si>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</si>
  <si>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</si>
  <si>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</si>
  <si>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</si>
  <si>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</si>
  <si>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</si>
  <si>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</si>
  <si>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</si>
  <si>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</si>
  <si>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</si>
  <si>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</si>
  <si>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</si>
  <si>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</si>
  <si>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</si>
  <si>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</si>
  <si>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</si>
  <si>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</si>
  <si>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</si>
  <si>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</si>
  <si>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</si>
  <si>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</si>
  <si>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</si>
  <si>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</si>
  <si>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</si>
  <si>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</si>
  <si>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</si>
  <si>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</si>
  <si>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</si>
  <si>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</si>
  <si>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</si>
  <si>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</si>
  <si>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</si>
  <si>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</si>
  <si>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</si>
  <si>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</si>
  <si>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</si>
  <si>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</si>
  <si>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</si>
  <si>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</si>
  <si>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</si>
  <si>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</si>
  <si>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</si>
  <si>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</si>
  <si>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</si>
  <si>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</si>
  <si>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</si>
  <si>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</si>
  <si>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</si>
  <si>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</si>
  <si>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</si>
  <si>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</si>
  <si>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</si>
  <si>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</si>
  <si>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</si>
  <si>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</si>
  <si>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</si>
  <si>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</si>
  <si>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</si>
  <si>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</si>
  <si>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</si>
  <si>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</si>
  <si>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</si>
  <si>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</si>
  <si>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</si>
  <si>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</si>
  <si>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</si>
  <si>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</si>
  <si>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</si>
  <si>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</si>
  <si>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</si>
  <si>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</si>
  <si>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</si>
  <si>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</si>
  <si>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</si>
  <si>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</si>
  <si>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</si>
  <si>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</si>
  <si>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</si>
  <si>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</si>
  <si>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</si>
  <si>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</si>
  <si>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</si>
  <si>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</si>
  <si>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</si>
  <si>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</si>
  <si>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</si>
  <si>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</si>
  <si>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</si>
  <si>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</si>
  <si>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</si>
  <si>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</si>
  <si>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</si>
  <si>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</si>
  <si>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</si>
  <si>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</si>
  <si>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</si>
  <si>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</si>
  <si>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</si>
  <si>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</si>
  <si>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</si>
  <si>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</si>
  <si>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</si>
  <si>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</si>
  <si>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</si>
  <si>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</si>
  <si>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</si>
  <si>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</si>
  <si>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</si>
  <si>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</si>
  <si>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</si>
  <si>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</si>
  <si>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</si>
  <si>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</si>
  <si>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</si>
  <si>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</si>
  <si>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</si>
  <si>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</si>
  <si>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</si>
  <si>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</si>
  <si>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</si>
  <si>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</si>
  <si>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</si>
  <si>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</si>
  <si>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</si>
  <si>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</si>
  <si>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</si>
  <si>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</si>
  <si>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</si>
  <si>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</si>
  <si>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</si>
  <si>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</si>
  <si>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</si>
  <si>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</si>
  <si>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</si>
  <si>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</si>
  <si>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</si>
  <si>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</si>
  <si>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</si>
  <si>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</si>
  <si>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</si>
  <si>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</si>
  <si>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</si>
  <si>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</si>
  <si>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</si>
  <si>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</si>
  <si>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</si>
  <si>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</si>
  <si>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</si>
  <si>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</si>
  <si>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</si>
  <si>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</si>
  <si>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</si>
  <si>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</si>
  <si>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</si>
  <si>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</si>
  <si>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</si>
  <si>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</si>
  <si>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</si>
  <si>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</si>
  <si>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</si>
  <si>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</si>
  <si>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</si>
  <si>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</si>
  <si>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</si>
  <si>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</si>
  <si>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</si>
  <si>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</si>
  <si>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</si>
  <si>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</si>
  <si>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</si>
  <si>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</si>
  <si>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</si>
  <si>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</si>
  <si>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</si>
  <si>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</si>
  <si>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</si>
  <si>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</si>
  <si>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</si>
  <si>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</si>
  <si>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</si>
  <si>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</si>
  <si>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</si>
  <si>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</si>
  <si>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</si>
  <si>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</si>
  <si>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</si>
  <si>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</si>
  <si>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</si>
  <si>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</si>
  <si>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</si>
  <si>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</si>
  <si>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</si>
  <si>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</si>
  <si>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</si>
  <si>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</si>
  <si>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</si>
  <si>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</si>
  <si>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</si>
  <si>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</si>
  <si>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</si>
  <si>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</si>
  <si>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</si>
  <si>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</si>
  <si>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</si>
  <si>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</si>
  <si>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</si>
  <si>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</si>
  <si>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</si>
  <si>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</si>
  <si>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</si>
  <si>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</si>
  <si>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</si>
  <si>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</si>
  <si>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</si>
  <si>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</si>
  <si>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</si>
  <si>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</si>
  <si>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</si>
  <si>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</si>
  <si>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</si>
  <si>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</si>
  <si>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</si>
  <si>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</si>
  <si>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</si>
  <si>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</si>
  <si>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</si>
  <si>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</si>
  <si>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</si>
  <si>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</si>
  <si>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</si>
  <si>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</si>
  <si>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</si>
  <si>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</si>
  <si>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</si>
  <si>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</si>
  <si>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</si>
  <si>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</si>
  <si>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</si>
  <si>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</si>
  <si>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</si>
  <si>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</si>
  <si>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</si>
  <si>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</si>
  <si>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</si>
  <si>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</si>
  <si>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</si>
  <si>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</si>
  <si>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</si>
  <si>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</si>
  <si>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</si>
  <si>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</si>
  <si>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</si>
  <si>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</si>
  <si>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</si>
  <si>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</si>
  <si>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</si>
  <si>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</si>
  <si>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</si>
  <si>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</si>
  <si>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</si>
  <si>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</si>
  <si>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</si>
  <si>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</si>
  <si>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</si>
  <si>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</si>
  <si>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</si>
  <si>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</si>
  <si>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</si>
  <si>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</si>
  <si>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</si>
  <si>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</si>
  <si>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</si>
  <si>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</si>
  <si>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</si>
  <si>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</si>
  <si>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</si>
  <si>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</si>
  <si>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</si>
  <si>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</si>
  <si>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</si>
  <si>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</si>
  <si>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</si>
  <si>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</si>
  <si>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</si>
  <si>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</si>
  <si>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</si>
  <si>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</si>
  <si>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</si>
  <si>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</si>
  <si>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</si>
  <si>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</si>
  <si>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</si>
  <si>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</si>
  <si>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</si>
  <si>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</si>
  <si>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</si>
  <si>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</si>
  <si>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</si>
  <si>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</si>
  <si>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</si>
  <si>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</si>
  <si>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</si>
  <si>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ANA KAREN CIPRES</t>
  </si>
  <si>
    <t>ROSARITO</t>
  </si>
  <si>
    <t>BS 012126EG-2</t>
  </si>
  <si>
    <t>SALA A</t>
  </si>
  <si>
    <t>SALA B</t>
  </si>
  <si>
    <t>SALA C</t>
  </si>
  <si>
    <t>SALA D</t>
  </si>
  <si>
    <t>fairbanks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</si>
</sst>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8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AA18" sqref="AA18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012126EG-2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ANA KAREN CIPRES</v>
      </c>
      <c r="L4" s="340"/>
      <c r="N4" s="340" t="str">
        <f>'FILL QUOTE-CALCULATIONS'!O6</f>
        <v>ROSARITO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ANA KAREN CIPRES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46043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8" t="str">
        <f>'FILL QUOTE-CALCULATIONS'!P12:S12</f>
        <v>HARDWARE</v>
      </c>
      <c r="Q10" s="908"/>
      <c r="R10" s="908"/>
      <c r="S10" s="908"/>
      <c r="T10" s="352" t="str">
        <f>'FILL QUOTE-CALCULATIONS'!T12</f>
        <v>DRAPERIES</v>
      </c>
      <c r="U10" s="352" t="str">
        <f>'FILL QUOTE-CALCULATIONS'!W12</f>
        <v>HARDWARE</v>
      </c>
      <c r="V10" s="908" t="str">
        <f>'FILL QUOTE-CALCULATIONS'!AB12</f>
        <v>TOTALS</v>
      </c>
      <c r="W10" s="908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SHEER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LINE-VTLUX</v>
      </c>
      <c r="I12" s="360" t="str">
        <f>IF(OR(C12&lt;1,C12=""),"",IF('FILL QUOTE-CALCULATIONS'!$S$4="INGLES",'FILL QUOTE-CALCULATIONS'!I15,VLOOKUP('FILL QUOTE-CALCULATIONS'!I15,'DROP LIST'!$M$15:$N$18,2,0)))</f>
        <v>SH-VTX-SMOOTH</v>
      </c>
      <c r="J12" s="360" t="str">
        <f>'FILL QUOTE-CALCULATIONS'!J15</f>
        <v/>
      </c>
      <c r="K12" s="360" t="str">
        <f>IF(OR(C12&lt;1,C12=""),"",'FILL QUOTE-CALCULATIONS'!K15)</f>
        <v>fairbanks cream</v>
      </c>
      <c r="L12" s="360" t="str">
        <f>IF(OR(C12&lt;1,C12=""),"",IF('FILL QUOTE-CALCULATIONS'!$S$4="INGLES",'FILL QUOTE-CALCULATIONS'!L15,VLOOKUP('FILL QUOTE-CALCULATIONS'!L15,'DROP LIST'!$B$25:$C$31,2,0)))</f>
        <v>POLYCOTTON WHITE</v>
      </c>
      <c r="M12" s="360" t="str">
        <f>IF(OR(E12&lt;1,E12=""),"",'FILL QUOTE-CALCULATIONS'!M15)</f>
        <v>SALA A</v>
      </c>
      <c r="N12" s="362">
        <f>IF(OR(C12&lt;1,C12=""),"",'FILL QUOTE-CALCULATIONS'!N15)</f>
        <v>36.5</v>
      </c>
      <c r="O12" s="362">
        <f>IF(OR(C12&lt;1,C12=""),"",'FILL QUOTE-CALCULATIONS'!O15)</f>
        <v>107.25</v>
      </c>
      <c r="P12" s="360" t="str">
        <f>IF(OR(C12&lt;1,C12=""),"",IF('FILL QUOTE-CALCULATIONS'!$S$4="INGLES",'FILL QUOTE-CALCULATIONS'!P15, VLOOKUP('FILL QUOTE-CALCULATIONS'!P15,'DROP LIST'!$E$25:$F$27,2,0)))</f>
        <v>TO CEILING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245.20000000000002</v>
      </c>
      <c r="U12" s="364">
        <f>IF(OR(C12&lt;1,C12=""),"",'FILL QUOTE-CALCULATIONS'!W15)</f>
        <v>53.150000000000006</v>
      </c>
      <c r="V12" s="365">
        <f>IF(OR(C12&lt;1,C12=""),"",IF('FILL QUOTE-CALCULATIONS'!$S$3="DOLLARS",'FILL QUOTE-CALCULATIONS'!AB15,'FILL QUOTE-CALCULATIONS'!AB15*'FILL QUOTE-CALCULATIONS'!$AC$4))</f>
        <v>298.35000000000002</v>
      </c>
      <c r="W12" s="366">
        <f>IF(OR(C12&lt;1,C12=""),"",IF('FILL QUOTE-CALCULATIONS'!$S$3="DOLLARS",'FILL QUOTE-CALCULATIONS'!AC15,'FILL QUOTE-CALCULATIONS'!AC15*'FILL QUOTE-CALCULATIONS'!$AC$4))</f>
        <v>298.35000000000002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RIPPLEFOLD</v>
      </c>
      <c r="F13" s="360" t="str">
        <f>IF(OR(C13&lt;1,C13=""),"",IF('FILL QUOTE-CALCULATIONS'!$S$4="INGLES",'FILL QUOTE-CALCULATIONS'!F16,VLOOKUP('FILL QUOTE-CALCULATIONS'!F16,'DROP LIST'!$H$7:$I$19,2,0)))</f>
        <v>SHEER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LINE-VTLUX</v>
      </c>
      <c r="I13" s="360" t="str">
        <f>IF(OR(C13&lt;1,C13=""),"",IF('FILL QUOTE-CALCULATIONS'!$S$4="INGLES",'FILL QUOTE-CALCULATIONS'!I16,VLOOKUP('FILL QUOTE-CALCULATIONS'!I16,'DROP LIST'!$M$15:$N$18,2,0)))</f>
        <v>SH-VTX-SMOOTH</v>
      </c>
      <c r="J13" s="360" t="str">
        <f>'FILL QUOTE-CALCULATIONS'!J16</f>
        <v/>
      </c>
      <c r="K13" s="360" t="str">
        <f>IF(OR(C13&lt;1,C13=""),"",'FILL QUOTE-CALCULATIONS'!K16)</f>
        <v>fairbanks cream</v>
      </c>
      <c r="L13" s="360" t="str">
        <f>IF(OR(C13&lt;1,C13=""),"",IF('FILL QUOTE-CALCULATIONS'!$S$4="INGLES",'FILL QUOTE-CALCULATIONS'!L16,VLOOKUP('FILL QUOTE-CALCULATIONS'!L16,'DROP LIST'!$B$25:$C$31,2,0)))</f>
        <v>POLYCOTTON WHITE</v>
      </c>
      <c r="M13" s="360" t="str">
        <f>IF(OR(E13&lt;1,E13=""),"",'FILL QUOTE-CALCULATIONS'!M16)</f>
        <v>SALA B</v>
      </c>
      <c r="N13" s="362">
        <f>IF(OR(C13&lt;1,C13=""),"",'FILL QUOTE-CALCULATIONS'!N16)</f>
        <v>34</v>
      </c>
      <c r="O13" s="362">
        <f>IF(OR(C13&lt;1,C13=""),"",'FILL QUOTE-CALCULATIONS'!O16)</f>
        <v>107.25</v>
      </c>
      <c r="P13" s="360" t="str">
        <f>IF(OR(C13&lt;1,C13=""),"",IF('FILL QUOTE-CALCULATIONS'!$S$4="INGLES",'FILL QUOTE-CALCULATIONS'!P16, VLOOKUP('FILL QUOTE-CALCULATIONS'!P16,'DROP LIST'!$E$25:$F$27,2,0)))</f>
        <v>TO CEILING</v>
      </c>
      <c r="Q13" s="360" t="str">
        <f>IF(OR(C13&lt;1,C13=""),"",IF('FILL QUOTE-CALCULATIONS'!$S$4="INGLES",'FILL QUOTE-CALCULATIONS'!Q16,VLOOKUP('FILL QUOTE-CALCULATIONS'!Q16,'DROP LIST'!$H$25:$I$36,2,0)))</f>
        <v>STD. TRACK - RIPP. -BATON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245.20000000000002</v>
      </c>
      <c r="U13" s="364">
        <f>IF(OR(C13&lt;1,C13=""),"",'FILL QUOTE-CALCULATIONS'!W16)</f>
        <v>50.300000000000004</v>
      </c>
      <c r="V13" s="365">
        <f>IF(OR(C13&lt;1,C13=""),"",IF('FILL QUOTE-CALCULATIONS'!$S$3="DOLLARS",'FILL QUOTE-CALCULATIONS'!AB16,'FILL QUOTE-CALCULATIONS'!AB16*'FILL QUOTE-CALCULATIONS'!$AC$4))</f>
        <v>295.5</v>
      </c>
      <c r="W13" s="366">
        <f>IF(OR(C13&lt;1,C13=""),"",IF('FILL QUOTE-CALCULATIONS'!$S$3="DOLLARS",'FILL QUOTE-CALCULATIONS'!AC16,'FILL QUOTE-CALCULATIONS'!AC16*'FILL QUOTE-CALCULATIONS'!$AC$4))</f>
        <v>295.5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PAIR</v>
      </c>
      <c r="E14" s="360" t="str">
        <f>IF(OR(C14&lt;1,C14=""),"",IF('FILL QUOTE-CALCULATIONS'!$S$4="INGLES",'FILL QUOTE-CALCULATIONS'!E17,VLOOKUP('FILL QUOTE-CALCULATIONS'!E17,'DROP LIST'!$E$7:$F$15,2,0)))</f>
        <v>RIPPLEFOLD</v>
      </c>
      <c r="F14" s="360" t="str">
        <f>IF(OR(C14&lt;1,C14=""),"",IF('FILL QUOTE-CALCULATIONS'!$S$4="INGLES",'FILL QUOTE-CALCULATIONS'!F17,VLOOKUP('FILL QUOTE-CALCULATIONS'!F17,'DROP LIST'!$H$7:$I$19,2,0)))</f>
        <v>SHEER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LINE-VTLUX</v>
      </c>
      <c r="I14" s="360" t="str">
        <f>IF(OR(C14&lt;1,C14=""),"",IF('FILL QUOTE-CALCULATIONS'!$S$4="INGLES",'FILL QUOTE-CALCULATIONS'!I17,VLOOKUP('FILL QUOTE-CALCULATIONS'!I17,'DROP LIST'!$M$15:$N$18,2,0)))</f>
        <v>SH-VTX-SMOOTH</v>
      </c>
      <c r="J14" s="360" t="str">
        <f>'FILL QUOTE-CALCULATIONS'!J17</f>
        <v/>
      </c>
      <c r="K14" s="360" t="str">
        <f>IF(OR(C14&lt;1,C14=""),"",'FILL QUOTE-CALCULATIONS'!K17)</f>
        <v>fairbanks cream</v>
      </c>
      <c r="L14" s="360" t="str">
        <f>IF(OR(C14&lt;1,C14=""),"",IF('FILL QUOTE-CALCULATIONS'!$S$4="INGLES",'FILL QUOTE-CALCULATIONS'!L17,VLOOKUP('FILL QUOTE-CALCULATIONS'!L17,'DROP LIST'!$B$25:$C$31,2,0)))</f>
        <v>POLYCOTTON WHITE</v>
      </c>
      <c r="M14" s="360" t="str">
        <f>IF(OR(E14&lt;1,E14=""),"",'FILL QUOTE-CALCULATIONS'!M17)</f>
        <v>SALA C</v>
      </c>
      <c r="N14" s="362">
        <f>IF(OR(C14&lt;1,C14=""),"",'FILL QUOTE-CALCULATIONS'!N17)</f>
        <v>35</v>
      </c>
      <c r="O14" s="362">
        <f>IF(OR(C14&lt;1,C14=""),"",'FILL QUOTE-CALCULATIONS'!O17)</f>
        <v>107.25</v>
      </c>
      <c r="P14" s="360" t="str">
        <f>IF(OR(C14&lt;1,C14=""),"",IF('FILL QUOTE-CALCULATIONS'!$S$4="INGLES",'FILL QUOTE-CALCULATIONS'!P17, VLOOKUP('FILL QUOTE-CALCULATIONS'!P17,'DROP LIST'!$E$25:$F$27,2,0)))</f>
        <v>TO CEILING</v>
      </c>
      <c r="Q14" s="360" t="str">
        <f>IF(OR(C14&lt;1,C14=""),"",IF('FILL QUOTE-CALCULATIONS'!$S$4="INGLES",'FILL QUOTE-CALCULATIONS'!Q17,VLOOKUP('FILL QUOTE-CALCULATIONS'!Q17,'DROP LIST'!$H$25:$I$36,2,0)))</f>
        <v>STD. TRACK - RIPP. -BATON</v>
      </c>
      <c r="R14" s="362" t="str">
        <f>IF('FILL QUOTE-CALCULATIONS'!R17="","",'FILL QUOTE-CALCULATIONS'!R17)</f>
        <v>WHITE</v>
      </c>
      <c r="S14" s="360" t="str">
        <f>IF(OR(C14&lt;1,C14=""),"",IF('FILL QUOTE-CALCULATIONS'!$S$4="INGLES",'FILL QUOTE-CALCULATIONS'!S17,VLOOKUP('FILL QUOTE-CALCULATIONS'!S17,'DROP LIST'!$H$43:$I$46,2,0)))</f>
        <v>WHITE</v>
      </c>
      <c r="T14" s="363">
        <f>IF(OR(C14&lt;1,C14=""),"",'FILL QUOTE-CALCULATIONS'!T17)</f>
        <v>233.70000000000002</v>
      </c>
      <c r="U14" s="364">
        <f>IF(OR(C14&lt;1,C14=""),"",'FILL QUOTE-CALCULATIONS'!W17)</f>
        <v>31.650000000000002</v>
      </c>
      <c r="V14" s="365">
        <f>IF(OR(C14&lt;1,C14=""),"",IF('FILL QUOTE-CALCULATIONS'!$S$3="DOLLARS",'FILL QUOTE-CALCULATIONS'!AB17,'FILL QUOTE-CALCULATIONS'!AB17*'FILL QUOTE-CALCULATIONS'!$AC$4))</f>
        <v>265.35000000000002</v>
      </c>
      <c r="W14" s="366">
        <f>IF(OR(C14&lt;1,C14=""),"",IF('FILL QUOTE-CALCULATIONS'!$S$3="DOLLARS",'FILL QUOTE-CALCULATIONS'!AC17,'FILL QUOTE-CALCULATIONS'!AC17*'FILL QUOTE-CALCULATIONS'!$AC$4))</f>
        <v>265.35000000000002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PAIR</v>
      </c>
      <c r="E15" s="360" t="str">
        <f>IF(OR(C15&lt;1,C15=""),"",IF('FILL QUOTE-CALCULATIONS'!$S$4="INGLES",'FILL QUOTE-CALCULATIONS'!E18,VLOOKUP('FILL QUOTE-CALCULATIONS'!E18,'DROP LIST'!$E$7:$F$15,2,0)))</f>
        <v>RIPPLEFOLD</v>
      </c>
      <c r="F15" s="360" t="str">
        <f>IF(OR(C15&lt;1,C15=""),"",IF('FILL QUOTE-CALCULATIONS'!$S$4="INGLES",'FILL QUOTE-CALCULATIONS'!F18,VLOOKUP('FILL QUOTE-CALCULATIONS'!F18,'DROP LIST'!$H$7:$I$19,2,0)))</f>
        <v>SHEER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LINE-VTLUX</v>
      </c>
      <c r="I15" s="360" t="str">
        <f>IF(OR(C15&lt;1,C15=""),"",IF('FILL QUOTE-CALCULATIONS'!$S$4="INGLES",'FILL QUOTE-CALCULATIONS'!I18,VLOOKUP('FILL QUOTE-CALCULATIONS'!I18,'DROP LIST'!$M$15:$N$18,2,0)))</f>
        <v>SH-VTX-SMOOTH</v>
      </c>
      <c r="J15" s="360" t="str">
        <f>'FILL QUOTE-CALCULATIONS'!J18</f>
        <v/>
      </c>
      <c r="K15" s="360" t="str">
        <f>IF(OR(C15&lt;1,C15=""),"",'FILL QUOTE-CALCULATIONS'!K18)</f>
        <v>fairbanks cream</v>
      </c>
      <c r="L15" s="360" t="str">
        <f>IF(OR(C15&lt;1,C15=""),"",IF('FILL QUOTE-CALCULATIONS'!$S$4="INGLES",'FILL QUOTE-CALCULATIONS'!L18,VLOOKUP('FILL QUOTE-CALCULATIONS'!L18,'DROP LIST'!$B$25:$C$31,2,0)))</f>
        <v>POLYCOTTON WHITE</v>
      </c>
      <c r="M15" s="360" t="str">
        <f>IF(OR(E15&lt;1,E15=""),"",'FILL QUOTE-CALCULATIONS'!M18)</f>
        <v>SALA D</v>
      </c>
      <c r="N15" s="362">
        <f>IF(OR(C15&lt;1,C15=""),"",'FILL QUOTE-CALCULATIONS'!N18)</f>
        <v>30</v>
      </c>
      <c r="O15" s="362">
        <f>IF(OR(C15&lt;1,C15=""),"",'FILL QUOTE-CALCULATIONS'!O18)</f>
        <v>107.25</v>
      </c>
      <c r="P15" s="360" t="str">
        <f>IF(OR(C15&lt;1,C15=""),"",IF('FILL QUOTE-CALCULATIONS'!$S$4="INGLES",'FILL QUOTE-CALCULATIONS'!P18, VLOOKUP('FILL QUOTE-CALCULATIONS'!P18,'DROP LIST'!$E$25:$F$27,2,0)))</f>
        <v>TO CEILING</v>
      </c>
      <c r="Q15" s="360" t="str">
        <f>IF(OR(C15&lt;1,C15=""),"",IF('FILL QUOTE-CALCULATIONS'!$S$4="INGLES",'FILL QUOTE-CALCULATIONS'!Q18,VLOOKUP('FILL QUOTE-CALCULATIONS'!Q18,'DROP LIST'!$H$25:$I$36,2,0)))</f>
        <v>STD. TRACK - RIPP. -BATON</v>
      </c>
      <c r="R15" s="362" t="str">
        <f>IF('FILL QUOTE-CALCULATIONS'!R18="","",'FILL QUOTE-CALCULATIONS'!R18)</f>
        <v>WHITE</v>
      </c>
      <c r="S15" s="360" t="str">
        <f>IF(OR(C15&lt;1,C15=""),"",IF('FILL QUOTE-CALCULATIONS'!$S$4="INGLES",'FILL QUOTE-CALCULATIONS'!S18,VLOOKUP('FILL QUOTE-CALCULATIONS'!S18,'DROP LIST'!$H$43:$I$46,2,0)))</f>
        <v>WHITE</v>
      </c>
      <c r="T15" s="363">
        <f>IF(OR(C15&lt;1,C15=""),"",'FILL QUOTE-CALCULATIONS'!T18)</f>
        <v>237.20000000000002</v>
      </c>
      <c r="U15" s="364">
        <f>IF(OR(C15&lt;1,C15=""),"",'FILL QUOTE-CALCULATIONS'!W18)</f>
        <v>45.800000000000004</v>
      </c>
      <c r="V15" s="365">
        <f>IF(OR(C15&lt;1,C15=""),"",IF('FILL QUOTE-CALCULATIONS'!$S$3="DOLLARS",'FILL QUOTE-CALCULATIONS'!AB18,'FILL QUOTE-CALCULATIONS'!AB18*'FILL QUOTE-CALCULATIONS'!$AC$4))</f>
        <v>283</v>
      </c>
      <c r="W15" s="366">
        <f>IF(OR(C15&lt;1,C15=""),"",IF('FILL QUOTE-CALCULATIONS'!$S$3="DOLLARS",'FILL QUOTE-CALCULATIONS'!AC18,'FILL QUOTE-CALCULATIONS'!AC18*'FILL QUOTE-CALCULATIONS'!$AC$4))</f>
        <v>283</v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1142.2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0.40000000000000008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456.88000000000011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685.31999999999994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9" t="str">
        <f>'FILL QUOTE-CALCULATIONS'!AB76</f>
        <v>ESAU GOMEZ</v>
      </c>
      <c r="W76" s="909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3" t="str">
        <f>IF('CALC -P.P. - H-RAIL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3" t="str">
        <f>IF('CALC -RIPP- MOT.PLUG IN'!S4="INGLES","DESCRIPTION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3" t="str">
        <f>IF('CALC -P.P.- MOT.PLUG IN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0" t="s">
        <v>348</v>
      </c>
      <c r="R3" s="971"/>
      <c r="S3" s="971"/>
      <c r="T3" s="972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18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245.20000000000002</v>
      </c>
      <c r="D19" s="109">
        <f>'FILL QUOTE-CALCULATIONS'!BF16</f>
        <v>245.20000000000002</v>
      </c>
      <c r="E19" s="109">
        <f>'FILL QUOTE-CALCULATIONS'!BF17</f>
        <v>233.70000000000002</v>
      </c>
      <c r="F19" s="109">
        <f>'FILL QUOTE-CALCULATIONS'!BF18</f>
        <v>237.20000000000002</v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0.75</v>
      </c>
      <c r="D24" s="73">
        <f>'FILL QUOTE-CALCULATIONS'!AN16</f>
        <v>0.75</v>
      </c>
      <c r="E24" s="73">
        <f>'FILL QUOTE-CALCULATIONS'!AN17</f>
        <v>0.75</v>
      </c>
      <c r="F24" s="73">
        <f>'FILL QUOTE-CALCULATIONS'!AN18</f>
        <v>0.75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490.40000000000003</v>
      </c>
      <c r="D29" s="119">
        <f>E19</f>
        <v>233.70000000000002</v>
      </c>
      <c r="E29" s="119">
        <f>E19</f>
        <v>233.70000000000002</v>
      </c>
      <c r="F29" s="119">
        <f>D19*2</f>
        <v>490.40000000000003</v>
      </c>
      <c r="G29" s="119" t="str">
        <f>G19</f>
        <v/>
      </c>
      <c r="H29" s="119">
        <f>E19*2</f>
        <v>467.40000000000003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106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0.75</v>
      </c>
      <c r="D24" s="73">
        <f>'FILL QUOTE-CALCULATIONS'!AN16</f>
        <v>0.75</v>
      </c>
      <c r="E24" s="73">
        <f>'FILL QUOTE-CALCULATIONS'!AN17</f>
        <v>0.75</v>
      </c>
      <c r="F24" s="73">
        <f>'FILL QUOTE-CALCULATIONS'!AN18</f>
        <v>0.75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0" t="s">
        <v>17</v>
      </c>
      <c r="C4" s="980"/>
      <c r="D4" s="981" t="s">
        <v>106</v>
      </c>
      <c r="E4" s="981"/>
      <c r="F4" s="981"/>
      <c r="G4" s="981"/>
      <c r="H4" s="981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0"/>
      <c r="C5" s="980"/>
      <c r="D5" s="981"/>
      <c r="E5" s="981"/>
      <c r="F5" s="981"/>
      <c r="G5" s="981"/>
      <c r="H5" s="981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2" t="s">
        <v>48</v>
      </c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4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5" t="s">
        <v>83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7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G1" zoomScaleNormal="100" workbookViewId="0">
      <pane ySplit="14" topLeftCell="A15" activePane="bottomLeft" state="frozen"/>
      <selection pane="bottomLeft" activeCell="K19" sqref="K19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752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750</v>
      </c>
      <c r="L6" s="214"/>
      <c r="O6" s="907" t="s">
        <v>751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750</v>
      </c>
      <c r="L9" s="214"/>
      <c r="O9" s="907"/>
      <c r="P9" s="214"/>
      <c r="Q9" s="214"/>
      <c r="R9" s="211"/>
      <c r="S9" s="213" t="s">
        <v>749</v>
      </c>
      <c r="T9" s="214"/>
      <c r="AC9" s="221">
        <v>46043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4" t="str">
        <f>IF(S4="INGLES","DRAPERIES","CORTINAS")</f>
        <v>DRAPERIES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HARDWARE</v>
      </c>
      <c r="Q12" s="915"/>
      <c r="R12" s="915"/>
      <c r="S12" s="916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9" t="str">
        <f>IF(S4="INGLES","TOTALS","TOTALES")</f>
        <v>TOTALS</v>
      </c>
      <c r="AC12" s="920"/>
      <c r="AD12" s="181"/>
      <c r="AE12" s="917" t="s">
        <v>256</v>
      </c>
      <c r="AF12" s="917"/>
      <c r="AG12" s="917"/>
      <c r="AH12" s="918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0" t="s">
        <v>258</v>
      </c>
      <c r="AS12" s="912"/>
      <c r="AT12" s="912"/>
      <c r="AU12" s="912"/>
      <c r="AV12" s="912"/>
      <c r="AW12" s="911"/>
      <c r="AX12" s="910" t="s">
        <v>189</v>
      </c>
      <c r="AY12" s="911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116</v>
      </c>
      <c r="G15" s="671">
        <v>2</v>
      </c>
      <c r="H15" s="906" t="s">
        <v>663</v>
      </c>
      <c r="I15" s="906" t="s">
        <v>685</v>
      </c>
      <c r="J15" s="179" t="str">
        <f t="shared" ref="J15" si="0">IF(OR(C15="",C15&lt;1),"",IF(H15="C.O.M.",CEILING(AQ15,0.5),""))</f>
        <v/>
      </c>
      <c r="K15" s="672" t="s">
        <v>757</v>
      </c>
      <c r="L15" s="179" t="s">
        <v>163</v>
      </c>
      <c r="M15" s="672" t="s">
        <v>753</v>
      </c>
      <c r="N15" s="673">
        <v>36.5</v>
      </c>
      <c r="O15" s="673">
        <v>107.25</v>
      </c>
      <c r="P15" s="197" t="s">
        <v>287</v>
      </c>
      <c r="Q15" s="178" t="s">
        <v>737</v>
      </c>
      <c r="R15" s="176" t="s">
        <v>289</v>
      </c>
      <c r="S15" s="179" t="s">
        <v>289</v>
      </c>
      <c r="T15" s="895">
        <f t="shared" ref="T15:T62" si="1">IF(E15="",0,IF(OR(C15&lt;1,C15=""),"",BF15))</f>
        <v>245.20000000000002</v>
      </c>
      <c r="U15" s="668">
        <v>0.4</v>
      </c>
      <c r="V15" s="669">
        <v>0.5</v>
      </c>
      <c r="W15" s="896">
        <f t="shared" ref="W15:W62" si="2">IF(OR(C15&lt;1,C15=""),"",BI15)</f>
        <v>53.150000000000006</v>
      </c>
      <c r="X15" s="694">
        <v>0.4</v>
      </c>
      <c r="Y15" s="690">
        <v>0.3</v>
      </c>
      <c r="Z15" s="667">
        <f>T15*IF($L$4="RESIDENCIAL",1-U15,1-V15)+W15*IF($L$4="RESIDENCIAL",1-X15,1-Y15)</f>
        <v>179.01</v>
      </c>
      <c r="AA15" s="659">
        <f>IF(E15="",0,IF(OR(C15&lt;1,C15=""),"",IF($S$3="PESOS",Z15*C15*$AC$4,Z15*C15)))</f>
        <v>179.01</v>
      </c>
      <c r="AB15" s="895">
        <f t="shared" ref="AB15:AB62" si="3">IF(E15="",0,IF(OR(C15&lt;1,C15=""),"",T15+W15))</f>
        <v>298.35000000000002</v>
      </c>
      <c r="AC15" s="896">
        <f>IF(E15="",0,IF(OR(C15&lt;1,C15=""),"",IF($S$3="PESOS",AB15*C15*$AC$4, AB15*C15)))</f>
        <v>298.35000000000002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1.8250000000000002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87.325000000000003</v>
      </c>
      <c r="AJ15" s="307">
        <f t="shared" ref="AJ15:AJ62" si="9">IF(C15="","",O15+AG15+AH15)</f>
        <v>124.25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0.74004237288135599</v>
      </c>
      <c r="AN15" s="309">
        <f t="shared" ref="AN15:AN62" si="13">IF(C15="","",IF(AL15="RAILROAD","N/A",IF(AK15&lt;60,CEILING(AM15,0.5),CEILING(AM15,0.25))))</f>
        <v>0.75</v>
      </c>
      <c r="AO15" s="309">
        <f t="shared" ref="AO15:AO62" si="14">IF(C15="","",IF(AL15="VERTICAL",AN15*AK15/54,CEILING(AI15/54,0.5)))</f>
        <v>1.6388888888888888</v>
      </c>
      <c r="AP15" s="308">
        <f t="shared" ref="AP15:AP62" si="15">IF(C15="","",IF(AL15="VERTICAL",CEILING(AN15*AJ15/36/0.93,0.25),CEILING(AI15/36/0.93,0.25)))</f>
        <v>3</v>
      </c>
      <c r="AQ15" s="310">
        <f t="shared" ref="AQ15:AQ62" si="16">IF(C15="","",AP15*C15)</f>
        <v>3</v>
      </c>
      <c r="AR15" s="306">
        <f t="shared" ref="AR15:AR62" si="17">IF(C15="","",CEILING(AI15,1))</f>
        <v>88</v>
      </c>
      <c r="AS15" s="308">
        <f t="shared" ref="AS15:AS62" si="18">IF(C15="","",O15+(2*$AG$3)+2+1)</f>
        <v>118.25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6.2</v>
      </c>
      <c r="AW15" s="310">
        <f t="shared" ref="AW15:AW62" si="22">IF(C15="","",AV15*C15)</f>
        <v>6.2</v>
      </c>
      <c r="AX15" s="311">
        <f t="shared" ref="AX15:AX62" si="23">IF(C15="","",N15/12/(1-$AX$13))</f>
        <v>3.306159420289855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54.45</v>
      </c>
      <c r="BA15" s="313">
        <f t="shared" ref="BA15:BA62" si="25">IF(C15="","",AP15*AZ15)</f>
        <v>163.35000000000002</v>
      </c>
      <c r="BB15" s="314">
        <f>IF(C15="","",IF(L15="N/A",0,VLOOKUP(L15,'COST - SELL'!$B$60:$I$63,8,0)))</f>
        <v>8.9</v>
      </c>
      <c r="BC15" s="313">
        <f t="shared" ref="BC15:BC62" si="26">IF(C15="","",IF(BB15=0,0,BB15*AV15))</f>
        <v>55.180000000000007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26.631944444444443</v>
      </c>
      <c r="BF15" s="313">
        <f>IF(C15="","",CEILING(BA15+BC15+BE15,0.05))</f>
        <v>245.20000000000002</v>
      </c>
      <c r="BG15" s="316">
        <f>IF(C15="","",IF(Q15="N/A",0,VLOOKUP(Q15,'COST - SELL'!$B$80:$I$91,8,0)*'FILL QUOTE-CALCULATIONS'!AX15))</f>
        <v>41.326992753623188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8">IF(C15="","",CEILING(BG15+BH15,0.05))</f>
        <v>53.150000000000006</v>
      </c>
      <c r="BJ15" s="316">
        <f t="shared" ref="BJ15:BJ62" si="29">IF(C15="","",BF15+BI15)</f>
        <v>298.35000000000002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116</v>
      </c>
      <c r="G16" s="671">
        <v>2</v>
      </c>
      <c r="H16" s="906" t="s">
        <v>663</v>
      </c>
      <c r="I16" s="906" t="s">
        <v>685</v>
      </c>
      <c r="J16" s="179" t="str">
        <f t="shared" ref="J16:J17" si="30">IF(OR(C16="",C16&lt;1),"",IF(H16="C.O.M.",CEILING(AQ16,0.5),""))</f>
        <v/>
      </c>
      <c r="K16" s="672" t="s">
        <v>757</v>
      </c>
      <c r="L16" s="179" t="s">
        <v>163</v>
      </c>
      <c r="M16" s="672" t="s">
        <v>754</v>
      </c>
      <c r="N16" s="673">
        <v>34</v>
      </c>
      <c r="O16" s="673">
        <v>107.25</v>
      </c>
      <c r="P16" s="197" t="s">
        <v>287</v>
      </c>
      <c r="Q16" s="178" t="s">
        <v>737</v>
      </c>
      <c r="R16" s="176" t="s">
        <v>289</v>
      </c>
      <c r="S16" s="179" t="s">
        <v>289</v>
      </c>
      <c r="T16" s="895">
        <f t="shared" si="1"/>
        <v>245.20000000000002</v>
      </c>
      <c r="U16" s="668">
        <v>0.4</v>
      </c>
      <c r="V16" s="669">
        <v>0.5</v>
      </c>
      <c r="W16" s="896">
        <f t="shared" si="2"/>
        <v>50.300000000000004</v>
      </c>
      <c r="X16" s="694">
        <v>0.4</v>
      </c>
      <c r="Y16" s="690">
        <v>0.3</v>
      </c>
      <c r="Z16" s="667">
        <f>IF(E16="",0,T16*IF($L$4="RESIDENCIAL",1-U16,1-V16)+W16*IF($L$4="RESIDENCIAL",1-X16,1-Y16))</f>
        <v>177.3</v>
      </c>
      <c r="AA16" s="659">
        <f>IF(E16="",0,IF(OR(C16&lt;1,C16=""),"",IF($S$3="PESOS",Z16*C16*$AC$4, Z16*C16)))</f>
        <v>177.3</v>
      </c>
      <c r="AB16" s="895">
        <f t="shared" si="3"/>
        <v>295.5</v>
      </c>
      <c r="AC16" s="896">
        <f>IF(E16="",0,IF(OR(C16&lt;1,C16=""),"",IF($S$3="PESOS",AB16*C16*$AC$4, AB16*C16)))</f>
        <v>295.5</v>
      </c>
      <c r="AD16" s="181"/>
      <c r="AE16" s="883">
        <f t="shared" si="4"/>
        <v>12.5</v>
      </c>
      <c r="AF16" s="883">
        <f t="shared" si="5"/>
        <v>1.7000000000000002</v>
      </c>
      <c r="AG16" s="883">
        <f t="shared" si="6"/>
        <v>9</v>
      </c>
      <c r="AH16" s="884">
        <f t="shared" si="7"/>
        <v>8</v>
      </c>
      <c r="AI16" s="317">
        <f t="shared" si="8"/>
        <v>82.2</v>
      </c>
      <c r="AJ16" s="304">
        <f t="shared" si="9"/>
        <v>124.25</v>
      </c>
      <c r="AK16" s="304">
        <f t="shared" si="10"/>
        <v>118</v>
      </c>
      <c r="AL16" s="318" t="str">
        <f t="shared" si="11"/>
        <v>VERTICAL</v>
      </c>
      <c r="AM16" s="318">
        <f t="shared" si="12"/>
        <v>0.69661016949152543</v>
      </c>
      <c r="AN16" s="319">
        <f t="shared" si="13"/>
        <v>0.75</v>
      </c>
      <c r="AO16" s="319">
        <f t="shared" si="14"/>
        <v>1.6388888888888888</v>
      </c>
      <c r="AP16" s="318">
        <f t="shared" si="15"/>
        <v>3</v>
      </c>
      <c r="AQ16" s="320">
        <f t="shared" si="16"/>
        <v>3</v>
      </c>
      <c r="AR16" s="306">
        <f t="shared" si="17"/>
        <v>83</v>
      </c>
      <c r="AS16" s="308">
        <f t="shared" si="18"/>
        <v>118.25</v>
      </c>
      <c r="AT16" s="308">
        <f t="shared" si="19"/>
        <v>54</v>
      </c>
      <c r="AU16" s="308" t="str">
        <f t="shared" si="20"/>
        <v>VERTICAL</v>
      </c>
      <c r="AV16" s="308">
        <f t="shared" si="21"/>
        <v>6.2</v>
      </c>
      <c r="AW16" s="310">
        <f t="shared" si="22"/>
        <v>6.2</v>
      </c>
      <c r="AX16" s="321">
        <f t="shared" si="23"/>
        <v>3.0797101449275361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54.45</v>
      </c>
      <c r="BA16" s="313">
        <f t="shared" si="25"/>
        <v>163.35000000000002</v>
      </c>
      <c r="BB16" s="314">
        <f>IF(C16="","",IF(L16="N/A",0,VLOOKUP(L16,'COST - SELL'!$B$60:$I$63,8,0)))</f>
        <v>8.9</v>
      </c>
      <c r="BC16" s="313">
        <f t="shared" si="26"/>
        <v>55.180000000000007</v>
      </c>
      <c r="BD16" s="315">
        <f>IF(C16="","",IF(H16="C.O.M.",VLOOKUP(F16,'COST - SELL'!$J$11:$N$19,5,0),VLOOKUP(F16,'COST - SELL'!$B$11:$H$19,7,0)))</f>
        <v>16.25</v>
      </c>
      <c r="BE16" s="315">
        <f t="shared" si="27"/>
        <v>26.631944444444443</v>
      </c>
      <c r="BF16" s="313">
        <f t="shared" ref="BF16:BF62" si="31">IF(C16="","",CEILING(BA16+BC16+BE16,0.05))</f>
        <v>245.20000000000002</v>
      </c>
      <c r="BG16" s="316">
        <f>IF(C16="","",IF(Q16="N/A",0,VLOOKUP(Q16,'COST - SELL'!$B$80:$I$91,8,0)*'FILL QUOTE-CALCULATIONS'!AX16))</f>
        <v>38.496376811594203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50.300000000000004</v>
      </c>
      <c r="BJ16" s="316">
        <f t="shared" si="29"/>
        <v>295.5</v>
      </c>
    </row>
    <row r="17" spans="2:62" x14ac:dyDescent="0.25">
      <c r="B17" s="231">
        <f>1+B16</f>
        <v>3</v>
      </c>
      <c r="C17" s="180">
        <v>1</v>
      </c>
      <c r="D17" s="178" t="s">
        <v>298</v>
      </c>
      <c r="E17" s="179" t="s">
        <v>132</v>
      </c>
      <c r="F17" s="179" t="s">
        <v>116</v>
      </c>
      <c r="G17" s="671">
        <v>2</v>
      </c>
      <c r="H17" s="906" t="s">
        <v>663</v>
      </c>
      <c r="I17" s="906" t="s">
        <v>685</v>
      </c>
      <c r="J17" s="179" t="str">
        <f t="shared" si="30"/>
        <v/>
      </c>
      <c r="K17" s="672" t="s">
        <v>757</v>
      </c>
      <c r="L17" s="179" t="s">
        <v>163</v>
      </c>
      <c r="M17" s="672" t="s">
        <v>755</v>
      </c>
      <c r="N17" s="673">
        <v>35</v>
      </c>
      <c r="O17" s="673">
        <v>107.25</v>
      </c>
      <c r="P17" s="197" t="s">
        <v>287</v>
      </c>
      <c r="Q17" s="178" t="s">
        <v>737</v>
      </c>
      <c r="R17" s="176" t="s">
        <v>289</v>
      </c>
      <c r="S17" s="179" t="s">
        <v>289</v>
      </c>
      <c r="T17" s="895">
        <f t="shared" ref="T17" si="32">IF(E17="",0,IF(OR(C17&lt;1,C17=""),"",BF17))</f>
        <v>233.70000000000002</v>
      </c>
      <c r="U17" s="668">
        <v>0.4</v>
      </c>
      <c r="V17" s="669">
        <v>0.5</v>
      </c>
      <c r="W17" s="896">
        <f t="shared" ref="W17" si="33">IF(OR(C17&lt;1,C17=""),"",BI17)</f>
        <v>31.650000000000002</v>
      </c>
      <c r="X17" s="694">
        <v>0.4</v>
      </c>
      <c r="Y17" s="690">
        <v>0.3</v>
      </c>
      <c r="Z17" s="667">
        <f>IF(E17="",0,T17*IF($L$4="RESIDENCIAL",1-U17,1-V17)+W17*IF($L$4="RESIDENCIAL",1-X17,1-Y17))</f>
        <v>159.21</v>
      </c>
      <c r="AA17" s="659">
        <f>IF(E17="",0,IF(OR(C17&lt;1,C17=""),"",IF($S$3="PESOS",Z17*C17*$AC$4, Z17*C17)))</f>
        <v>159.21</v>
      </c>
      <c r="AB17" s="895">
        <f t="shared" ref="AB17" si="34">IF(E17="",0,IF(OR(C17&lt;1,C17=""),"",T17+W17))</f>
        <v>265.35000000000002</v>
      </c>
      <c r="AC17" s="896">
        <f>IF(E17="",0,IF(OR(C17&lt;1,C17=""),"",IF($S$3="PESOS",AB17*C17*$AC$4, AB17*C17)))</f>
        <v>265.35000000000002</v>
      </c>
      <c r="AD17" s="181"/>
      <c r="AE17" s="883">
        <f t="shared" ref="AE17" si="35">IF(C17="","",$AG$6+$AG$7+$AG$8)</f>
        <v>12.5</v>
      </c>
      <c r="AF17" s="883">
        <f t="shared" ref="AF17" si="36">IF(C17="","",N17*$AF$13)</f>
        <v>1.75</v>
      </c>
      <c r="AG17" s="883">
        <f t="shared" ref="AG17" si="37">IF(C17="","",$AG$3*2+1)</f>
        <v>9</v>
      </c>
      <c r="AH17" s="884">
        <f t="shared" ref="AH17" si="38">IF(C17="","",$AG$4*2)</f>
        <v>8</v>
      </c>
      <c r="AI17" s="317">
        <f t="shared" ref="AI17" si="39">IF(C17="","",N17*G17+AE17+AF17)</f>
        <v>84.25</v>
      </c>
      <c r="AJ17" s="304">
        <f t="shared" ref="AJ17" si="40">IF(C17="","",O17+AG17+AH17)</f>
        <v>124.25</v>
      </c>
      <c r="AK17" s="304">
        <f t="shared" ref="AK17" si="41">IF(C17="","",IF(OR(F17="SHEER",F17="STAT. SHEER"),118,54))</f>
        <v>118</v>
      </c>
      <c r="AL17" s="318" t="str">
        <f t="shared" ref="AL17" si="42">IF(C17="","",IF(AK17&lt;65,"VERTICAL",IF(AJ17&gt;AK17,"VERTICAL","RAILROAD")))</f>
        <v>VERTICAL</v>
      </c>
      <c r="AM17" s="318">
        <f t="shared" ref="AM17" si="43">IF(C17="","",AI17/AK17)</f>
        <v>0.71398305084745761</v>
      </c>
      <c r="AN17" s="319">
        <f t="shared" ref="AN17" si="44">IF(C17="","",IF(AL17="RAILROAD","N/A",IF(AK17&lt;60,CEILING(AM17,0.5),CEILING(AM17,0.25))))</f>
        <v>0.75</v>
      </c>
      <c r="AO17" s="319">
        <f t="shared" ref="AO17" si="45">IF(C17="","",IF(AL17="VERTICAL",AN17*AK17/54,CEILING(AI17/54,0.5)))</f>
        <v>1.6388888888888888</v>
      </c>
      <c r="AP17" s="318">
        <f t="shared" ref="AP17" si="46">IF(C17="","",IF(AL17="VERTICAL",CEILING(AN17*AJ17/36/0.93,0.25),CEILING(AI17/36/0.93,0.25)))</f>
        <v>3</v>
      </c>
      <c r="AQ17" s="320">
        <f t="shared" ref="AQ17" si="47">IF(C17="","",AP17*C17)</f>
        <v>3</v>
      </c>
      <c r="AR17" s="306">
        <f t="shared" ref="AR17" si="48">IF(C17="","",CEILING(AI17,1))</f>
        <v>85</v>
      </c>
      <c r="AS17" s="308">
        <f t="shared" ref="AS17" si="49">IF(C17="","",O17+(2*$AG$3)+2+1)</f>
        <v>118.25</v>
      </c>
      <c r="AT17" s="308">
        <f t="shared" ref="AT17" si="50">IF(C17="","",IF(OR(L17="3-PASS WW",L17="3-PASS IV-EC"),110,54))</f>
        <v>54</v>
      </c>
      <c r="AU17" s="308" t="str">
        <f t="shared" ref="AU17" si="51">IF(C17="","",IF(AT17&gt;AS17,"RAILROAD","VERTICAL"))</f>
        <v>VERTICAL</v>
      </c>
      <c r="AV17" s="308">
        <f t="shared" ref="AV17" si="52">IF(C17="","",IF(AU17="RAILROAD",CEILING(AR17/36/0.94,0.1),CEILING(CEILING(AR17/AT17,0.25)*AS17/36/0.94,0.1)))</f>
        <v>6.2</v>
      </c>
      <c r="AW17" s="310">
        <f t="shared" ref="AW17" si="53">IF(C17="","",AV17*C17)</f>
        <v>6.2</v>
      </c>
      <c r="AX17" s="321">
        <f t="shared" ref="AX17" si="54">IF(C17="","",N17/12/(1-$AX$13))</f>
        <v>3.1702898550724634</v>
      </c>
      <c r="AY17" s="308">
        <f t="shared" ref="AY17" si="55">IF(C17="","",IF(S17="N/A","N/A",IF(O17&lt;100.01,36,IF(O17&gt;136.01,"N/A",IF(AND(O17&gt;100.011,O17&lt;112.01),48,IF(AND(O17&gt;112.011,O17&lt;124.01),60,72))))))</f>
        <v>48</v>
      </c>
      <c r="AZ17" s="312">
        <f>IF(C17="","",IF(H17="STOCK",VLOOKUP(I17,'COST - SELL'!$B$26:$G$29,6,0),IF(H17="LINE-ATELIER",VLOOKUP(I17,'COST - SELL'!$J$26:$Q$29,8,0),IF(H17="LINE-VTLUX",VLOOKUP(I17,'COST - SELL'!$B$36:$I$51,8,0),0))))</f>
        <v>54.45</v>
      </c>
      <c r="BA17" s="313">
        <f t="shared" ref="BA17" si="56">IF(C17="","",AP17*AZ17)</f>
        <v>163.35000000000002</v>
      </c>
      <c r="BB17" s="314">
        <f>IF(C17="","",IF(L17="N/A",0,VLOOKUP(L17,'COST - SELL'!$B$60:$I$63,8,0)))</f>
        <v>8.9</v>
      </c>
      <c r="BC17" s="313">
        <f t="shared" ref="BC17" si="57">IF(C17="","",IF(BB17=0,0,BB17*AV17))</f>
        <v>55.180000000000007</v>
      </c>
      <c r="BD17" s="315">
        <f>IF(C17="","",IF(H17="C.O.M.",VLOOKUP(F17,'COST - SELL'!$J$11:$N$19,5,0),VLOOKUP(F17,'COST - SELL'!$B$11:$H$19,7,0)))-7</f>
        <v>9.25</v>
      </c>
      <c r="BE17" s="315">
        <f t="shared" ref="BE17" si="58">IF(C17="","",BD17*AO17)</f>
        <v>15.159722222222221</v>
      </c>
      <c r="BF17" s="313">
        <f t="shared" ref="BF17" si="59">IF(C17="","",CEILING(BA17+BC17+BE17,0.05))</f>
        <v>233.70000000000002</v>
      </c>
      <c r="BG17" s="316">
        <f>IF(C17="","",IF(Q17="N/A",0,VLOOKUP(Q17,'COST - SELL'!$B$80:$I$91,8,0)*'FILL QUOTE-CALCULATIONS'!AX17))/2</f>
        <v>19.814311594202895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11.8</v>
      </c>
      <c r="BI17" s="316">
        <f t="shared" ref="BI17" si="60">IF(C17="","",CEILING(BG17+BH17,0.05))</f>
        <v>31.650000000000002</v>
      </c>
      <c r="BJ17" s="316">
        <f t="shared" ref="BJ17" si="61">IF(C17="","",BF17+BI17)</f>
        <v>265.35000000000002</v>
      </c>
    </row>
    <row r="18" spans="2:62" x14ac:dyDescent="0.25">
      <c r="B18" s="231">
        <f t="shared" ref="B18:B62" si="62">1+B17</f>
        <v>4</v>
      </c>
      <c r="C18" s="180">
        <v>1</v>
      </c>
      <c r="D18" s="178" t="s">
        <v>298</v>
      </c>
      <c r="E18" s="179" t="s">
        <v>132</v>
      </c>
      <c r="F18" s="179" t="s">
        <v>116</v>
      </c>
      <c r="G18" s="671">
        <v>2</v>
      </c>
      <c r="H18" s="906" t="s">
        <v>663</v>
      </c>
      <c r="I18" s="906" t="s">
        <v>685</v>
      </c>
      <c r="J18" s="179" t="str">
        <f t="shared" ref="J18" si="63">IF(OR(C18="",C18&lt;1),"",IF(H18="C.O.M.",CEILING(AQ18,0.5),""))</f>
        <v/>
      </c>
      <c r="K18" s="672" t="s">
        <v>757</v>
      </c>
      <c r="L18" s="179" t="s">
        <v>163</v>
      </c>
      <c r="M18" s="672" t="s">
        <v>756</v>
      </c>
      <c r="N18" s="673">
        <v>30</v>
      </c>
      <c r="O18" s="673">
        <v>107.25</v>
      </c>
      <c r="P18" s="197" t="s">
        <v>287</v>
      </c>
      <c r="Q18" s="178" t="s">
        <v>737</v>
      </c>
      <c r="R18" s="176" t="s">
        <v>289</v>
      </c>
      <c r="S18" s="179" t="s">
        <v>289</v>
      </c>
      <c r="T18" s="895">
        <f t="shared" si="1"/>
        <v>237.20000000000002</v>
      </c>
      <c r="U18" s="668">
        <v>0.4</v>
      </c>
      <c r="V18" s="669">
        <v>0.5</v>
      </c>
      <c r="W18" s="896">
        <f t="shared" si="2"/>
        <v>45.800000000000004</v>
      </c>
      <c r="X18" s="694">
        <v>0.4</v>
      </c>
      <c r="Y18" s="690">
        <v>0.3</v>
      </c>
      <c r="Z18" s="667">
        <f t="shared" ref="Z18:Z62" si="64">IF(E18="",0,T18*IF($L$4="RESIDENCIAL",1-U18,1-V18)+W18*IF($L$4="RESIDENCIAL",1-X18,1-Y18))</f>
        <v>169.79999999999998</v>
      </c>
      <c r="AA18" s="659">
        <f t="shared" ref="AA18:AA62" si="65">IF(E18="",0,IF(OR(C18&lt;1,C18=""),"",IF($S$3="PESOS",Z18*C18*$AC$4, Z18*C18)))</f>
        <v>169.79999999999998</v>
      </c>
      <c r="AB18" s="895">
        <f t="shared" si="3"/>
        <v>283</v>
      </c>
      <c r="AC18" s="896">
        <f t="shared" ref="AC18:AC62" si="66">IF(E18="",0,IF(OR(C18&lt;1,C18=""),"",IF($S$3="PESOS",AB18*C18*$AC$4, AB18*C18)))</f>
        <v>283</v>
      </c>
      <c r="AD18" s="181"/>
      <c r="AE18" s="883">
        <f t="shared" si="4"/>
        <v>12.5</v>
      </c>
      <c r="AF18" s="883">
        <f t="shared" si="5"/>
        <v>1.5</v>
      </c>
      <c r="AG18" s="883">
        <f t="shared" si="6"/>
        <v>9</v>
      </c>
      <c r="AH18" s="884">
        <f t="shared" si="7"/>
        <v>8</v>
      </c>
      <c r="AI18" s="317">
        <f t="shared" si="8"/>
        <v>74</v>
      </c>
      <c r="AJ18" s="304">
        <f t="shared" si="9"/>
        <v>124.25</v>
      </c>
      <c r="AK18" s="304">
        <f t="shared" si="10"/>
        <v>118</v>
      </c>
      <c r="AL18" s="318" t="str">
        <f t="shared" si="11"/>
        <v>VERTICAL</v>
      </c>
      <c r="AM18" s="318">
        <f t="shared" si="12"/>
        <v>0.6271186440677966</v>
      </c>
      <c r="AN18" s="319">
        <f t="shared" si="13"/>
        <v>0.75</v>
      </c>
      <c r="AO18" s="319">
        <f t="shared" si="14"/>
        <v>1.6388888888888888</v>
      </c>
      <c r="AP18" s="318">
        <f t="shared" si="15"/>
        <v>3</v>
      </c>
      <c r="AQ18" s="320">
        <f t="shared" si="16"/>
        <v>3</v>
      </c>
      <c r="AR18" s="306">
        <f t="shared" si="17"/>
        <v>74</v>
      </c>
      <c r="AS18" s="308">
        <f t="shared" si="18"/>
        <v>118.25</v>
      </c>
      <c r="AT18" s="308">
        <f t="shared" si="19"/>
        <v>54</v>
      </c>
      <c r="AU18" s="308" t="str">
        <f t="shared" si="20"/>
        <v>VERTICAL</v>
      </c>
      <c r="AV18" s="308">
        <f t="shared" si="21"/>
        <v>5.3000000000000007</v>
      </c>
      <c r="AW18" s="310">
        <f t="shared" si="22"/>
        <v>5.3000000000000007</v>
      </c>
      <c r="AX18" s="321">
        <f t="shared" si="23"/>
        <v>2.7173913043478262</v>
      </c>
      <c r="AY18" s="308">
        <f t="shared" si="24"/>
        <v>48</v>
      </c>
      <c r="AZ18" s="312">
        <f>IF(C18="","",IF(H18="STOCK",VLOOKUP(I18,'COST - SELL'!$B$26:$G$29,6,0),IF(H18="LINE-ATELIER",VLOOKUP(I18,'COST - SELL'!$J$26:$Q$29,8,0),IF(H18="LINE-VTLUX",VLOOKUP(I18,'COST - SELL'!$B$36:$I$51,8,0),0))))</f>
        <v>54.45</v>
      </c>
      <c r="BA18" s="313">
        <f t="shared" si="25"/>
        <v>163.35000000000002</v>
      </c>
      <c r="BB18" s="314">
        <f>IF(C18="","",IF(L18="N/A",0,VLOOKUP(L18,'COST - SELL'!$B$60:$I$63,8,0)))</f>
        <v>8.9</v>
      </c>
      <c r="BC18" s="313">
        <f t="shared" si="26"/>
        <v>47.170000000000009</v>
      </c>
      <c r="BD18" s="315">
        <f>IF(C18="","",IF(H18="C.O.M.",VLOOKUP(F18,'COST - SELL'!$J$11:$N$19,5,0),VLOOKUP(F18,'COST - SELL'!$B$11:$H$19,7,0)))</f>
        <v>16.25</v>
      </c>
      <c r="BE18" s="315">
        <f t="shared" si="27"/>
        <v>26.631944444444443</v>
      </c>
      <c r="BF18" s="313">
        <f t="shared" si="31"/>
        <v>237.20000000000002</v>
      </c>
      <c r="BG18" s="316">
        <f>IF(C18="","",IF(Q18="N/A",0,VLOOKUP(Q18,'COST - SELL'!$B$80:$I$91,8,0)*'FILL QUOTE-CALCULATIONS'!AX18))</f>
        <v>33.967391304347828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11.8</v>
      </c>
      <c r="BI18" s="316">
        <f t="shared" si="28"/>
        <v>45.800000000000004</v>
      </c>
      <c r="BJ18" s="316">
        <f t="shared" si="29"/>
        <v>283</v>
      </c>
    </row>
    <row r="19" spans="2:62" x14ac:dyDescent="0.25">
      <c r="B19" s="231">
        <f t="shared" si="62"/>
        <v>5</v>
      </c>
      <c r="C19" s="180"/>
      <c r="D19" s="178"/>
      <c r="E19" s="179"/>
      <c r="F19" s="179"/>
      <c r="G19" s="671"/>
      <c r="H19" s="906"/>
      <c r="I19" s="906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64"/>
        <v>0</v>
      </c>
      <c r="AA19" s="659">
        <f t="shared" si="65"/>
        <v>0</v>
      </c>
      <c r="AB19" s="895">
        <f t="shared" si="3"/>
        <v>0</v>
      </c>
      <c r="AC19" s="896">
        <f t="shared" si="66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2"/>
        <v>6</v>
      </c>
      <c r="C20" s="180"/>
      <c r="D20" s="178"/>
      <c r="E20" s="179"/>
      <c r="F20" s="179"/>
      <c r="G20" s="671"/>
      <c r="H20" s="906"/>
      <c r="I20" s="906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64"/>
        <v>0</v>
      </c>
      <c r="AA20" s="659">
        <f t="shared" si="65"/>
        <v>0</v>
      </c>
      <c r="AB20" s="895">
        <f t="shared" si="3"/>
        <v>0</v>
      </c>
      <c r="AC20" s="896">
        <f t="shared" si="66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2"/>
        <v>7</v>
      </c>
      <c r="C21" s="180"/>
      <c r="D21" s="178"/>
      <c r="E21" s="179"/>
      <c r="F21" s="179"/>
      <c r="G21" s="671"/>
      <c r="H21" s="906"/>
      <c r="I21" s="906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4"/>
        <v>0</v>
      </c>
      <c r="AA21" s="659">
        <f t="shared" si="65"/>
        <v>0</v>
      </c>
      <c r="AB21" s="895">
        <f t="shared" si="3"/>
        <v>0</v>
      </c>
      <c r="AC21" s="896">
        <f t="shared" si="66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2"/>
        <v>8</v>
      </c>
      <c r="C22" s="180"/>
      <c r="D22" s="178"/>
      <c r="E22" s="179"/>
      <c r="F22" s="179"/>
      <c r="G22" s="671"/>
      <c r="H22" s="906"/>
      <c r="I22" s="906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4"/>
        <v>0</v>
      </c>
      <c r="AA22" s="659">
        <f t="shared" si="65"/>
        <v>0</v>
      </c>
      <c r="AB22" s="895">
        <f t="shared" si="3"/>
        <v>0</v>
      </c>
      <c r="AC22" s="896">
        <f t="shared" si="66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2"/>
        <v>9</v>
      </c>
      <c r="C23" s="180"/>
      <c r="D23" s="178"/>
      <c r="E23" s="179"/>
      <c r="F23" s="179"/>
      <c r="G23" s="671"/>
      <c r="H23" s="906"/>
      <c r="I23" s="906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4"/>
        <v>0</v>
      </c>
      <c r="AA23" s="659">
        <f t="shared" si="65"/>
        <v>0</v>
      </c>
      <c r="AB23" s="895">
        <f t="shared" si="3"/>
        <v>0</v>
      </c>
      <c r="AC23" s="896">
        <f t="shared" si="66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2"/>
        <v>10</v>
      </c>
      <c r="C24" s="180"/>
      <c r="D24" s="178"/>
      <c r="E24" s="179"/>
      <c r="F24" s="179"/>
      <c r="G24" s="671"/>
      <c r="H24" s="906"/>
      <c r="I24" s="906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4"/>
        <v>0</v>
      </c>
      <c r="AA24" s="659">
        <f t="shared" si="65"/>
        <v>0</v>
      </c>
      <c r="AB24" s="895">
        <f t="shared" si="3"/>
        <v>0</v>
      </c>
      <c r="AC24" s="896">
        <f t="shared" si="66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2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4"/>
        <v>0</v>
      </c>
      <c r="AA25" s="659">
        <f t="shared" si="65"/>
        <v>0</v>
      </c>
      <c r="AB25" s="895">
        <f t="shared" si="3"/>
        <v>0</v>
      </c>
      <c r="AC25" s="896">
        <f t="shared" si="66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2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4"/>
        <v>0</v>
      </c>
      <c r="AA26" s="659">
        <f t="shared" si="65"/>
        <v>0</v>
      </c>
      <c r="AB26" s="895">
        <f t="shared" si="3"/>
        <v>0</v>
      </c>
      <c r="AC26" s="896">
        <f t="shared" si="66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2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4"/>
        <v>0</v>
      </c>
      <c r="AA27" s="659">
        <f t="shared" si="65"/>
        <v>0</v>
      </c>
      <c r="AB27" s="895">
        <f t="shared" si="3"/>
        <v>0</v>
      </c>
      <c r="AC27" s="896">
        <f t="shared" si="66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2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4"/>
        <v>0</v>
      </c>
      <c r="AA28" s="659">
        <f t="shared" si="65"/>
        <v>0</v>
      </c>
      <c r="AB28" s="895">
        <f t="shared" si="3"/>
        <v>0</v>
      </c>
      <c r="AC28" s="896">
        <f t="shared" si="66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2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4"/>
        <v>0</v>
      </c>
      <c r="AA29" s="659">
        <f t="shared" si="65"/>
        <v>0</v>
      </c>
      <c r="AB29" s="895">
        <f t="shared" si="3"/>
        <v>0</v>
      </c>
      <c r="AC29" s="896">
        <f t="shared" si="66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2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4"/>
        <v>0</v>
      </c>
      <c r="AA30" s="659">
        <f t="shared" si="65"/>
        <v>0</v>
      </c>
      <c r="AB30" s="895">
        <f t="shared" si="3"/>
        <v>0</v>
      </c>
      <c r="AC30" s="896">
        <f t="shared" si="66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2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4"/>
        <v>0</v>
      </c>
      <c r="AA31" s="659">
        <f t="shared" si="65"/>
        <v>0</v>
      </c>
      <c r="AB31" s="895">
        <f t="shared" si="3"/>
        <v>0</v>
      </c>
      <c r="AC31" s="896">
        <f t="shared" si="66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2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4"/>
        <v>0</v>
      </c>
      <c r="AA32" s="659">
        <f t="shared" si="65"/>
        <v>0</v>
      </c>
      <c r="AB32" s="895">
        <f t="shared" si="3"/>
        <v>0</v>
      </c>
      <c r="AC32" s="896">
        <f t="shared" si="66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2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4"/>
        <v>0</v>
      </c>
      <c r="AA33" s="659">
        <f t="shared" si="65"/>
        <v>0</v>
      </c>
      <c r="AB33" s="895">
        <f t="shared" si="3"/>
        <v>0</v>
      </c>
      <c r="AC33" s="896">
        <f t="shared" si="66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2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4"/>
        <v>0</v>
      </c>
      <c r="AA34" s="659">
        <f t="shared" si="65"/>
        <v>0</v>
      </c>
      <c r="AB34" s="895">
        <f t="shared" si="3"/>
        <v>0</v>
      </c>
      <c r="AC34" s="896">
        <f t="shared" si="66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2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4"/>
        <v>0</v>
      </c>
      <c r="AA35" s="659">
        <f t="shared" si="65"/>
        <v>0</v>
      </c>
      <c r="AB35" s="895">
        <f t="shared" si="3"/>
        <v>0</v>
      </c>
      <c r="AC35" s="896">
        <f t="shared" si="66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2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4"/>
        <v>0</v>
      </c>
      <c r="AA36" s="659">
        <f t="shared" si="65"/>
        <v>0</v>
      </c>
      <c r="AB36" s="895">
        <f t="shared" si="3"/>
        <v>0</v>
      </c>
      <c r="AC36" s="896">
        <f t="shared" si="66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2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4"/>
        <v>0</v>
      </c>
      <c r="AA37" s="659">
        <f t="shared" si="65"/>
        <v>0</v>
      </c>
      <c r="AB37" s="895">
        <f t="shared" si="3"/>
        <v>0</v>
      </c>
      <c r="AC37" s="896">
        <f t="shared" si="66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2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4"/>
        <v>0</v>
      </c>
      <c r="AA38" s="659">
        <f t="shared" si="65"/>
        <v>0</v>
      </c>
      <c r="AB38" s="895">
        <f t="shared" si="3"/>
        <v>0</v>
      </c>
      <c r="AC38" s="896">
        <f t="shared" si="66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2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4"/>
        <v>0</v>
      </c>
      <c r="AA39" s="659">
        <f t="shared" si="65"/>
        <v>0</v>
      </c>
      <c r="AB39" s="895">
        <f t="shared" si="3"/>
        <v>0</v>
      </c>
      <c r="AC39" s="896">
        <f t="shared" si="66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2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4"/>
        <v>0</v>
      </c>
      <c r="AA40" s="659">
        <f t="shared" si="65"/>
        <v>0</v>
      </c>
      <c r="AB40" s="895">
        <f t="shared" si="3"/>
        <v>0</v>
      </c>
      <c r="AC40" s="896">
        <f t="shared" si="66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2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4"/>
        <v>0</v>
      </c>
      <c r="AA41" s="659">
        <f t="shared" si="65"/>
        <v>0</v>
      </c>
      <c r="AB41" s="895">
        <f t="shared" si="3"/>
        <v>0</v>
      </c>
      <c r="AC41" s="896">
        <f t="shared" si="66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2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4"/>
        <v>0</v>
      </c>
      <c r="AA42" s="659">
        <f t="shared" si="65"/>
        <v>0</v>
      </c>
      <c r="AB42" s="895">
        <f t="shared" si="3"/>
        <v>0</v>
      </c>
      <c r="AC42" s="896">
        <f t="shared" si="66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2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4"/>
        <v>0</v>
      </c>
      <c r="AA43" s="659">
        <f t="shared" si="65"/>
        <v>0</v>
      </c>
      <c r="AB43" s="895">
        <f t="shared" si="3"/>
        <v>0</v>
      </c>
      <c r="AC43" s="896">
        <f t="shared" si="66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2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4"/>
        <v>0</v>
      </c>
      <c r="AA44" s="659">
        <f t="shared" si="65"/>
        <v>0</v>
      </c>
      <c r="AB44" s="895">
        <f t="shared" si="3"/>
        <v>0</v>
      </c>
      <c r="AC44" s="896">
        <f t="shared" si="66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2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4"/>
        <v>0</v>
      </c>
      <c r="AA45" s="659">
        <f t="shared" si="65"/>
        <v>0</v>
      </c>
      <c r="AB45" s="895">
        <f t="shared" si="3"/>
        <v>0</v>
      </c>
      <c r="AC45" s="896">
        <f t="shared" si="66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2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4"/>
        <v>0</v>
      </c>
      <c r="AA46" s="659">
        <f t="shared" si="65"/>
        <v>0</v>
      </c>
      <c r="AB46" s="895">
        <f t="shared" si="3"/>
        <v>0</v>
      </c>
      <c r="AC46" s="896">
        <f t="shared" si="66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2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4"/>
        <v>0</v>
      </c>
      <c r="AA47" s="659">
        <f t="shared" si="65"/>
        <v>0</v>
      </c>
      <c r="AB47" s="895">
        <f t="shared" si="3"/>
        <v>0</v>
      </c>
      <c r="AC47" s="896">
        <f t="shared" si="66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2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4"/>
        <v>0</v>
      </c>
      <c r="AA48" s="659">
        <f t="shared" si="65"/>
        <v>0</v>
      </c>
      <c r="AB48" s="895">
        <f t="shared" si="3"/>
        <v>0</v>
      </c>
      <c r="AC48" s="896">
        <f t="shared" si="66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2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4"/>
        <v>0</v>
      </c>
      <c r="AA49" s="659">
        <f t="shared" si="65"/>
        <v>0</v>
      </c>
      <c r="AB49" s="895">
        <f t="shared" si="3"/>
        <v>0</v>
      </c>
      <c r="AC49" s="896">
        <f t="shared" si="66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2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4"/>
        <v>0</v>
      </c>
      <c r="AA50" s="659">
        <f t="shared" si="65"/>
        <v>0</v>
      </c>
      <c r="AB50" s="895">
        <f t="shared" si="3"/>
        <v>0</v>
      </c>
      <c r="AC50" s="896">
        <f t="shared" si="66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4"/>
        <v>0</v>
      </c>
      <c r="AA51" s="659">
        <f t="shared" si="65"/>
        <v>0</v>
      </c>
      <c r="AB51" s="895">
        <f t="shared" si="3"/>
        <v>0</v>
      </c>
      <c r="AC51" s="896">
        <f t="shared" si="66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4"/>
        <v>0</v>
      </c>
      <c r="AA52" s="659">
        <f t="shared" si="65"/>
        <v>0</v>
      </c>
      <c r="AB52" s="895">
        <f t="shared" si="3"/>
        <v>0</v>
      </c>
      <c r="AC52" s="896">
        <f t="shared" si="66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4"/>
        <v>0</v>
      </c>
      <c r="AA53" s="659">
        <f t="shared" si="65"/>
        <v>0</v>
      </c>
      <c r="AB53" s="895">
        <f t="shared" si="3"/>
        <v>0</v>
      </c>
      <c r="AC53" s="896">
        <f t="shared" si="66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4"/>
        <v>0</v>
      </c>
      <c r="AA54" s="659">
        <f t="shared" si="65"/>
        <v>0</v>
      </c>
      <c r="AB54" s="895">
        <f t="shared" si="3"/>
        <v>0</v>
      </c>
      <c r="AC54" s="896">
        <f t="shared" si="66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4"/>
        <v>0</v>
      </c>
      <c r="AA55" s="659">
        <f t="shared" si="65"/>
        <v>0</v>
      </c>
      <c r="AB55" s="895">
        <f t="shared" si="3"/>
        <v>0</v>
      </c>
      <c r="AC55" s="896">
        <f t="shared" si="66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4"/>
        <v>0</v>
      </c>
      <c r="AA56" s="659">
        <f t="shared" si="65"/>
        <v>0</v>
      </c>
      <c r="AB56" s="895">
        <f t="shared" si="3"/>
        <v>0</v>
      </c>
      <c r="AC56" s="896">
        <f t="shared" si="66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4"/>
        <v>0</v>
      </c>
      <c r="AA57" s="659">
        <f t="shared" si="65"/>
        <v>0</v>
      </c>
      <c r="AB57" s="895">
        <f t="shared" si="3"/>
        <v>0</v>
      </c>
      <c r="AC57" s="896">
        <f t="shared" si="66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4"/>
        <v>0</v>
      </c>
      <c r="AA58" s="659">
        <f t="shared" si="65"/>
        <v>0</v>
      </c>
      <c r="AB58" s="895">
        <f t="shared" si="3"/>
        <v>0</v>
      </c>
      <c r="AC58" s="896">
        <f t="shared" si="66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4"/>
        <v>0</v>
      </c>
      <c r="AA59" s="659">
        <f t="shared" si="65"/>
        <v>0</v>
      </c>
      <c r="AB59" s="895">
        <f t="shared" si="3"/>
        <v>0</v>
      </c>
      <c r="AC59" s="896">
        <f t="shared" si="66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4"/>
        <v>0</v>
      </c>
      <c r="AA60" s="659">
        <f t="shared" si="65"/>
        <v>0</v>
      </c>
      <c r="AB60" s="895">
        <f t="shared" si="3"/>
        <v>0</v>
      </c>
      <c r="AC60" s="896">
        <f t="shared" si="66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4"/>
        <v>0</v>
      </c>
      <c r="AA61" s="659">
        <f t="shared" si="65"/>
        <v>0</v>
      </c>
      <c r="AB61" s="895">
        <f t="shared" si="3"/>
        <v>0</v>
      </c>
      <c r="AC61" s="896">
        <f t="shared" si="66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4"/>
        <v>0</v>
      </c>
      <c r="AA62" s="659">
        <f t="shared" si="65"/>
        <v>0</v>
      </c>
      <c r="AB62" s="895">
        <f t="shared" si="3"/>
        <v>0</v>
      </c>
      <c r="AC62" s="896">
        <f t="shared" si="66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3" t="str">
        <f>IF('FILL QUOTE-CALCULATIONS'!S4="INGLES","DESCRIPTION OF ADDITIONAL SERVICES","DESCRIPCION DE SERVICIOS ADICIONALES")</f>
        <v>DESCRIPTION OF ADDITIONAL SERVICES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/>
      <c r="AD64" s="181"/>
    </row>
    <row r="65" spans="2:35" ht="18.75" x14ac:dyDescent="0.25">
      <c r="B65" s="231">
        <f t="shared" ref="B65:B67" si="68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/>
      <c r="AD65" s="181"/>
      <c r="AF65" s="222"/>
    </row>
    <row r="66" spans="2:35" ht="18.75" x14ac:dyDescent="0.25">
      <c r="B66" s="231">
        <f t="shared" si="6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6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6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6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1142.2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0.40000000000000008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456.88000000000011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685.31999999999994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4" t="s">
        <v>713</v>
      </c>
      <c r="D3" s="925"/>
      <c r="E3" s="925"/>
      <c r="F3" s="926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1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2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2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2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2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2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2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2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2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2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2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3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6" t="s">
        <v>172</v>
      </c>
      <c r="G7" s="947"/>
      <c r="H7" s="948"/>
      <c r="J7" s="949" t="s">
        <v>329</v>
      </c>
      <c r="L7" s="946" t="s">
        <v>172</v>
      </c>
      <c r="M7" s="947"/>
      <c r="N7" s="948"/>
    </row>
    <row r="8" spans="2:16" ht="15" hidden="1" customHeight="1" x14ac:dyDescent="0.25">
      <c r="B8" s="958" t="s">
        <v>328</v>
      </c>
      <c r="C8" s="959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0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0"/>
      <c r="C9" s="961"/>
      <c r="D9" s="437">
        <v>0.4</v>
      </c>
      <c r="F9" s="438" t="s">
        <v>77</v>
      </c>
      <c r="G9" s="438" t="s">
        <v>174</v>
      </c>
      <c r="H9" s="438" t="s">
        <v>175</v>
      </c>
      <c r="J9" s="951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6" t="s">
        <v>172</v>
      </c>
      <c r="F22" s="947"/>
      <c r="G22" s="948"/>
      <c r="O22" s="946" t="s">
        <v>172</v>
      </c>
      <c r="P22" s="947"/>
      <c r="Q22" s="948"/>
    </row>
    <row r="23" spans="2:17" hidden="1" x14ac:dyDescent="0.25">
      <c r="B23" s="952" t="s">
        <v>181</v>
      </c>
      <c r="C23" s="953"/>
      <c r="D23" s="954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2" t="s">
        <v>185</v>
      </c>
      <c r="K23" s="953"/>
      <c r="L23" s="953"/>
      <c r="M23" s="953"/>
      <c r="N23" s="954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5"/>
      <c r="C24" s="956"/>
      <c r="D24" s="957"/>
      <c r="E24" s="438" t="s">
        <v>77</v>
      </c>
      <c r="F24" s="438" t="s">
        <v>174</v>
      </c>
      <c r="G24" s="438" t="s">
        <v>175</v>
      </c>
      <c r="J24" s="955"/>
      <c r="K24" s="956"/>
      <c r="L24" s="956"/>
      <c r="M24" s="956"/>
      <c r="N24" s="957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6" t="s">
        <v>172</v>
      </c>
      <c r="H32" s="947"/>
      <c r="I32" s="948"/>
    </row>
    <row r="33" spans="1:12" hidden="1" x14ac:dyDescent="0.25">
      <c r="B33" s="962" t="s">
        <v>662</v>
      </c>
      <c r="C33" s="963"/>
      <c r="D33" s="963"/>
      <c r="E33" s="963"/>
      <c r="F33" s="964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5"/>
      <c r="C34" s="966"/>
      <c r="D34" s="966"/>
      <c r="E34" s="966"/>
      <c r="F34" s="967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6" t="s">
        <v>172</v>
      </c>
      <c r="H56" s="947"/>
      <c r="I56" s="948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6" t="s">
        <v>172</v>
      </c>
      <c r="H67" s="937"/>
      <c r="I67" s="937"/>
      <c r="J67" s="937"/>
      <c r="K67" s="936" t="s">
        <v>172</v>
      </c>
      <c r="L67" s="937"/>
      <c r="M67" s="937"/>
      <c r="N67" s="938"/>
      <c r="O67" s="457"/>
      <c r="P67" s="936" t="s">
        <v>172</v>
      </c>
      <c r="Q67" s="937"/>
      <c r="R67" s="937"/>
      <c r="S67" s="938"/>
    </row>
    <row r="68" spans="2:19" ht="15.75" hidden="1" x14ac:dyDescent="0.25">
      <c r="C68" s="936" t="s">
        <v>196</v>
      </c>
      <c r="D68" s="937"/>
      <c r="E68" s="937"/>
      <c r="F68" s="938"/>
      <c r="G68" s="930">
        <f>'MARK UP''s'!D12</f>
        <v>0.5</v>
      </c>
      <c r="H68" s="931"/>
      <c r="I68" s="931"/>
      <c r="J68" s="931"/>
      <c r="K68" s="930">
        <f>'MARK UP''s'!E12</f>
        <v>0.4</v>
      </c>
      <c r="L68" s="931"/>
      <c r="M68" s="931"/>
      <c r="N68" s="932"/>
      <c r="O68" s="458"/>
      <c r="P68" s="930">
        <f>'MARK UP''s'!F12</f>
        <v>0.3</v>
      </c>
      <c r="Q68" s="931"/>
      <c r="R68" s="931"/>
      <c r="S68" s="932"/>
    </row>
    <row r="69" spans="2:19" ht="16.5" hidden="1" thickBot="1" x14ac:dyDescent="0.3">
      <c r="C69" s="927" t="s">
        <v>77</v>
      </c>
      <c r="D69" s="928"/>
      <c r="E69" s="928"/>
      <c r="F69" s="929"/>
      <c r="G69" s="927" t="s">
        <v>77</v>
      </c>
      <c r="H69" s="928"/>
      <c r="I69" s="928"/>
      <c r="J69" s="928"/>
      <c r="K69" s="927" t="s">
        <v>174</v>
      </c>
      <c r="L69" s="928"/>
      <c r="M69" s="928"/>
      <c r="N69" s="929"/>
      <c r="O69" s="459"/>
      <c r="P69" s="927" t="s">
        <v>175</v>
      </c>
      <c r="Q69" s="928"/>
      <c r="R69" s="928"/>
      <c r="S69" s="929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3" t="s">
        <v>172</v>
      </c>
      <c r="E78" s="934"/>
      <c r="F78" s="935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9" t="s">
        <v>708</v>
      </c>
      <c r="C98" s="940"/>
      <c r="D98" s="943" t="s">
        <v>339</v>
      </c>
      <c r="E98" s="944"/>
      <c r="F98" s="944"/>
      <c r="G98" s="944"/>
      <c r="H98" s="944"/>
      <c r="I98" s="945"/>
    </row>
    <row r="99" spans="2:9" ht="15.75" hidden="1" thickBot="1" x14ac:dyDescent="0.3">
      <c r="B99" s="941"/>
      <c r="C99" s="942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4" t="s">
        <v>95</v>
      </c>
      <c r="Q4" s="915"/>
      <c r="R4" s="915"/>
      <c r="S4" s="915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3" t="str">
        <f>IF('CALC - RIPP-STD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3" t="str">
        <f>IF('CALC -P.P. - STD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3" t="str">
        <f>IF('CALC - RIPP- H-RAIL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2026-01-22T00:19:08Z</cp:lastPrinted>
  <dcterms:created xsi:type="dcterms:W3CDTF">2021-02-10T23:07:35Z</dcterms:created>
  <dcterms:modified xsi:type="dcterms:W3CDTF">2026-02-04T21:36:55Z</dcterms:modified>
</cp:coreProperties>
</file>