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MARY LYANS\"/>
    </mc:Choice>
  </mc:AlternateContent>
  <xr:revisionPtr revIDLastSave="0" documentId="13_ncr:1_{5E230F49-8114-4F44-971F-8AD8862E0D4D}" xr6:coauthVersionLast="47" xr6:coauthVersionMax="47" xr10:uidLastSave="{00000000-0000-0000-0000-000000000000}"/>
  <bookViews>
    <workbookView xWindow="20370" yWindow="-3540" windowWidth="29040" windowHeight="15840" tabRatio="988" activeTab="3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AS15" i="38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W15" i="38" l="1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Y15" i="38" s="1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<sst xmlns="http://schemas.openxmlformats.org/spreadsheetml/2006/main" count="3815" uniqueCount="601">
  <si>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</si>
  <si>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</si>
  <si>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</si>
  <si>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</si>
  <si>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</si>
  <si>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</si>
  <si>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</si>
  <si>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</si>
  <si>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</si>
  <si>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</si>
  <si>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</si>
  <si>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</si>
  <si>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</si>
  <si>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</si>
  <si>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</si>
  <si>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</si>
  <si>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</si>
  <si>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</si>
  <si>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</si>
  <si>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</si>
  <si>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</si>
  <si>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</si>
  <si>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</si>
  <si>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</si>
  <si>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</si>
  <si>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</si>
  <si>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</si>
  <si>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</si>
  <si>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</si>
  <si>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</si>
  <si>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</si>
  <si>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</si>
  <si>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</si>
  <si>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</si>
  <si>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</si>
  <si>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</si>
  <si>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</si>
  <si>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</si>
  <si>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</si>
  <si>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</si>
  <si>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</si>
  <si>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</si>
  <si>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</si>
  <si>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</si>
  <si>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</si>
  <si>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</si>
  <si>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</si>
  <si>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</si>
  <si>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</si>
  <si>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</si>
  <si>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</si>
  <si>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</si>
  <si>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</si>
  <si>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</si>
  <si>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</si>
  <si>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</si>
  <si>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</si>
  <si>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</si>
  <si>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</si>
  <si>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</si>
  <si>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</si>
  <si>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</si>
  <si>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</si>
  <si>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</si>
  <si>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</si>
  <si>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</si>
  <si>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</si>
  <si>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</si>
  <si>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</si>
  <si>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</si>
  <si>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</si>
  <si>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</si>
  <si>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</si>
  <si>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</si>
  <si>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</si>
  <si>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</si>
  <si>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</si>
  <si>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</si>
  <si>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</si>
  <si>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</si>
  <si>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</si>
  <si>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</si>
  <si>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</si>
  <si>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</si>
  <si>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</si>
  <si>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</si>
  <si>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</si>
  <si>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</si>
  <si>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</si>
  <si>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</si>
  <si>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</si>
  <si>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</si>
  <si>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</si>
  <si>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</si>
  <si>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</si>
  <si>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</si>
  <si>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</si>
  <si>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</si>
  <si>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</si>
  <si>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</si>
  <si>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</si>
  <si>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</si>
  <si>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</si>
  <si>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</si>
  <si>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</si>
  <si>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</si>
  <si>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</si>
  <si>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</si>
  <si>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</si>
  <si>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</si>
  <si>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</si>
  <si>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</si>
  <si>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</si>
  <si>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</si>
  <si>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</si>
  <si>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</si>
  <si>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</si>
  <si>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</si>
  <si>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</si>
  <si>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</si>
  <si>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</si>
  <si>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</si>
  <si>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</si>
  <si>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</si>
  <si>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</si>
  <si>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</si>
  <si>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</si>
  <si>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</si>
  <si>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</si>
  <si>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</si>
  <si>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</si>
  <si>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</si>
  <si>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</si>
  <si>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</si>
  <si>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</si>
  <si>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</si>
  <si>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</si>
  <si>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</si>
  <si>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</si>
  <si>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</si>
  <si>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</si>
  <si>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</si>
  <si>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</si>
  <si>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</si>
  <si>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</si>
  <si>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</si>
  <si>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</si>
  <si>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</si>
  <si>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</si>
  <si>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</si>
  <si>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</si>
  <si>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</si>
  <si>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</si>
  <si>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</si>
  <si>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</si>
  <si>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</si>
  <si>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</si>
  <si>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</si>
  <si>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</si>
  <si>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</si>
  <si>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</si>
  <si>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</si>
  <si>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</si>
  <si>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</si>
  <si>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</si>
  <si>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</si>
  <si>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</si>
  <si>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</si>
  <si>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</si>
  <si>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</si>
  <si>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</si>
  <si>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</si>
  <si>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</si>
  <si>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</si>
  <si>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</si>
  <si>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</si>
  <si>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</si>
  <si>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</si>
  <si>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</si>
  <si>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</si>
  <si>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</si>
  <si>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</si>
  <si>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</si>
  <si>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</si>
  <si>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</si>
  <si>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</si>
  <si>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</si>
  <si>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</si>
  <si>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</si>
  <si>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</si>
  <si>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</si>
  <si>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</si>
  <si>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</si>
  <si>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</si>
  <si>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</si>
  <si>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</si>
  <si>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</si>
  <si>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</si>
  <si>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</si>
  <si>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</si>
  <si>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</si>
  <si>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</si>
  <si>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</si>
  <si>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</si>
  <si>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</si>
  <si>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</si>
  <si>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</si>
  <si>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</si>
  <si>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</si>
  <si>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</si>
  <si>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</si>
  <si>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</si>
  <si>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</si>
  <si>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</si>
  <si>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</si>
  <si>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</si>
  <si>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</si>
  <si>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</si>
  <si>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</si>
  <si>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</si>
  <si>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</si>
  <si>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</si>
  <si>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</si>
  <si>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</si>
  <si>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</si>
  <si>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</si>
  <si>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</si>
  <si>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</si>
  <si>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</si>
  <si>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</si>
  <si>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</si>
  <si>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</si>
  <si>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</si>
  <si>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</si>
  <si>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</si>
  <si>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</si>
  <si>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</si>
  <si>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</si>
  <si>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</si>
  <si>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</si>
  <si>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</si>
  <si>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</si>
  <si>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</si>
  <si>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</si>
  <si>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</si>
  <si>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</si>
  <si>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</si>
  <si>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</si>
  <si>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</si>
  <si>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</si>
  <si>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</si>
  <si>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</si>
  <si>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</si>
  <si>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</si>
  <si>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</si>
  <si>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</si>
  <si>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</si>
  <si>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</si>
  <si>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</si>
  <si>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</si>
  <si>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</si>
  <si>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</si>
  <si>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</si>
  <si>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</si>
  <si>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</si>
  <si>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</si>
  <si>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</si>
  <si>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</si>
  <si>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</si>
  <si>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</si>
  <si>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</si>
  <si>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</si>
  <si>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</si>
  <si>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</si>
  <si>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</si>
  <si>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</si>
  <si>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</si>
  <si>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</si>
  <si>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</si>
  <si>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</si>
  <si>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</si>
  <si>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</si>
  <si>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</si>
  <si>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</si>
  <si>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</si>
  <si>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</si>
  <si>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</si>
  <si>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</si>
  <si>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</si>
  <si>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</si>
  <si>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</si>
  <si>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</si>
  <si>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</si>
  <si>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</si>
  <si>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</si>
  <si>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</si>
  <si>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</si>
  <si>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</si>
  <si>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</si>
  <si>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</si>
  <si>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</si>
  <si>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</si>
  <si>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</si>
  <si>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</si>
  <si>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</si>
  <si>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</si>
  <si>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</si>
  <si>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</si>
  <si>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</si>
  <si>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</si>
  <si>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</si>
  <si>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</si>
  <si>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</si>
  <si>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</si>
  <si>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</si>
  <si>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</si>
  <si>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</si>
  <si>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</si>
  <si>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</si>
  <si>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</si>
  <si>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</si>
  <si>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</si>
  <si>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</si>
  <si>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</si>
  <si>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</si>
  <si>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</si>
  <si>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</si>
  <si>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</si>
  <si>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</si>
  <si>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</si>
  <si>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</si>
  <si>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</si>
  <si>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</si>
  <si>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</si>
  <si>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</si>
  <si>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</si>
  <si>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</si>
  <si>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</si>
  <si>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</si>
  <si>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</si>
  <si>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</si>
  <si>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</si>
  <si>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</si>
  <si>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</si>
  <si>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</si>
  <si>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</si>
  <si>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</si>
  <si>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</si>
  <si>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</si>
  <si>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</si>
  <si>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</si>
  <si>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</si>
  <si>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</si>
  <si>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</si>
  <si>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</si>
  <si>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</si>
  <si>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</si>
  <si>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</si>
  <si>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</si>
  <si>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</si>
  <si>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</si>
  <si>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</si>
  <si>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</si>
  <si>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</si>
  <si>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</si>
  <si>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</si>
  <si>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</si>
  <si>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</si>
  <si>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</si>
  <si>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</si>
  <si>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</si>
  <si>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</si>
  <si>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</si>
  <si>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</si>
  <si>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</si>
  <si>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</si>
  <si>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</si>
  <si>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</si>
  <si>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</si>
  <si>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</si>
  <si>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</si>
  <si>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</si>
  <si>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</si>
  <si>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</si>
  <si>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</si>
  <si>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</si>
  <si>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</si>
  <si>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</si>
  <si>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</si>
  <si>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</si>
  <si>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</si>
  <si>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</si>
  <si>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</si>
  <si>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</si>
  <si>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</si>
  <si>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</si>
  <si>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</si>
  <si>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</si>
  <si>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</si>
  <si>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</si>
  <si>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</si>
  <si>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</si>
  <si>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</si>
  <si>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</si>
  <si>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</si>
  <si>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</si>
  <si>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</si>
  <si>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</si>
  <si>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</si>
  <si>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</si>
  <si>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</si>
  <si>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</si>
  <si>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</si>
  <si>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</si>
  <si>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</si>
  <si>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</si>
  <si>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</si>
  <si>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</si>
  <si>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</si>
  <si>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</si>
  <si>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</si>
  <si>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</si>
  <si>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</si>
  <si>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</si>
  <si>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</si>
  <si>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</si>
  <si>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</si>
  <si>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</si>
  <si>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</si>
  <si>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</si>
  <si>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</si>
  <si>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</si>
  <si>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</si>
  <si>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</si>
  <si>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</si>
  <si>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</si>
  <si>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</si>
  <si>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</si>
  <si>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</si>
  <si>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</si>
  <si>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</si>
  <si>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</si>
  <si>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</si>
  <si>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</si>
  <si>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</si>
  <si>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</si>
  <si>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</si>
  <si>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</si>
  <si>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</si>
  <si>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</si>
  <si>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</si>
  <si>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</si>
  <si>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</si>
  <si>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</si>
  <si>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</si>
  <si>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</si>
  <si>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</si>
  <si>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</si>
  <si>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</si>
  <si>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</si>
  <si>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</si>
  <si>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</si>
  <si>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</si>
  <si>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</si>
  <si>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</si>
  <si>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</si>
  <si>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</si>
  <si>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</si>
  <si>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</si>
  <si>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</si>
  <si>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</si>
  <si>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</si>
  <si>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</si>
  <si>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</si>
  <si>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</si>
  <si>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</si>
  <si>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</si>
  <si>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</si>
  <si>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</si>
  <si>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</si>
  <si>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</si>
  <si>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</si>
  <si>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</si>
  <si>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</si>
  <si>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</si>
  <si>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</si>
  <si>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</si>
  <si>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</si>
  <si>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</si>
  <si>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</si>
  <si>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</si>
  <si>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</si>
  <si>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</si>
  <si>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</si>
  <si>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</si>
  <si>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</si>
  <si>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</si>
  <si>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</si>
  <si>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</si>
  <si>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</si>
  <si>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</si>
  <si>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</si>
  <si>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</si>
  <si>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</si>
  <si>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</si>
  <si>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</si>
  <si>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</si>
  <si>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</si>
  <si>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</si>
  <si>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</si>
  <si>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</si>
  <si>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</si>
  <si>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</si>
  <si>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</si>
  <si>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</si>
  <si>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</si>
  <si>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</si>
  <si>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</si>
  <si>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</si>
  <si>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</si>
  <si>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</si>
  <si>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</si>
  <si>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</si>
  <si>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</si>
  <si>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</si>
  <si>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</si>
  <si>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</si>
  <si>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</si>
  <si>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</si>
  <si>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</si>
  <si>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</si>
  <si>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</si>
  <si>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</si>
  <si>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</si>
  <si>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</si>
  <si>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</si>
  <si>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</si>
  <si>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</si>
  <si>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</si>
  <si>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</si>
  <si>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</si>
  <si>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</si>
  <si>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</si>
  <si>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</si>
  <si>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</si>
  <si>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</si>
  <si>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</si>
  <si>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</si>
  <si>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</si>
  <si>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</si>
  <si>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</si>
  <si>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</si>
  <si>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</si>
  <si>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</si>
  <si>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</si>
  <si>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</si>
  <si>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</si>
  <si>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</si>
  <si>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</si>
  <si>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</si>
  <si>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</si>
  <si>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</si>
  <si>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</si>
  <si>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</si>
  <si>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</si>
  <si>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</si>
  <si>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</si>
  <si>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</si>
  <si>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</si>
  <si>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</si>
  <si>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</si>
  <si>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</si>
  <si>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</si>
  <si>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</si>
  <si>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</si>
  <si>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</si>
  <si>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</si>
  <si>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</si>
  <si>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</si>
  <si>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</si>
  <si>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</si>
  <si>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</si>
  <si>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</si>
  <si>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</si>
  <si>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LINO DIM OUT IVORY </t>
  </si>
  <si>
    <t xml:space="preserve">BO BUDELLI IVORY </t>
  </si>
  <si>
    <t xml:space="preserve">SALA VENTANA A </t>
  </si>
  <si>
    <t xml:space="preserve">OFFICE VENTANA A </t>
  </si>
  <si>
    <t xml:space="preserve">OFFICE VENTANA B </t>
  </si>
  <si>
    <t>RECAMARA VENTANA</t>
  </si>
  <si>
    <t xml:space="preserve">MARY LYANS RESIDENCE </t>
  </si>
  <si>
    <t xml:space="preserve">MARY LYANS </t>
  </si>
  <si>
    <t xml:space="preserve">ENSENADA </t>
  </si>
  <si>
    <t xml:space="preserve">CAMPO TURISTICO LA MISION </t>
  </si>
  <si>
    <t xml:space="preserve">VISTA AL MAR </t>
  </si>
  <si>
    <t>001 323 336 2670</t>
  </si>
  <si>
    <t>*</t>
  </si>
  <si>
    <t xml:space="preserve">BS 260121 C </t>
  </si>
  <si>
    <t xml:space="preserve">OFFICE VENTANA  A </t>
  </si>
  <si>
    <t xml:space="preserve">RECAMARA VENTANA </t>
  </si>
  <si>
    <t xml:space="preserve">BO BUDELLY IVORY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</si>
</sst>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sz val="11"/>
      <color rgb="FF313949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9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1" fillId="0" borderId="0" xfId="0" applyFont="1"/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46043</v>
      </c>
      <c r="J5" s="285"/>
      <c r="K5" s="285"/>
      <c r="L5" s="285"/>
      <c r="M5" s="286" t="str">
        <f>IF('CALCULATOR SHEET'!Y2=1,"DOCUMENT #","DOCUMENTO #")</f>
        <v>DOCUMENT #</v>
      </c>
      <c r="N5" s="469" t="str">
        <f>IF('CALCULATOR SHEET'!V5&lt;&gt;"",'CALCULATOR SHEET'!V5,"")</f>
        <v xml:space="preserve">BS 260121 C </v>
      </c>
      <c r="O5" s="469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MARY LYANS RESIDENCE </v>
      </c>
      <c r="J7" s="470" t="str">
        <f>IF('CALCULATOR SHEET'!J8&lt;&gt;"","Calle: "&amp;'CALCULATOR SHEET'!J10&amp;", Numero: "&amp;'CALCULATOR SHEET'!J11,"")</f>
        <v>Calle: VISTA AL MAR , Numero: 23</v>
      </c>
      <c r="K7" s="470"/>
      <c r="L7" s="470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70" t="str">
        <f>IF('CALCULATOR SHEET'!J9&lt;&gt;"","Frac: "&amp;'CALCULATOR SHEET'!J9&amp;" - "&amp;'CALCULATOR SHEET'!J8,"")</f>
        <v xml:space="preserve">Frac: CAMPO TURISTICO LA MISION  - ENSENADA </v>
      </c>
      <c r="K8" s="470"/>
      <c r="L8" s="470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MARY LYANS </v>
      </c>
      <c r="J10" s="470" t="str">
        <f>IF('CALCULATOR SHEET'!M11&lt;&gt;"",'CALCULATOR SHEET'!$M$11&amp;" Cell: "&amp;'CALCULATOR SHEET'!M10,"")</f>
        <v>* Cell: 001 323 336 2670</v>
      </c>
      <c r="K10" s="470"/>
      <c r="L10" s="470"/>
      <c r="N10" s="470" t="str">
        <f>IF('CALCULATOR SHEET'!U70&lt;&gt;"",'CALCULATOR SHEET'!U70,"")</f>
        <v xml:space="preserve">RICARDO GARCIA </v>
      </c>
      <c r="O10" s="470"/>
      <c r="P10" s="470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ZEBRA</v>
      </c>
      <c r="F14" s="166" t="str">
        <f>IF('CALCULATOR SHEET'!E13&lt;&gt;"",'CALCULATOR SHEET'!E13,"")</f>
        <v>GROUP 4</v>
      </c>
      <c r="G14" s="166" t="str">
        <f>IF('CALCULATOR SHEET'!I13&lt;&gt;"",'CALCULATOR SHEET'!I13,"")</f>
        <v xml:space="preserve">LINO DIM OUT IVORY </v>
      </c>
      <c r="H14" s="166" t="str">
        <f>IF('CALCULATOR SHEET'!J13&lt;&gt;"",'CALCULATOR SHEET'!J13,"")</f>
        <v xml:space="preserve">SALA VENTANA A </v>
      </c>
      <c r="I14" s="167">
        <f>IF(E14&lt;&gt;"",'CALCULATOR SHEET'!K13,"")</f>
        <v>75</v>
      </c>
      <c r="J14" s="167">
        <f>IF(I14&lt;&gt;"",'CALCULATOR SHEET'!L13,"")</f>
        <v>54</v>
      </c>
      <c r="K14" s="165" t="str">
        <f>IF('CALCULATOR SHEET'!M13&lt;&gt;"",IF('CALCULATOR SHEET'!$Y$2=1,'CALCULATOR SHEET'!M13,VLOOKUP('CALCULATOR SHEET'!M13,GENERAL!$H$6:$I$11,2,0)),"")</f>
        <v>METAL CHAIN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523.25</v>
      </c>
      <c r="O14" s="160"/>
      <c r="P14" s="163">
        <f>IF(D14&lt;&gt;"",N14*D14,"")</f>
        <v>523.25</v>
      </c>
      <c r="Q14" s="190"/>
      <c r="R14" s="64" t="s">
        <v>193</v>
      </c>
      <c r="T14" s="156">
        <f>IF('CALCULATOR SHEET'!$V$58="PESOS",'CALCULATOR SHEET'!U13*'CALCULATOR SHEET'!$Y$6,'CALCULATOR SHEET'!U13)</f>
        <v>523.25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ZEBRA</v>
      </c>
      <c r="F15" s="171" t="str">
        <f>IF('CALCULATOR SHEET'!E14&lt;&gt;"",'CALCULATOR SHEET'!E14,"")</f>
        <v>GROUP 4</v>
      </c>
      <c r="G15" s="171" t="str">
        <f>IF('CALCULATOR SHEET'!I14&lt;&gt;"",'CALCULATOR SHEET'!I14,"")</f>
        <v xml:space="preserve">LINO DIM OUT IVORY </v>
      </c>
      <c r="H15" s="171" t="str">
        <f>IF('CALCULATOR SHEET'!J14&lt;&gt;"",'CALCULATOR SHEET'!J14,"")</f>
        <v xml:space="preserve">SALA VENTANA A </v>
      </c>
      <c r="I15" s="172">
        <f>IF(E15&lt;&gt;"",'CALCULATOR SHEET'!K14,"")</f>
        <v>75</v>
      </c>
      <c r="J15" s="172">
        <f>IF(I15&lt;&gt;"",'CALCULATOR SHEET'!L14,"")</f>
        <v>54</v>
      </c>
      <c r="K15" s="165" t="str">
        <f>IF('CALCULATOR SHEET'!M14&lt;&gt;"",IF('CALCULATOR SHEET'!$Y$2=1,'CALCULATOR SHEET'!M14,VLOOKUP('CALCULATOR SHEET'!M14,GENERAL!$H$6:$I$11,2,0)),"")</f>
        <v>METAL CHAIN</v>
      </c>
      <c r="L15" s="170" t="str">
        <f>IF('CALCULATOR SHEET'!O14&lt;&gt;"",'CALCULATOR SHEET'!O14,"")</f>
        <v>L</v>
      </c>
      <c r="M15" s="170" t="str">
        <f>IF(E15&lt;&gt;"",IF(OR('CALCULATOR SHEET'!R14&lt;&gt;"NO",'CALCULATOR SHEET'!S14&lt;&gt;"NO"),"YES",""),"")</f>
        <v/>
      </c>
      <c r="N15" s="173">
        <f>IF(E15&lt;&gt;"",T15,"")</f>
        <v>523.25</v>
      </c>
      <c r="O15" s="161"/>
      <c r="P15" s="162">
        <f>IF(D15&lt;&gt;"",N15*D15,"")</f>
        <v>523.25</v>
      </c>
      <c r="Q15" s="191"/>
      <c r="R15" s="64" t="s">
        <v>193</v>
      </c>
      <c r="T15" s="156">
        <f>IF('CALCULATOR SHEET'!$V$58="PESOS",'CALCULATOR SHEET'!U14*'CALCULATOR SHEET'!$Y$6,'CALCULATOR SHEET'!U14)</f>
        <v>523.25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ZEBRA</v>
      </c>
      <c r="F16" s="171" t="str">
        <f>IF('CALCULATOR SHEET'!E15&lt;&gt;"",'CALCULATOR SHEET'!E15,"")</f>
        <v>GROUP 4</v>
      </c>
      <c r="G16" s="171" t="str">
        <f>IF('CALCULATOR SHEET'!I15&lt;&gt;"",'CALCULATOR SHEET'!I15,"")</f>
        <v xml:space="preserve">LINO DIM OUT IVORY </v>
      </c>
      <c r="H16" s="171" t="str">
        <f>IF('CALCULATOR SHEET'!J15&lt;&gt;"",'CALCULATOR SHEET'!J15,"")</f>
        <v xml:space="preserve">SALA VENTANA A </v>
      </c>
      <c r="I16" s="172">
        <f>IF(E16&lt;&gt;"",'CALCULATOR SHEET'!K15,"")</f>
        <v>75</v>
      </c>
      <c r="J16" s="172">
        <f>IF(I16&lt;&gt;"",'CALCULATOR SHEET'!L15,"")</f>
        <v>54</v>
      </c>
      <c r="K16" s="165" t="str">
        <f>IF('CALCULATOR SHEET'!M15&lt;&gt;"",IF('CALCULATOR SHEET'!$Y$2=1,'CALCULATOR SHEET'!M15,VLOOKUP('CALCULATOR SHEET'!M15,GENERAL!$H$6:$I$11,2,0)),"")</f>
        <v>METAL CHAIN</v>
      </c>
      <c r="L16" s="170" t="str">
        <f>IF('CALCULATOR SHEET'!O15&lt;&gt;"",'CALCULATOR SHEET'!O15,"")</f>
        <v>R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523.25</v>
      </c>
      <c r="O16" s="161"/>
      <c r="P16" s="162">
        <f t="shared" ref="P16:P53" si="1">IF(D16&lt;&gt;"",N16*D16,"")</f>
        <v>523.25</v>
      </c>
      <c r="Q16" s="191"/>
      <c r="R16" s="64" t="s">
        <v>193</v>
      </c>
      <c r="T16" s="156">
        <f>IF('CALCULATOR SHEET'!$V$58="PESOS",'CALCULATOR SHEET'!U15*'CALCULATOR SHEET'!$Y$6,'CALCULATOR SHEET'!U15)</f>
        <v>523.25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3</v>
      </c>
      <c r="G17" s="171" t="str">
        <f>IF('CALCULATOR SHEET'!I16&lt;&gt;"",'CALCULATOR SHEET'!I16,"")</f>
        <v xml:space="preserve">BO BUDELLI IVORY </v>
      </c>
      <c r="H17" s="171" t="str">
        <f>IF('CALCULATOR SHEET'!J16&lt;&gt;"",'CALCULATOR SHEET'!J16,"")</f>
        <v xml:space="preserve">OFFICE VENTANA A </v>
      </c>
      <c r="I17" s="172">
        <f>IF(E17&lt;&gt;"",'CALCULATOR SHEET'!K16,"")</f>
        <v>78</v>
      </c>
      <c r="J17" s="172">
        <f>IF(I17&lt;&gt;"",'CALCULATOR SHEET'!L16,"")</f>
        <v>54</v>
      </c>
      <c r="K17" s="165" t="str">
        <f>IF('CALCULATOR SHEET'!M16&lt;&gt;"",IF('CALCULATOR SHEET'!$Y$2=1,'CALCULATOR SHEET'!M16,VLOOKUP('CALCULATOR SHEET'!M16,GENERAL!$H$6:$I$11,2,0)),"")</f>
        <v>METAL CHAIN</v>
      </c>
      <c r="L17" s="170" t="str">
        <f>IF('CALCULATOR SHEET'!O16&lt;&gt;"",'CALCULATOR SHEET'!O16,"")</f>
        <v>L</v>
      </c>
      <c r="M17" s="170" t="str">
        <f>IF(E17&lt;&gt;"",IF(OR('CALCULATOR SHEET'!R16&lt;&gt;"NO",'CALCULATOR SHEET'!S16&lt;&gt;"NO"),"YES",""),"")</f>
        <v>YES</v>
      </c>
      <c r="N17" s="173">
        <f t="shared" si="0"/>
        <v>283.25</v>
      </c>
      <c r="O17" s="161"/>
      <c r="P17" s="162">
        <f t="shared" si="1"/>
        <v>283.25</v>
      </c>
      <c r="Q17" s="191"/>
      <c r="R17" s="64" t="s">
        <v>193</v>
      </c>
      <c r="T17" s="156">
        <f>IF('CALCULATOR SHEET'!$V$58="PESOS",'CALCULATOR SHEET'!U16*'CALCULATOR SHEET'!$Y$6,'CALCULATOR SHEET'!U16)</f>
        <v>283.25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3</v>
      </c>
      <c r="G18" s="171" t="str">
        <f>IF('CALCULATOR SHEET'!I17&lt;&gt;"",'CALCULATOR SHEET'!I17,"")</f>
        <v xml:space="preserve">BO BUDELLI IVORY </v>
      </c>
      <c r="H18" s="171" t="str">
        <f>IF('CALCULATOR SHEET'!J17&lt;&gt;"",'CALCULATOR SHEET'!J17,"")</f>
        <v xml:space="preserve">OFFICE VENTANA B </v>
      </c>
      <c r="I18" s="172">
        <f>IF(E18&lt;&gt;"",'CALCULATOR SHEET'!K17,"")</f>
        <v>78</v>
      </c>
      <c r="J18" s="172">
        <f>IF(I18&lt;&gt;"",'CALCULATOR SHEET'!L17,"")</f>
        <v>54</v>
      </c>
      <c r="K18" s="165" t="str">
        <f>IF('CALCULATOR SHEET'!M17&lt;&gt;"",IF('CALCULATOR SHEET'!$Y$2=1,'CALCULATOR SHEET'!M17,VLOOKUP('CALCULATOR SHEET'!M17,GENERAL!$H$6:$I$11,2,0)),"")</f>
        <v>METAL CHAIN</v>
      </c>
      <c r="L18" s="170" t="str">
        <f>IF('CALCULATOR SHEET'!O17&lt;&gt;"",'CALCULATOR SHEET'!O17,"")</f>
        <v>R</v>
      </c>
      <c r="M18" s="170" t="str">
        <f>IF(E18&lt;&gt;"",IF(OR('CALCULATOR SHEET'!R17&lt;&gt;"NO",'CALCULATOR SHEET'!S17&lt;&gt;"NO"),"YES",""),"")</f>
        <v>YES</v>
      </c>
      <c r="N18" s="173">
        <f t="shared" si="0"/>
        <v>283.25</v>
      </c>
      <c r="O18" s="161"/>
      <c r="P18" s="162">
        <f t="shared" si="1"/>
        <v>283.25</v>
      </c>
      <c r="Q18" s="191"/>
      <c r="R18" s="64" t="s">
        <v>193</v>
      </c>
      <c r="T18" s="156">
        <f>IF('CALCULATOR SHEET'!$V$58="PESOS",'CALCULATOR SHEET'!U17*'CALCULATOR SHEET'!$Y$6,'CALCULATOR SHEET'!U17)</f>
        <v>283.25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ROLLER</v>
      </c>
      <c r="F19" s="171" t="str">
        <f>IF('CALCULATOR SHEET'!E18&lt;&gt;"",'CALCULATOR SHEET'!E18,"")</f>
        <v>GROUP 3</v>
      </c>
      <c r="G19" s="171" t="str">
        <f>IF('CALCULATOR SHEET'!I18&lt;&gt;"",'CALCULATOR SHEET'!I18,"")</f>
        <v xml:space="preserve">BO BUDELLI IVORY </v>
      </c>
      <c r="H19" s="171" t="str">
        <f>IF('CALCULATOR SHEET'!J18&lt;&gt;"",'CALCULATOR SHEET'!J18,"")</f>
        <v>RECAMARA VENTANA</v>
      </c>
      <c r="I19" s="172">
        <f>IF(E19&lt;&gt;"",'CALCULATOR SHEET'!K18,"")</f>
        <v>77</v>
      </c>
      <c r="J19" s="172">
        <f>IF(I19&lt;&gt;"",'CALCULATOR SHEET'!L18,"")</f>
        <v>54</v>
      </c>
      <c r="K19" s="165" t="str">
        <f>IF('CALCULATOR SHEET'!M18&lt;&gt;"",IF('CALCULATOR SHEET'!$Y$2=1,'CALCULATOR SHEET'!M18,VLOOKUP('CALCULATOR SHEET'!M18,GENERAL!$H$6:$I$11,2,0)),"")</f>
        <v>METAL CHAIN</v>
      </c>
      <c r="L19" s="170" t="str">
        <f>IF('CALCULATOR SHEET'!O18&lt;&gt;"",'CALCULATOR SHEET'!O18,"")</f>
        <v>L</v>
      </c>
      <c r="M19" s="170" t="str">
        <f>IF(E19&lt;&gt;"",IF(OR('CALCULATOR SHEET'!R18&lt;&gt;"NO",'CALCULATOR SHEET'!S18&lt;&gt;"NO"),"YES",""),"")</f>
        <v>YES</v>
      </c>
      <c r="N19" s="173">
        <f t="shared" si="0"/>
        <v>283.25</v>
      </c>
      <c r="O19" s="161"/>
      <c r="P19" s="162">
        <f t="shared" si="1"/>
        <v>283.25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283.25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2419.5</v>
      </c>
      <c r="Q62" s="184"/>
      <c r="X62" s="159" t="str">
        <f>IF('CALCULATOR SHEET'!$Y$2=1,GENERAL!Q35,GENERAL!S35)</f>
        <v>SUB TOTAL</v>
      </c>
      <c r="Y62" s="218">
        <f>P62</f>
        <v>2419.5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725.85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1693.65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1693.65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1693.65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1693.65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1693.65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1">
        <v>44656</v>
      </c>
      <c r="Z1" s="491"/>
      <c r="AG1" s="8"/>
      <c r="AH1" s="8"/>
    </row>
    <row r="2" spans="2:41" s="1" customFormat="1" ht="18" customHeight="1">
      <c r="F2" s="20"/>
      <c r="M2" s="493" t="s">
        <v>446</v>
      </c>
      <c r="N2" s="493"/>
      <c r="O2" s="493"/>
      <c r="P2" s="493"/>
      <c r="Q2" s="493"/>
      <c r="R2" s="493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4"/>
      <c r="N3" s="494"/>
      <c r="O3" s="494"/>
      <c r="P3" s="494"/>
      <c r="Q3" s="494"/>
      <c r="R3" s="494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75</v>
      </c>
      <c r="AL7" s="53">
        <f>'CALCULATOR SHEET'!L13</f>
        <v>54</v>
      </c>
      <c r="AM7" s="53">
        <f>IF(AK7=0,"",MATCH(CEILING(AK7,6),$E$4:$AA$4,0))</f>
        <v>10</v>
      </c>
      <c r="AN7" s="53">
        <f>IF(AL7=0,"",MATCH(CEILING(AL7,6),$D$7:$D$28,0))</f>
        <v>6</v>
      </c>
      <c r="AO7" s="54">
        <f>IF(AM7="","",INDEX($E$7:$AA$28,AN7,AM7))</f>
        <v>166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75</v>
      </c>
      <c r="AL8" s="53">
        <f>'CALCULATOR SHEET'!L14</f>
        <v>54</v>
      </c>
      <c r="AM8" s="53">
        <f t="shared" ref="AM8:AM71" si="0">IF(AK8=0,"",MATCH(CEILING(AK8,6),$E$4:$AA$4,0))</f>
        <v>10</v>
      </c>
      <c r="AN8" s="53">
        <f t="shared" ref="AN8:AN71" si="1">IF(AL8=0,"",MATCH(CEILING(AL8,6),$D$7:$D$28,0))</f>
        <v>6</v>
      </c>
      <c r="AO8" s="54">
        <f t="shared" ref="AO8:AO71" si="2">IF(AM8="","",INDEX($E$7:$AA$28,AN8,AM8))</f>
        <v>166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75</v>
      </c>
      <c r="AL9" s="53">
        <f>'CALCULATOR SHEET'!L15</f>
        <v>54</v>
      </c>
      <c r="AM9" s="53">
        <f t="shared" si="0"/>
        <v>10</v>
      </c>
      <c r="AN9" s="53">
        <f t="shared" si="1"/>
        <v>6</v>
      </c>
      <c r="AO9" s="54">
        <f t="shared" si="2"/>
        <v>166</v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78</v>
      </c>
      <c r="AL10" s="53">
        <f>'CALCULATOR SHEET'!L16</f>
        <v>54</v>
      </c>
      <c r="AM10" s="53">
        <f t="shared" si="0"/>
        <v>10</v>
      </c>
      <c r="AN10" s="53">
        <f t="shared" si="1"/>
        <v>6</v>
      </c>
      <c r="AO10" s="54">
        <f t="shared" si="2"/>
        <v>166</v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78</v>
      </c>
      <c r="AL11" s="53">
        <f>'CALCULATOR SHEET'!L17</f>
        <v>54</v>
      </c>
      <c r="AM11" s="53">
        <f t="shared" si="0"/>
        <v>10</v>
      </c>
      <c r="AN11" s="53">
        <f t="shared" si="1"/>
        <v>6</v>
      </c>
      <c r="AO11" s="54">
        <f t="shared" si="2"/>
        <v>166</v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77</v>
      </c>
      <c r="AL12" s="53">
        <f>'CALCULATOR SHEET'!L18</f>
        <v>54</v>
      </c>
      <c r="AM12" s="53">
        <f t="shared" si="0"/>
        <v>10</v>
      </c>
      <c r="AN12" s="53">
        <f t="shared" si="1"/>
        <v>6</v>
      </c>
      <c r="AO12" s="54">
        <f t="shared" si="2"/>
        <v>166</v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1">
        <v>44656</v>
      </c>
      <c r="Z1" s="491"/>
    </row>
    <row r="2" spans="1:41" ht="18" customHeight="1">
      <c r="F2" s="20"/>
      <c r="M2" s="493" t="s">
        <v>449</v>
      </c>
      <c r="N2" s="493"/>
      <c r="O2" s="493"/>
      <c r="P2" s="493"/>
      <c r="Q2" s="493"/>
      <c r="R2" s="493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4"/>
      <c r="N3" s="494"/>
      <c r="O3" s="494"/>
      <c r="P3" s="494"/>
      <c r="Q3" s="494"/>
      <c r="R3" s="494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75</v>
      </c>
      <c r="AL7" s="53">
        <f>'CALCULATOR SHEET'!L13</f>
        <v>54</v>
      </c>
      <c r="AM7" s="53">
        <f t="shared" ref="AM7:AM70" si="0">IF(AK7=0,"",MATCH(CEILING(AK7,6),$E$4:$AA$4,0))</f>
        <v>10</v>
      </c>
      <c r="AN7" s="53">
        <f>IF(AL7=0,"",MATCH(CEILING(AL7,6),$D$7:$D$28,0))</f>
        <v>6</v>
      </c>
      <c r="AO7" s="54">
        <f t="shared" ref="AO7:AO70" si="1">IF(AM7="","",INDEX($E$7:$AA$28,AN7,AM7))</f>
        <v>199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75</v>
      </c>
      <c r="AL8" s="53">
        <f>'CALCULATOR SHEET'!L14</f>
        <v>54</v>
      </c>
      <c r="AM8" s="53">
        <f t="shared" si="0"/>
        <v>10</v>
      </c>
      <c r="AN8" s="53">
        <f t="shared" ref="AN8:AN71" si="2">IF(AL8=0,"",MATCH(CEILING(AL8,6),$D$7:$D$28,0))</f>
        <v>6</v>
      </c>
      <c r="AO8" s="54">
        <f t="shared" si="1"/>
        <v>199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75</v>
      </c>
      <c r="AL9" s="53">
        <f>'CALCULATOR SHEET'!L15</f>
        <v>54</v>
      </c>
      <c r="AM9" s="53">
        <f t="shared" si="0"/>
        <v>10</v>
      </c>
      <c r="AN9" s="53">
        <f t="shared" si="2"/>
        <v>6</v>
      </c>
      <c r="AO9" s="54">
        <f t="shared" si="1"/>
        <v>199</v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78</v>
      </c>
      <c r="AL10" s="53">
        <f>'CALCULATOR SHEET'!L16</f>
        <v>54</v>
      </c>
      <c r="AM10" s="53">
        <f t="shared" si="0"/>
        <v>10</v>
      </c>
      <c r="AN10" s="53">
        <f t="shared" si="2"/>
        <v>6</v>
      </c>
      <c r="AO10" s="54">
        <f t="shared" si="1"/>
        <v>199</v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78</v>
      </c>
      <c r="AL11" s="53">
        <f>'CALCULATOR SHEET'!L17</f>
        <v>54</v>
      </c>
      <c r="AM11" s="53">
        <f t="shared" si="0"/>
        <v>10</v>
      </c>
      <c r="AN11" s="53">
        <f t="shared" si="2"/>
        <v>6</v>
      </c>
      <c r="AO11" s="54">
        <f t="shared" si="1"/>
        <v>199</v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77</v>
      </c>
      <c r="AL12" s="53">
        <f>'CALCULATOR SHEET'!L18</f>
        <v>54</v>
      </c>
      <c r="AM12" s="53">
        <f t="shared" si="0"/>
        <v>10</v>
      </c>
      <c r="AN12" s="53">
        <f t="shared" si="2"/>
        <v>6</v>
      </c>
      <c r="AO12" s="54">
        <f t="shared" si="1"/>
        <v>199</v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1">
        <v>44656</v>
      </c>
      <c r="Z1" s="491"/>
    </row>
    <row r="2" spans="1:41" ht="18" customHeight="1">
      <c r="F2" s="20"/>
      <c r="G2" s="21"/>
      <c r="H2" s="21"/>
      <c r="I2" s="21"/>
      <c r="J2" s="21"/>
      <c r="M2" s="493" t="s">
        <v>448</v>
      </c>
      <c r="N2" s="493"/>
      <c r="O2" s="493"/>
      <c r="P2" s="493"/>
      <c r="Q2" s="493"/>
      <c r="R2" s="493"/>
      <c r="S2" s="91"/>
      <c r="T2" s="91"/>
      <c r="U2" s="91"/>
      <c r="X2" s="25" t="s">
        <v>336</v>
      </c>
    </row>
    <row r="3" spans="1:41" ht="18" customHeight="1" thickBot="1">
      <c r="F3" s="93"/>
      <c r="M3" s="494"/>
      <c r="N3" s="494"/>
      <c r="O3" s="494"/>
      <c r="P3" s="494"/>
      <c r="Q3" s="494"/>
      <c r="R3" s="494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75</v>
      </c>
      <c r="AL7" s="53">
        <f>'CALCULATOR SHEET'!L13</f>
        <v>54</v>
      </c>
      <c r="AM7" s="53">
        <f>IF(AK7=0,"",MATCH(CEILING(AK7,6),$E$4:$AA$4,0))</f>
        <v>10</v>
      </c>
      <c r="AN7" s="53">
        <f>IF(AL7=0,"",MATCH(CEILING(AL7,6),$D$7:$D$28,0))</f>
        <v>6</v>
      </c>
      <c r="AO7" s="54">
        <f>IF(AM7="","",INDEX($E$7:$AA$28,AN7,AM7))</f>
        <v>217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75</v>
      </c>
      <c r="AL8" s="53">
        <f>'CALCULATOR SHEET'!L14</f>
        <v>54</v>
      </c>
      <c r="AM8" s="53">
        <f t="shared" ref="AM8:AM71" si="0">IF(AK8=0,"",MATCH(CEILING(AK8,6),$E$4:$AA$4,0))</f>
        <v>10</v>
      </c>
      <c r="AN8" s="53">
        <f t="shared" ref="AN8:AN71" si="1">IF(AL8=0,"",MATCH(CEILING(AL8,6),$D$7:$D$28,0))</f>
        <v>6</v>
      </c>
      <c r="AO8" s="54">
        <f t="shared" ref="AO8:AO71" si="2">IF(AM8="","",INDEX($E$7:$AA$28,AN8,AM8))</f>
        <v>217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75</v>
      </c>
      <c r="AL9" s="53">
        <f>'CALCULATOR SHEET'!L15</f>
        <v>54</v>
      </c>
      <c r="AM9" s="53">
        <f t="shared" si="0"/>
        <v>10</v>
      </c>
      <c r="AN9" s="53">
        <f t="shared" si="1"/>
        <v>6</v>
      </c>
      <c r="AO9" s="54">
        <f t="shared" si="2"/>
        <v>217</v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78</v>
      </c>
      <c r="AL10" s="53">
        <f>'CALCULATOR SHEET'!L16</f>
        <v>54</v>
      </c>
      <c r="AM10" s="53">
        <f t="shared" si="0"/>
        <v>10</v>
      </c>
      <c r="AN10" s="53">
        <f t="shared" si="1"/>
        <v>6</v>
      </c>
      <c r="AO10" s="54">
        <f t="shared" si="2"/>
        <v>217</v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78</v>
      </c>
      <c r="AL11" s="53">
        <f>'CALCULATOR SHEET'!L17</f>
        <v>54</v>
      </c>
      <c r="AM11" s="53">
        <f t="shared" si="0"/>
        <v>10</v>
      </c>
      <c r="AN11" s="53">
        <f t="shared" si="1"/>
        <v>6</v>
      </c>
      <c r="AO11" s="54">
        <f t="shared" si="2"/>
        <v>217</v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77</v>
      </c>
      <c r="AL12" s="53">
        <f>'CALCULATOR SHEET'!L18</f>
        <v>54</v>
      </c>
      <c r="AM12" s="53">
        <f t="shared" si="0"/>
        <v>10</v>
      </c>
      <c r="AN12" s="53">
        <f t="shared" si="1"/>
        <v>6</v>
      </c>
      <c r="AO12" s="54">
        <f t="shared" si="2"/>
        <v>217</v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1">
        <v>44656</v>
      </c>
      <c r="Z1" s="491"/>
    </row>
    <row r="2" spans="1:41" ht="18" customHeight="1">
      <c r="F2" s="20"/>
      <c r="M2" s="493" t="s">
        <v>447</v>
      </c>
      <c r="N2" s="493"/>
      <c r="O2" s="493"/>
      <c r="P2" s="493"/>
      <c r="Q2" s="493"/>
      <c r="R2" s="493"/>
      <c r="S2" s="91"/>
      <c r="T2" s="91"/>
      <c r="U2" s="91"/>
      <c r="X2" s="25" t="s">
        <v>336</v>
      </c>
    </row>
    <row r="3" spans="1:41" ht="18" customHeight="1" thickBot="1">
      <c r="F3" s="15"/>
      <c r="M3" s="494"/>
      <c r="N3" s="494"/>
      <c r="O3" s="494"/>
      <c r="P3" s="494"/>
      <c r="Q3" s="494"/>
      <c r="R3" s="494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75</v>
      </c>
      <c r="AL7" s="53">
        <f>'CALCULATOR SHEET'!L13</f>
        <v>54</v>
      </c>
      <c r="AM7" s="53">
        <f t="shared" ref="AM7:AM70" si="0">IF(AK7=0,"",MATCH(CEILING(AK7,6),$E$4:$AA$4,0))</f>
        <v>10</v>
      </c>
      <c r="AN7" s="53">
        <f>IF(AL7=0,"",MATCH(CEILING(AL7,6),$D$7:$D$28,0))</f>
        <v>6</v>
      </c>
      <c r="AO7" s="54">
        <f t="shared" ref="AO7:AO70" si="1">IF(AM7="","",INDEX($E$7:$AA$28,AN7,AM7))</f>
        <v>245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75</v>
      </c>
      <c r="AL8" s="53">
        <f>'CALCULATOR SHEET'!L14</f>
        <v>54</v>
      </c>
      <c r="AM8" s="53">
        <f t="shared" si="0"/>
        <v>10</v>
      </c>
      <c r="AN8" s="53">
        <f t="shared" ref="AN8:AN71" si="2">IF(AL8=0,"",MATCH(CEILING(AL8,6),$D$7:$D$28,0))</f>
        <v>6</v>
      </c>
      <c r="AO8" s="54">
        <f t="shared" si="1"/>
        <v>245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75</v>
      </c>
      <c r="AL9" s="53">
        <f>'CALCULATOR SHEET'!L15</f>
        <v>54</v>
      </c>
      <c r="AM9" s="53">
        <f t="shared" si="0"/>
        <v>10</v>
      </c>
      <c r="AN9" s="53">
        <f t="shared" si="2"/>
        <v>6</v>
      </c>
      <c r="AO9" s="54">
        <f t="shared" si="1"/>
        <v>245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78</v>
      </c>
      <c r="AL10" s="53">
        <f>'CALCULATOR SHEET'!L16</f>
        <v>54</v>
      </c>
      <c r="AM10" s="53">
        <f t="shared" si="0"/>
        <v>10</v>
      </c>
      <c r="AN10" s="53">
        <f t="shared" si="2"/>
        <v>6</v>
      </c>
      <c r="AO10" s="54">
        <f t="shared" si="1"/>
        <v>245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78</v>
      </c>
      <c r="AL11" s="53">
        <f>'CALCULATOR SHEET'!L17</f>
        <v>54</v>
      </c>
      <c r="AM11" s="53">
        <f t="shared" si="0"/>
        <v>10</v>
      </c>
      <c r="AN11" s="53">
        <f t="shared" si="2"/>
        <v>6</v>
      </c>
      <c r="AO11" s="54">
        <f t="shared" si="1"/>
        <v>245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77</v>
      </c>
      <c r="AL12" s="53">
        <f>'CALCULATOR SHEET'!L18</f>
        <v>54</v>
      </c>
      <c r="AM12" s="53">
        <f t="shared" si="0"/>
        <v>10</v>
      </c>
      <c r="AN12" s="53">
        <f t="shared" si="2"/>
        <v>6</v>
      </c>
      <c r="AO12" s="54">
        <f t="shared" si="1"/>
        <v>245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5" t="s">
        <v>209</v>
      </c>
      <c r="V7" s="143"/>
      <c r="W7" s="143" t="str">
        <f>'CALCULATOR SHEET'!E13</f>
        <v>GROUP 4</v>
      </c>
      <c r="X7" s="1">
        <v>1</v>
      </c>
      <c r="Y7" s="7">
        <f>'CALCULATOR SHEET'!K13</f>
        <v>75</v>
      </c>
      <c r="Z7" s="7">
        <f>'CALCULATOR SHEET'!L13</f>
        <v>54</v>
      </c>
      <c r="AA7" s="7">
        <f>IF(Y7=0,"",MATCH(CEILING(Y7,6),$C$7:$R$7,0))</f>
        <v>9</v>
      </c>
      <c r="AB7" s="7">
        <f>IF(Z7=0,"",MATCH(CEILING(Z7,6),$B$10:$B$26,0))</f>
        <v>4</v>
      </c>
      <c r="AC7" s="142" t="str">
        <f>IF(AA7="","",IF(W7="GROUP 1",INDEX($C$10:$R$26,AB7,AA7),IF(W7="GROUP 2",INDEX($C$39:$R$55,AB7,AA7),IF(W7="GROUP 3",INDEX($C$64:$R$80,AB7,AA7),""))))</f>
        <v/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202</v>
      </c>
      <c r="AF7" s="13">
        <f>IF(Y7&gt;0,HLOOKUP(AA7,$C$29:$R$30,2,FALSE),"")</f>
        <v>209</v>
      </c>
    </row>
    <row r="8" spans="2:32" ht="15.75">
      <c r="U8" s="495"/>
      <c r="V8" s="143"/>
      <c r="W8" s="143" t="str">
        <f>'CALCULATOR SHEET'!E14</f>
        <v>GROUP 4</v>
      </c>
      <c r="X8" s="1">
        <f>+X7+1</f>
        <v>2</v>
      </c>
      <c r="Y8" s="7">
        <f>'CALCULATOR SHEET'!K14</f>
        <v>75</v>
      </c>
      <c r="Z8" s="7">
        <f>'CALCULATOR SHEET'!L14</f>
        <v>54</v>
      </c>
      <c r="AA8" s="7">
        <f t="shared" ref="AA8:AA28" si="1">IF(Y8=0,"",MATCH(CEILING(Y8,6),$C$7:$R$7,0))</f>
        <v>9</v>
      </c>
      <c r="AB8" s="7">
        <f t="shared" ref="AB8:AB28" si="2">IF(Z8=0,"",MATCH(CEILING(Z8,6),$B$10:$B$26,0))</f>
        <v>4</v>
      </c>
      <c r="AC8" s="142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202</v>
      </c>
      <c r="AF8" s="13">
        <f t="shared" ref="AF8:AF71" si="5">IF(Y8&gt;0,HLOOKUP(AA8,$C$29:$R$30,2,FALSE),"")</f>
        <v>209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4</v>
      </c>
      <c r="X9" s="1">
        <f t="shared" ref="X9:X28" si="6">+X8+1</f>
        <v>3</v>
      </c>
      <c r="Y9" s="7">
        <f>'CALCULATOR SHEET'!K15</f>
        <v>75</v>
      </c>
      <c r="Z9" s="7">
        <f>'CALCULATOR SHEET'!L15</f>
        <v>54</v>
      </c>
      <c r="AA9" s="7">
        <f t="shared" si="1"/>
        <v>9</v>
      </c>
      <c r="AB9" s="7">
        <f t="shared" si="2"/>
        <v>4</v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>
        <f t="shared" si="4"/>
        <v>202</v>
      </c>
      <c r="AF9" s="13">
        <f t="shared" si="5"/>
        <v>209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3</v>
      </c>
      <c r="X10" s="1">
        <f t="shared" si="6"/>
        <v>4</v>
      </c>
      <c r="Y10" s="7">
        <f>'CALCULATOR SHEET'!K16</f>
        <v>78</v>
      </c>
      <c r="Z10" s="7">
        <f>'CALCULATOR SHEET'!L16</f>
        <v>54</v>
      </c>
      <c r="AA10" s="7">
        <f t="shared" si="1"/>
        <v>9</v>
      </c>
      <c r="AB10" s="7">
        <f t="shared" si="2"/>
        <v>4</v>
      </c>
      <c r="AC10" s="142">
        <f t="shared" si="3"/>
        <v>421</v>
      </c>
      <c r="AD10" s="13" t="str">
        <f>IF(AND('CALCULATOR SHEET'!R16="YES",'CALCULATOR SHEET'!S16="YES"),HLOOKUP(CEILING(Y10,6),$C$28:$Q$31,3,FALSE),"")</f>
        <v/>
      </c>
      <c r="AE10" s="13">
        <f t="shared" si="4"/>
        <v>202</v>
      </c>
      <c r="AF10" s="13">
        <f t="shared" si="5"/>
        <v>209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3</v>
      </c>
      <c r="X11" s="1">
        <f t="shared" si="6"/>
        <v>5</v>
      </c>
      <c r="Y11" s="7">
        <f>'CALCULATOR SHEET'!K17</f>
        <v>78</v>
      </c>
      <c r="Z11" s="7">
        <f>'CALCULATOR SHEET'!L17</f>
        <v>54</v>
      </c>
      <c r="AA11" s="7">
        <f t="shared" si="1"/>
        <v>9</v>
      </c>
      <c r="AB11" s="7">
        <f t="shared" si="2"/>
        <v>4</v>
      </c>
      <c r="AC11" s="142">
        <f t="shared" si="3"/>
        <v>421</v>
      </c>
      <c r="AD11" s="13" t="str">
        <f>IF(AND('CALCULATOR SHEET'!R17="YES",'CALCULATOR SHEET'!S17="YES"),HLOOKUP(CEILING(Y11,6),$C$28:$Q$31,3,FALSE),"")</f>
        <v/>
      </c>
      <c r="AE11" s="13">
        <f t="shared" si="4"/>
        <v>202</v>
      </c>
      <c r="AF11" s="13">
        <f t="shared" si="5"/>
        <v>209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3</v>
      </c>
      <c r="X12" s="1">
        <f t="shared" si="6"/>
        <v>6</v>
      </c>
      <c r="Y12" s="7">
        <f>'CALCULATOR SHEET'!K18</f>
        <v>77</v>
      </c>
      <c r="Z12" s="7">
        <f>'CALCULATOR SHEET'!L18</f>
        <v>54</v>
      </c>
      <c r="AA12" s="7">
        <f t="shared" si="1"/>
        <v>9</v>
      </c>
      <c r="AB12" s="7">
        <f t="shared" si="2"/>
        <v>4</v>
      </c>
      <c r="AC12" s="142">
        <f t="shared" si="3"/>
        <v>421</v>
      </c>
      <c r="AD12" s="13" t="str">
        <f>IF(AND('CALCULATOR SHEET'!R18="YES",'CALCULATOR SHEET'!S18="YES"),HLOOKUP(CEILING(Y12,6),$C$28:$Q$31,3,FALSE),"")</f>
        <v/>
      </c>
      <c r="AE12" s="13">
        <f t="shared" si="4"/>
        <v>202</v>
      </c>
      <c r="AF12" s="13">
        <f t="shared" si="5"/>
        <v>209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75</v>
      </c>
      <c r="W7" s="7">
        <f>'CALCULATOR SHEET'!L13</f>
        <v>54</v>
      </c>
      <c r="X7" s="7">
        <f>IF(V7=0,"",MATCH(CEILING(V7,6),$C$8:$Q$8,0))</f>
        <v>10</v>
      </c>
      <c r="Y7" s="7">
        <f>IF(W7=0,"",MATCH(CEILING(W7,6),$B$10:$B$26,0))</f>
        <v>6</v>
      </c>
      <c r="Z7" s="142">
        <f>IF(X7="","",INDEX($C$12:$Q$26,Y7,X7))</f>
        <v>332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75</v>
      </c>
      <c r="W8" s="7">
        <f>'CALCULATOR SHEET'!L14</f>
        <v>54</v>
      </c>
      <c r="X8" s="7">
        <f t="shared" ref="X8:X73" si="0">IF(V8=0,"",MATCH(CEILING(V8,6),$C$8:$Q$8,0))</f>
        <v>10</v>
      </c>
      <c r="Y8" s="7">
        <f t="shared" ref="Y8:Y71" si="1">IF(W8=0,"",MATCH(CEILING(W8,6),$B$10:$B$26,0))</f>
        <v>6</v>
      </c>
      <c r="Z8" s="142">
        <f>IF(X8="","",INDEX($C$12:$Q$26,Y8,X8))</f>
        <v>332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75</v>
      </c>
      <c r="W9" s="7">
        <f>'CALCULATOR SHEET'!L15</f>
        <v>54</v>
      </c>
      <c r="X9" s="7">
        <f t="shared" si="0"/>
        <v>10</v>
      </c>
      <c r="Y9" s="7">
        <f t="shared" si="1"/>
        <v>6</v>
      </c>
      <c r="Z9" s="142">
        <f>IF(X9="","",INDEX($C$12:$Q$26,Y9,X9))</f>
        <v>332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78</v>
      </c>
      <c r="W12" s="7">
        <f>'CALCULATOR SHEET'!L16</f>
        <v>54</v>
      </c>
      <c r="X12" s="7">
        <f t="shared" si="0"/>
        <v>10</v>
      </c>
      <c r="Y12" s="7">
        <f t="shared" si="1"/>
        <v>6</v>
      </c>
      <c r="Z12" s="142">
        <f t="shared" ref="Z12:Z43" si="3">IF(X12="","",INDEX($C$12:$Q$26,Y12,X12))</f>
        <v>332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78</v>
      </c>
      <c r="W13" s="7">
        <f>'CALCULATOR SHEET'!L17</f>
        <v>54</v>
      </c>
      <c r="X13" s="7">
        <f t="shared" si="0"/>
        <v>10</v>
      </c>
      <c r="Y13" s="7">
        <f t="shared" si="1"/>
        <v>6</v>
      </c>
      <c r="Z13" s="142">
        <f t="shared" si="3"/>
        <v>332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77</v>
      </c>
      <c r="W14" s="7">
        <f>'CALCULATOR SHEET'!L18</f>
        <v>54</v>
      </c>
      <c r="X14" s="7">
        <f t="shared" si="0"/>
        <v>10</v>
      </c>
      <c r="Y14" s="7">
        <f t="shared" si="1"/>
        <v>6</v>
      </c>
      <c r="Z14" s="142">
        <f t="shared" si="3"/>
        <v>332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6" t="s">
        <v>14</v>
      </c>
      <c r="J3" s="496"/>
      <c r="K3" s="496"/>
      <c r="L3" s="496"/>
      <c r="R3" s="34" t="s">
        <v>375</v>
      </c>
    </row>
    <row r="4" spans="2:29" ht="25.5">
      <c r="D4" s="126"/>
      <c r="E4" s="127"/>
      <c r="I4" s="496"/>
      <c r="J4" s="496"/>
      <c r="K4" s="496"/>
      <c r="L4" s="496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5" t="s">
        <v>72</v>
      </c>
      <c r="U7" s="143"/>
      <c r="V7" s="1">
        <v>1</v>
      </c>
      <c r="W7" s="7">
        <f>'CALCULATOR SHEET'!K13</f>
        <v>75</v>
      </c>
      <c r="X7" s="7">
        <f>'CALCULATOR SHEET'!L13</f>
        <v>54</v>
      </c>
      <c r="Y7" s="7">
        <f>IF(W7=0,"",MATCH(CEILING(W7,6),$C$7:$Q$7,0))</f>
        <v>10</v>
      </c>
      <c r="Z7" s="7">
        <f>IF(X7=0,"",MATCH(CEILING(X7,6),$B$10:$B$26,0))</f>
        <v>6</v>
      </c>
      <c r="AA7" s="142">
        <f>IF(Y7="","",INDEX($C$10:$Q$26,Z7,Y7))</f>
        <v>338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5"/>
      <c r="U8" s="143"/>
      <c r="V8" s="1">
        <f>+V7+1</f>
        <v>2</v>
      </c>
      <c r="W8" s="7">
        <f>'CALCULATOR SHEET'!K14</f>
        <v>75</v>
      </c>
      <c r="X8" s="7">
        <f>'CALCULATOR SHEET'!L14</f>
        <v>54</v>
      </c>
      <c r="Y8" s="7">
        <f t="shared" ref="Y8:Y71" si="1">IF(W8=0,"",MATCH(CEILING(W8,6),$C$7:$Q$7,0))</f>
        <v>10</v>
      </c>
      <c r="Z8" s="7">
        <f t="shared" ref="Z8:Z71" si="2">IF(X8=0,"",MATCH(CEILING(X8,6),$B$10:$B$26,0))</f>
        <v>6</v>
      </c>
      <c r="AA8" s="142">
        <f t="shared" ref="AA8:AA71" si="3">IF(Y8="","",INDEX($C$10:$Q$26,Z8,Y8))</f>
        <v>338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75</v>
      </c>
      <c r="X9" s="7">
        <f>'CALCULATOR SHEET'!L15</f>
        <v>54</v>
      </c>
      <c r="Y9" s="7">
        <f t="shared" si="1"/>
        <v>10</v>
      </c>
      <c r="Z9" s="7">
        <f t="shared" si="2"/>
        <v>6</v>
      </c>
      <c r="AA9" s="142">
        <f t="shared" si="3"/>
        <v>338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78</v>
      </c>
      <c r="X10" s="7">
        <f>'CALCULATOR SHEET'!L16</f>
        <v>54</v>
      </c>
      <c r="Y10" s="7">
        <f t="shared" si="1"/>
        <v>10</v>
      </c>
      <c r="Z10" s="7">
        <f t="shared" si="2"/>
        <v>6</v>
      </c>
      <c r="AA10" s="142">
        <f t="shared" si="3"/>
        <v>338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78</v>
      </c>
      <c r="X11" s="7">
        <f>'CALCULATOR SHEET'!L17</f>
        <v>54</v>
      </c>
      <c r="Y11" s="7">
        <f t="shared" si="1"/>
        <v>10</v>
      </c>
      <c r="Z11" s="7">
        <f t="shared" si="2"/>
        <v>6</v>
      </c>
      <c r="AA11" s="142">
        <f t="shared" si="3"/>
        <v>338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77</v>
      </c>
      <c r="X12" s="7">
        <f>'CALCULATOR SHEET'!L18</f>
        <v>54</v>
      </c>
      <c r="Y12" s="7">
        <f t="shared" si="1"/>
        <v>10</v>
      </c>
      <c r="Z12" s="7">
        <f t="shared" si="2"/>
        <v>6</v>
      </c>
      <c r="AA12" s="142">
        <f t="shared" si="3"/>
        <v>338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6" t="s">
        <v>8</v>
      </c>
      <c r="J3" s="496"/>
      <c r="K3" s="496"/>
      <c r="L3" s="496"/>
      <c r="R3" s="34" t="s">
        <v>376</v>
      </c>
    </row>
    <row r="4" spans="2:27" ht="25.5">
      <c r="D4" s="126"/>
      <c r="E4" s="127"/>
      <c r="I4" s="496"/>
      <c r="J4" s="496"/>
      <c r="K4" s="496"/>
      <c r="L4" s="496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5" t="s">
        <v>72</v>
      </c>
      <c r="V7" s="1">
        <v>1</v>
      </c>
      <c r="W7" s="7">
        <f>'CALCULATOR SHEET'!K13</f>
        <v>75</v>
      </c>
      <c r="X7" s="7">
        <f>'CALCULATOR SHEET'!L13</f>
        <v>54</v>
      </c>
      <c r="Y7" s="7">
        <f>IF(W7=0,"",MATCH(CEILING(W7,6),$C$7:$Q$7,0))</f>
        <v>10</v>
      </c>
      <c r="Z7" s="7">
        <f>IF(X7=0,"",MATCH(CEILING(X7,6),$B$10:$B$26,0))</f>
        <v>6</v>
      </c>
      <c r="AA7" s="142">
        <f>IF(Y7="","",INDEX($C$10:$Q$26,Z7,Y7))</f>
        <v>400</v>
      </c>
    </row>
    <row r="8" spans="2:27">
      <c r="T8" s="495"/>
      <c r="V8" s="1">
        <f>+V7+1</f>
        <v>2</v>
      </c>
      <c r="W8" s="7">
        <f>'CALCULATOR SHEET'!K14</f>
        <v>75</v>
      </c>
      <c r="X8" s="7">
        <f>'CALCULATOR SHEET'!L14</f>
        <v>54</v>
      </c>
      <c r="Y8" s="7">
        <f t="shared" ref="Y8:Y71" si="1">IF(W8=0,"",MATCH(CEILING(W8,6),$C$7:$Q$7,0))</f>
        <v>10</v>
      </c>
      <c r="Z8" s="7">
        <f t="shared" ref="Z8:Z71" si="2">IF(X8=0,"",MATCH(CEILING(X8,6),$B$10:$B$26,0))</f>
        <v>6</v>
      </c>
      <c r="AA8" s="142">
        <f t="shared" ref="AA8:AA71" si="3">IF(Y8="","",INDEX($C$10:$Q$26,Z8,Y8))</f>
        <v>400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75</v>
      </c>
      <c r="X9" s="7">
        <f>'CALCULATOR SHEET'!L15</f>
        <v>54</v>
      </c>
      <c r="Y9" s="7">
        <f t="shared" si="1"/>
        <v>10</v>
      </c>
      <c r="Z9" s="7">
        <f t="shared" si="2"/>
        <v>6</v>
      </c>
      <c r="AA9" s="142">
        <f t="shared" si="3"/>
        <v>400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78</v>
      </c>
      <c r="X10" s="7">
        <f>'CALCULATOR SHEET'!L16</f>
        <v>54</v>
      </c>
      <c r="Y10" s="7">
        <f t="shared" si="1"/>
        <v>10</v>
      </c>
      <c r="Z10" s="7">
        <f t="shared" si="2"/>
        <v>6</v>
      </c>
      <c r="AA10" s="142">
        <f t="shared" si="3"/>
        <v>400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78</v>
      </c>
      <c r="X11" s="7">
        <f>'CALCULATOR SHEET'!L17</f>
        <v>54</v>
      </c>
      <c r="Y11" s="7">
        <f t="shared" si="1"/>
        <v>10</v>
      </c>
      <c r="Z11" s="7">
        <f t="shared" si="2"/>
        <v>6</v>
      </c>
      <c r="AA11" s="142">
        <f t="shared" si="3"/>
        <v>400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77</v>
      </c>
      <c r="X12" s="7">
        <f>'CALCULATOR SHEET'!L18</f>
        <v>54</v>
      </c>
      <c r="Y12" s="7">
        <f t="shared" si="1"/>
        <v>10</v>
      </c>
      <c r="Z12" s="7">
        <f t="shared" si="2"/>
        <v>6</v>
      </c>
      <c r="AA12" s="142">
        <f t="shared" si="3"/>
        <v>400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6" t="s">
        <v>9</v>
      </c>
      <c r="J3" s="496"/>
      <c r="K3" s="496"/>
      <c r="L3" s="496"/>
      <c r="S3" s="34" t="s">
        <v>376</v>
      </c>
    </row>
    <row r="4" spans="2:28" ht="25.5">
      <c r="D4" s="126"/>
      <c r="E4" s="127"/>
      <c r="I4" s="496"/>
      <c r="J4" s="496"/>
      <c r="K4" s="496"/>
      <c r="L4" s="496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5" t="s">
        <v>72</v>
      </c>
      <c r="V7" s="143"/>
      <c r="W7" s="1">
        <v>1</v>
      </c>
      <c r="X7" s="7">
        <f>'CALCULATOR SHEET'!K13</f>
        <v>75</v>
      </c>
      <c r="Y7" s="7">
        <f>'CALCULATOR SHEET'!L13</f>
        <v>54</v>
      </c>
      <c r="Z7" s="7">
        <f>IF(X7=0,"",MATCH(CEILING(X7,6),$C$7:$R$7,0))</f>
        <v>10</v>
      </c>
      <c r="AA7" s="7">
        <f>IF(Y7=0,"",MATCH(CEILING(Y7,6),$B$10:$B$26,0))</f>
        <v>6</v>
      </c>
      <c r="AB7" s="142">
        <f>IF(Z7="","",INDEX($C$10:$R$26,AA7,Z7))</f>
        <v>482</v>
      </c>
    </row>
    <row r="8" spans="2:28" ht="15.75">
      <c r="U8" s="495"/>
      <c r="V8" s="143"/>
      <c r="W8" s="1">
        <f>+W7+1</f>
        <v>2</v>
      </c>
      <c r="X8" s="7">
        <f>'CALCULATOR SHEET'!K14</f>
        <v>75</v>
      </c>
      <c r="Y8" s="7">
        <f>'CALCULATOR SHEET'!L14</f>
        <v>54</v>
      </c>
      <c r="Z8" s="7">
        <f t="shared" ref="Z8:Z71" si="0">IF(X8=0,"",MATCH(CEILING(X8,6),$C$7:$R$7,0))</f>
        <v>10</v>
      </c>
      <c r="AA8" s="7">
        <f t="shared" ref="AA8:AA71" si="1">IF(Y8=0,"",MATCH(CEILING(Y8,6),$B$10:$B$26,0))</f>
        <v>6</v>
      </c>
      <c r="AB8" s="142">
        <f t="shared" ref="AB8:AB71" si="2">IF(Z8="","",INDEX($C$10:$R$26,AA8,Z8))</f>
        <v>482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75</v>
      </c>
      <c r="Y9" s="7">
        <f>'CALCULATOR SHEET'!L15</f>
        <v>54</v>
      </c>
      <c r="Z9" s="7">
        <f t="shared" si="0"/>
        <v>10</v>
      </c>
      <c r="AA9" s="7">
        <f t="shared" si="1"/>
        <v>6</v>
      </c>
      <c r="AB9" s="142">
        <f t="shared" si="2"/>
        <v>482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78</v>
      </c>
      <c r="Y10" s="7">
        <f>'CALCULATOR SHEET'!L16</f>
        <v>54</v>
      </c>
      <c r="Z10" s="7">
        <f t="shared" si="0"/>
        <v>10</v>
      </c>
      <c r="AA10" s="7">
        <f t="shared" si="1"/>
        <v>6</v>
      </c>
      <c r="AB10" s="142">
        <f t="shared" si="2"/>
        <v>482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78</v>
      </c>
      <c r="Y11" s="7">
        <f>'CALCULATOR SHEET'!L17</f>
        <v>54</v>
      </c>
      <c r="Z11" s="7">
        <f t="shared" si="0"/>
        <v>10</v>
      </c>
      <c r="AA11" s="7">
        <f t="shared" si="1"/>
        <v>6</v>
      </c>
      <c r="AB11" s="142">
        <f t="shared" si="2"/>
        <v>482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77</v>
      </c>
      <c r="Y12" s="7">
        <f>'CALCULATOR SHEET'!L18</f>
        <v>54</v>
      </c>
      <c r="Z12" s="7">
        <f t="shared" si="0"/>
        <v>10</v>
      </c>
      <c r="AA12" s="7">
        <f t="shared" si="1"/>
        <v>6</v>
      </c>
      <c r="AB12" s="142">
        <f t="shared" si="2"/>
        <v>482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6" t="s">
        <v>10</v>
      </c>
      <c r="J3" s="496"/>
      <c r="K3" s="496"/>
      <c r="L3" s="496"/>
      <c r="R3" s="34" t="s">
        <v>376</v>
      </c>
    </row>
    <row r="4" spans="2:27" ht="25.5">
      <c r="D4" s="126"/>
      <c r="E4" s="127"/>
      <c r="I4" s="496"/>
      <c r="J4" s="496"/>
      <c r="K4" s="496"/>
      <c r="L4" s="496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5" t="s">
        <v>72</v>
      </c>
      <c r="V7" s="1">
        <v>1</v>
      </c>
      <c r="W7" s="7">
        <f>'CALCULATOR SHEET'!K13</f>
        <v>75</v>
      </c>
      <c r="X7" s="7">
        <f>'CALCULATOR SHEET'!L13</f>
        <v>54</v>
      </c>
      <c r="Y7" s="7">
        <f>IF(W7=0,"",MATCH(CEILING(W7,6),$C$7:$Q$7,0))</f>
        <v>10</v>
      </c>
      <c r="Z7" s="7">
        <f>IF(X7=0,"",MATCH(CEILING(X7,6),$B$10:$B$26,0))</f>
        <v>6</v>
      </c>
      <c r="AA7" s="142">
        <f>IF(Y7="","",INDEX($C$10:$Q$26,Z7,Y7))</f>
        <v>512</v>
      </c>
    </row>
    <row r="8" spans="2:27">
      <c r="T8" s="495"/>
      <c r="V8" s="1">
        <f>+V7+1</f>
        <v>2</v>
      </c>
      <c r="W8" s="7">
        <f>'CALCULATOR SHEET'!K14</f>
        <v>75</v>
      </c>
      <c r="X8" s="7">
        <f>'CALCULATOR SHEET'!L14</f>
        <v>54</v>
      </c>
      <c r="Y8" s="7">
        <f t="shared" ref="Y8:Y71" si="1">IF(W8=0,"",MATCH(CEILING(W8,6),$C$7:$Q$7,0))</f>
        <v>10</v>
      </c>
      <c r="Z8" s="7">
        <f t="shared" ref="Z8:Z71" si="2">IF(X8=0,"",MATCH(CEILING(X8,6),$B$10:$B$26,0))</f>
        <v>6</v>
      </c>
      <c r="AA8" s="142">
        <f t="shared" ref="AA8:AA71" si="3">IF(Y8="","",INDEX($C$10:$Q$26,Z8,Y8))</f>
        <v>512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75</v>
      </c>
      <c r="X9" s="7">
        <f>'CALCULATOR SHEET'!L15</f>
        <v>54</v>
      </c>
      <c r="Y9" s="7">
        <f t="shared" si="1"/>
        <v>10</v>
      </c>
      <c r="Z9" s="7">
        <f t="shared" si="2"/>
        <v>6</v>
      </c>
      <c r="AA9" s="142">
        <f t="shared" si="3"/>
        <v>512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78</v>
      </c>
      <c r="X10" s="7">
        <f>'CALCULATOR SHEET'!L16</f>
        <v>54</v>
      </c>
      <c r="Y10" s="7">
        <f t="shared" si="1"/>
        <v>10</v>
      </c>
      <c r="Z10" s="7">
        <f t="shared" si="2"/>
        <v>6</v>
      </c>
      <c r="AA10" s="142">
        <f t="shared" si="3"/>
        <v>512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78</v>
      </c>
      <c r="X11" s="7">
        <f>'CALCULATOR SHEET'!L17</f>
        <v>54</v>
      </c>
      <c r="Y11" s="7">
        <f t="shared" si="1"/>
        <v>10</v>
      </c>
      <c r="Z11" s="7">
        <f t="shared" si="2"/>
        <v>6</v>
      </c>
      <c r="AA11" s="142">
        <f t="shared" si="3"/>
        <v>512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77</v>
      </c>
      <c r="X12" s="7">
        <f>'CALCULATOR SHEET'!L18</f>
        <v>54</v>
      </c>
      <c r="Y12" s="7">
        <f t="shared" si="1"/>
        <v>10</v>
      </c>
      <c r="Z12" s="7">
        <f t="shared" si="2"/>
        <v>6</v>
      </c>
      <c r="AA12" s="142">
        <f t="shared" si="3"/>
        <v>512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F1" zoomScale="80" zoomScaleNormal="80" workbookViewId="0">
      <selection activeCell="V10" sqref="V10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2"/>
      <c r="S3" s="472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5" t="s">
        <v>296</v>
      </c>
      <c r="AC4" s="474">
        <f>FLOOR(SUMIF(C8:C47,"&gt;0")/2,1)</f>
        <v>3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597</v>
      </c>
      <c r="Y5" s="34" t="s">
        <v>127</v>
      </c>
      <c r="AB5" s="475"/>
      <c r="AC5" s="474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5"/>
      <c r="AC6" s="474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592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3" t="str">
        <f>IF(AC10&gt;(AC9/2),"REVISAR PERSIANAS","")</f>
        <v/>
      </c>
      <c r="AB8" s="473"/>
      <c r="AC8" s="473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590</v>
      </c>
      <c r="E9" s="39"/>
      <c r="F9" s="401"/>
      <c r="G9" s="401"/>
      <c r="H9" s="1"/>
      <c r="I9" s="38" t="s">
        <v>382</v>
      </c>
      <c r="J9" s="334" t="s">
        <v>593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46043</v>
      </c>
      <c r="AB9" s="38" t="s">
        <v>291</v>
      </c>
      <c r="AC9" s="34">
        <f>SUMIF(C13:C52,"&gt;0")</f>
        <v>6</v>
      </c>
      <c r="AF9" s="471" t="s">
        <v>86</v>
      </c>
      <c r="AG9" s="471"/>
      <c r="AH9" s="471"/>
      <c r="AI9" s="471"/>
      <c r="AJ9" s="471"/>
      <c r="AK9" s="471"/>
      <c r="AL9" s="471"/>
      <c r="AM9" s="471"/>
      <c r="AN9" s="266"/>
      <c r="AO9" s="471" t="s">
        <v>87</v>
      </c>
      <c r="AP9" s="471"/>
      <c r="AQ9" s="471"/>
      <c r="AR9" s="266"/>
      <c r="AS9" s="471" t="s">
        <v>88</v>
      </c>
      <c r="AT9" s="471"/>
      <c r="AU9" s="471"/>
      <c r="AV9" s="266"/>
      <c r="AW9" s="471" t="s">
        <v>210</v>
      </c>
      <c r="AX9" s="471"/>
      <c r="AY9" s="14"/>
      <c r="AZ9" s="14"/>
    </row>
    <row r="10" spans="1:76" ht="15.75">
      <c r="B10" s="43"/>
      <c r="C10" s="24" t="s">
        <v>39</v>
      </c>
      <c r="D10" s="187" t="s">
        <v>591</v>
      </c>
      <c r="E10" s="145"/>
      <c r="F10" s="401"/>
      <c r="G10" s="401"/>
      <c r="H10" s="1"/>
      <c r="I10" s="332" t="s">
        <v>383</v>
      </c>
      <c r="J10" s="334" t="s">
        <v>594</v>
      </c>
      <c r="K10" s="1"/>
      <c r="L10" s="3" t="s">
        <v>388</v>
      </c>
      <c r="M10" s="468" t="s">
        <v>595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1"/>
      <c r="AG10" s="471"/>
      <c r="AH10" s="471"/>
      <c r="AI10" s="471"/>
      <c r="AJ10" s="471"/>
      <c r="AK10" s="471"/>
      <c r="AL10" s="471"/>
      <c r="AM10" s="471"/>
      <c r="AO10" s="471"/>
      <c r="AP10" s="471"/>
      <c r="AQ10" s="471"/>
      <c r="AS10" s="471"/>
      <c r="AT10" s="471"/>
      <c r="AU10" s="471"/>
      <c r="AW10" s="471"/>
      <c r="AX10" s="471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>
        <v>23</v>
      </c>
      <c r="K11" s="46"/>
      <c r="L11" s="38" t="s">
        <v>387</v>
      </c>
      <c r="M11" s="298" t="s">
        <v>596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85</v>
      </c>
      <c r="E13" s="69" t="s">
        <v>22</v>
      </c>
      <c r="F13" s="69" t="s">
        <v>566</v>
      </c>
      <c r="G13" s="69">
        <f>_xlfn.XLOOKUP(F13,'Colors and Collections (2)'!E4:E191,'Colors and Collections (2)'!D4:D191)</f>
        <v>110</v>
      </c>
      <c r="H13" s="69"/>
      <c r="I13" s="68" t="s">
        <v>584</v>
      </c>
      <c r="J13" s="68" t="s">
        <v>586</v>
      </c>
      <c r="K13" s="81">
        <v>75</v>
      </c>
      <c r="L13" s="81">
        <v>54</v>
      </c>
      <c r="M13" s="251" t="s">
        <v>91</v>
      </c>
      <c r="N13" s="70"/>
      <c r="O13" s="281" t="s">
        <v>122</v>
      </c>
      <c r="P13" s="251" t="s">
        <v>206</v>
      </c>
      <c r="Q13" s="251" t="s">
        <v>302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523.25</v>
      </c>
      <c r="V13" s="312">
        <f t="shared" ref="V13:V52" si="0">IF(U13="","",U13*C13)</f>
        <v>523.25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523.25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ZEBRA</v>
      </c>
      <c r="AE13" s="268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11.25</v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>512</v>
      </c>
      <c r="AT13" s="116" t="str">
        <f>IF(OR(N13="",N13="NO"),"",IF(AD13="ZEBRA",VLOOKUP(N13,GENERAL!$E$6:$F$12,2,FALSE),""))</f>
        <v/>
      </c>
      <c r="AU13" s="116">
        <f>IF(M13="METAL CHAIN",AM13,"")</f>
        <v>11.25</v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85</v>
      </c>
      <c r="E14" s="69" t="s">
        <v>22</v>
      </c>
      <c r="F14" s="69" t="s">
        <v>566</v>
      </c>
      <c r="G14" s="69">
        <f>_xlfn.XLOOKUP(F14,'Colors and Collections (2)'!E5:E192,'Colors and Collections (2)'!D5:D192)</f>
        <v>110</v>
      </c>
      <c r="H14" s="69"/>
      <c r="I14" s="68" t="s">
        <v>584</v>
      </c>
      <c r="J14" s="68" t="s">
        <v>586</v>
      </c>
      <c r="K14" s="81">
        <v>75</v>
      </c>
      <c r="L14" s="81">
        <v>54</v>
      </c>
      <c r="M14" s="251" t="s">
        <v>91</v>
      </c>
      <c r="N14" s="70"/>
      <c r="O14" s="281" t="s">
        <v>122</v>
      </c>
      <c r="P14" s="251" t="s">
        <v>206</v>
      </c>
      <c r="Q14" s="251" t="s">
        <v>302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523.25</v>
      </c>
      <c r="V14" s="312">
        <f t="shared" si="0"/>
        <v>523.25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523.25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ZEBRA</v>
      </c>
      <c r="AE14" s="268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11.25</v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>512</v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11.25</v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85</v>
      </c>
      <c r="E15" s="69" t="s">
        <v>22</v>
      </c>
      <c r="F15" s="69" t="s">
        <v>566</v>
      </c>
      <c r="G15" s="69">
        <f>_xlfn.XLOOKUP(F15,'Colors and Collections (2)'!E6:E193,'Colors and Collections (2)'!D6:D193)</f>
        <v>110</v>
      </c>
      <c r="H15" s="69"/>
      <c r="I15" s="68" t="s">
        <v>584</v>
      </c>
      <c r="J15" s="68" t="s">
        <v>586</v>
      </c>
      <c r="K15" s="81">
        <v>75</v>
      </c>
      <c r="L15" s="81">
        <v>54</v>
      </c>
      <c r="M15" s="251" t="s">
        <v>91</v>
      </c>
      <c r="N15" s="70"/>
      <c r="O15" s="281" t="s">
        <v>123</v>
      </c>
      <c r="P15" s="251" t="s">
        <v>206</v>
      </c>
      <c r="Q15" s="251" t="s">
        <v>302</v>
      </c>
      <c r="R15" s="70" t="s">
        <v>45</v>
      </c>
      <c r="S15" s="70" t="s">
        <v>45</v>
      </c>
      <c r="T15" s="70" t="s">
        <v>45</v>
      </c>
      <c r="U15" s="71">
        <f t="shared" si="4"/>
        <v>523.25</v>
      </c>
      <c r="V15" s="312">
        <f t="shared" si="0"/>
        <v>523.25</v>
      </c>
      <c r="W15" s="175" t="str">
        <f t="shared" si="5"/>
        <v/>
      </c>
      <c r="X15" s="116"/>
      <c r="Y15" s="120">
        <f t="shared" si="1"/>
        <v>523.25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 t="str">
        <f t="shared" si="3"/>
        <v>ZEBRA</v>
      </c>
      <c r="AE15" s="268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11.25</v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>512</v>
      </c>
      <c r="AT15" s="116" t="str">
        <f>IF(OR(N15="",N15="NO"),"",IF(AD15="ZEBRA",VLOOKUP(N15,GENERAL!$E$6:$F$12,2,FALSE),""))</f>
        <v/>
      </c>
      <c r="AU15" s="116">
        <f t="shared" si="7"/>
        <v>11.25</v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21</v>
      </c>
      <c r="F16" s="69" t="s">
        <v>433</v>
      </c>
      <c r="G16" s="69">
        <f>_xlfn.XLOOKUP(F16,'Colors and Collections (2)'!E7:E194,'Colors and Collections (2)'!D7:D194)</f>
        <v>98</v>
      </c>
      <c r="H16" s="69"/>
      <c r="I16" s="68" t="s">
        <v>585</v>
      </c>
      <c r="J16" s="68" t="s">
        <v>587</v>
      </c>
      <c r="K16" s="81">
        <v>78</v>
      </c>
      <c r="L16" s="81">
        <v>54</v>
      </c>
      <c r="M16" s="251" t="s">
        <v>91</v>
      </c>
      <c r="N16" s="70"/>
      <c r="O16" s="281" t="s">
        <v>122</v>
      </c>
      <c r="P16" s="251" t="s">
        <v>206</v>
      </c>
      <c r="Q16" s="251" t="s">
        <v>305</v>
      </c>
      <c r="R16" s="70" t="s">
        <v>45</v>
      </c>
      <c r="S16" s="70" t="s">
        <v>46</v>
      </c>
      <c r="T16" s="70" t="s">
        <v>45</v>
      </c>
      <c r="U16" s="71">
        <f t="shared" si="4"/>
        <v>283.25</v>
      </c>
      <c r="V16" s="312">
        <f t="shared" si="0"/>
        <v>283.25</v>
      </c>
      <c r="W16" s="175" t="str">
        <f t="shared" si="5"/>
        <v/>
      </c>
      <c r="X16" s="116"/>
      <c r="Y16" s="120">
        <f t="shared" si="1"/>
        <v>283.25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199</v>
      </c>
      <c r="AG16" s="116" t="str">
        <f t="shared" si="8"/>
        <v/>
      </c>
      <c r="AH16" s="116" t="str">
        <f>IF(R16="YES",'ROLLER G1'!AR10,"")</f>
        <v/>
      </c>
      <c r="AI16" s="116">
        <f>IF(S16="YES",'ROLLER G1'!AS10,"")</f>
        <v>73</v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11.25</v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11.25</v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21</v>
      </c>
      <c r="F17" s="69" t="s">
        <v>433</v>
      </c>
      <c r="G17" s="69">
        <f>_xlfn.XLOOKUP(F17,'Colors and Collections (2)'!E8:E195,'Colors and Collections (2)'!D8:D195)</f>
        <v>98</v>
      </c>
      <c r="H17" s="69"/>
      <c r="I17" s="68" t="s">
        <v>585</v>
      </c>
      <c r="J17" s="68" t="s">
        <v>588</v>
      </c>
      <c r="K17" s="81">
        <v>78</v>
      </c>
      <c r="L17" s="81">
        <v>54</v>
      </c>
      <c r="M17" s="251" t="s">
        <v>91</v>
      </c>
      <c r="N17" s="70"/>
      <c r="O17" s="281" t="s">
        <v>123</v>
      </c>
      <c r="P17" s="251" t="s">
        <v>206</v>
      </c>
      <c r="Q17" s="251" t="s">
        <v>305</v>
      </c>
      <c r="R17" s="70" t="s">
        <v>45</v>
      </c>
      <c r="S17" s="70" t="s">
        <v>46</v>
      </c>
      <c r="T17" s="70" t="s">
        <v>45</v>
      </c>
      <c r="U17" s="71">
        <f t="shared" si="4"/>
        <v>283.25</v>
      </c>
      <c r="V17" s="312">
        <f t="shared" si="0"/>
        <v>283.25</v>
      </c>
      <c r="W17" s="175" t="str">
        <f t="shared" si="5"/>
        <v/>
      </c>
      <c r="X17" s="116"/>
      <c r="Y17" s="120">
        <f t="shared" si="1"/>
        <v>283.25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199</v>
      </c>
      <c r="AG17" s="116" t="str">
        <f t="shared" si="8"/>
        <v/>
      </c>
      <c r="AH17" s="116" t="str">
        <f>IF(R17="YES",'ROLLER G1'!AR11,"")</f>
        <v/>
      </c>
      <c r="AI17" s="116">
        <f>IF(S17="YES",'ROLLER G1'!AS11,"")</f>
        <v>73</v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11.25</v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11.25</v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83</v>
      </c>
      <c r="E18" s="69" t="s">
        <v>21</v>
      </c>
      <c r="F18" s="69" t="s">
        <v>433</v>
      </c>
      <c r="G18" s="69">
        <f>_xlfn.XLOOKUP(F18,'Colors and Collections (2)'!E9:E196,'Colors and Collections (2)'!D9:D196)</f>
        <v>98</v>
      </c>
      <c r="H18" s="69"/>
      <c r="I18" s="68" t="s">
        <v>585</v>
      </c>
      <c r="J18" s="68" t="s">
        <v>589</v>
      </c>
      <c r="K18" s="81">
        <v>77</v>
      </c>
      <c r="L18" s="81">
        <v>54</v>
      </c>
      <c r="M18" s="251" t="s">
        <v>91</v>
      </c>
      <c r="N18" s="70"/>
      <c r="O18" s="281" t="s">
        <v>122</v>
      </c>
      <c r="P18" s="251" t="s">
        <v>206</v>
      </c>
      <c r="Q18" s="251" t="s">
        <v>305</v>
      </c>
      <c r="R18" s="70" t="s">
        <v>45</v>
      </c>
      <c r="S18" s="70" t="s">
        <v>46</v>
      </c>
      <c r="T18" s="70" t="s">
        <v>45</v>
      </c>
      <c r="U18" s="71">
        <f t="shared" si="4"/>
        <v>283.25</v>
      </c>
      <c r="V18" s="312">
        <f t="shared" si="0"/>
        <v>283.25</v>
      </c>
      <c r="W18" s="175" t="str">
        <f t="shared" si="5"/>
        <v/>
      </c>
      <c r="X18" s="116"/>
      <c r="Y18" s="120">
        <f t="shared" si="1"/>
        <v>283.25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 t="str">
        <f t="shared" si="3"/>
        <v>ROLLER</v>
      </c>
      <c r="AE18" s="268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199</v>
      </c>
      <c r="AG18" s="116" t="str">
        <f t="shared" si="8"/>
        <v/>
      </c>
      <c r="AH18" s="116" t="str">
        <f>IF(R18="YES",'ROLLER G1'!AR12,"")</f>
        <v/>
      </c>
      <c r="AI18" s="116">
        <f>IF(S18="YES",'ROLLER G1'!AS12,"")</f>
        <v>73</v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11.25</v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11.25</v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2419.5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725.85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1693.65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1693.65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7" t="s">
        <v>99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497"/>
      <c r="Q1" s="497"/>
      <c r="R1" s="497"/>
      <c r="S1" s="497"/>
    </row>
    <row r="2" spans="1:33">
      <c r="B2" s="497"/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  <c r="P2" s="497"/>
      <c r="Q2" s="497"/>
      <c r="R2" s="497"/>
      <c r="S2" s="497"/>
    </row>
    <row r="3" spans="1:33" ht="15.75" thickBot="1">
      <c r="B3" s="498"/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  <c r="P3" s="498"/>
      <c r="Q3" s="498"/>
      <c r="R3" s="498"/>
      <c r="S3" s="498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75</v>
      </c>
      <c r="Y5" s="7">
        <f>'PM-ORDER'!P5</f>
        <v>54</v>
      </c>
      <c r="Z5" s="7">
        <f>IF(X5&lt;&gt;"",MATCH(CEILING(X5,6),$C$4:$S$4,0),"")</f>
        <v>10</v>
      </c>
      <c r="AA5" s="7">
        <f>IF(X5&lt;&gt;"",MATCH(CEILING(Y5,6),$B$7:$B$26,0),"")</f>
        <v>6</v>
      </c>
      <c r="AB5" s="7"/>
      <c r="AC5" s="7" t="str">
        <f>IF('PM-ORDER'!G5="ROLLER",INDEX($C$7:$S$26,AA5,Z5),"")</f>
        <v/>
      </c>
      <c r="AF5" s="7" t="str">
        <f>IF('PM-ORDER'!G5="ZEBRA",INDEX($C$35:$S$54,AA5,Z5),"")</f>
        <v>ZEBRA-ROLLER</v>
      </c>
      <c r="AG5" s="1" t="str">
        <f>CONCATENATE(AC5,AF5)</f>
        <v>ZEBRA-ROLLER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75</v>
      </c>
      <c r="Y6" s="7">
        <f>'PM-ORDER'!P6</f>
        <v>54</v>
      </c>
      <c r="Z6" s="7">
        <f t="shared" ref="Z6:Z44" si="0">IF(X6&lt;&gt;"",MATCH(CEILING(X6,6),$C$4:$S$4,0),"")</f>
        <v>10</v>
      </c>
      <c r="AA6" s="7">
        <f t="shared" ref="AA6:AA44" si="1">IF(X6&lt;&gt;"",MATCH(CEILING(Y6,6),$B$7:$B$26,0),"")</f>
        <v>6</v>
      </c>
      <c r="AC6" s="7" t="str">
        <f>IF('PM-ORDER'!G6="ROLLER",INDEX($C$7:$S$26,AA6,Z6),"")</f>
        <v/>
      </c>
      <c r="AF6" s="7" t="str">
        <f>IF('PM-ORDER'!G6="ZEBRA",INDEX($C$35:$S$54,AA6,Z6),"")</f>
        <v>ZEBRA-ROLLER</v>
      </c>
      <c r="AG6" s="1" t="str">
        <f t="shared" ref="AG6:AG44" si="2">CONCATENATE(AC6,AF6)</f>
        <v>ZEBRA-ROLLER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75</v>
      </c>
      <c r="Y7" s="7">
        <f>'PM-ORDER'!P7</f>
        <v>54</v>
      </c>
      <c r="Z7" s="7">
        <f t="shared" si="0"/>
        <v>10</v>
      </c>
      <c r="AA7" s="7">
        <f t="shared" si="1"/>
        <v>6</v>
      </c>
      <c r="AC7" s="7" t="str">
        <f>IF('PM-ORDER'!G7="ROLLER",INDEX($C$7:$S$26,AA7,Z7),"")</f>
        <v/>
      </c>
      <c r="AF7" s="7" t="str">
        <f>IF('PM-ORDER'!G7="ZEBRA",INDEX($C$35:$S$54,AA7,Z7),"")</f>
        <v>ZEBRA-ROLLER</v>
      </c>
      <c r="AG7" s="1" t="str">
        <f t="shared" si="2"/>
        <v>ZEBRA-ROLLER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78</v>
      </c>
      <c r="Y8" s="7">
        <f>'PM-ORDER'!P8</f>
        <v>54</v>
      </c>
      <c r="Z8" s="7">
        <f t="shared" si="0"/>
        <v>10</v>
      </c>
      <c r="AA8" s="7">
        <f t="shared" si="1"/>
        <v>6</v>
      </c>
      <c r="AC8" s="7" t="str">
        <f>IF('PM-ORDER'!G8="ROLLER",INDEX($C$7:$S$26,AA8,Z8),"")</f>
        <v>RL-MAN-BSMD</v>
      </c>
      <c r="AF8" s="7" t="str">
        <f>IF('PM-ORDER'!G8="ZEBRA",INDEX($C$35:$S$54,AA8,Z8),"")</f>
        <v/>
      </c>
      <c r="AG8" s="1" t="str">
        <f t="shared" si="2"/>
        <v>RL-MAN-BSMD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78</v>
      </c>
      <c r="Y9" s="7">
        <f>'PM-ORDER'!P9</f>
        <v>54</v>
      </c>
      <c r="Z9" s="7">
        <f t="shared" si="0"/>
        <v>10</v>
      </c>
      <c r="AA9" s="7">
        <f t="shared" si="1"/>
        <v>6</v>
      </c>
      <c r="AC9" s="7" t="str">
        <f>IF('PM-ORDER'!G9="ROLLER",INDEX($C$7:$S$26,AA9,Z9),"")</f>
        <v>RL-MAN-BSMD</v>
      </c>
      <c r="AF9" s="7" t="str">
        <f>IF('PM-ORDER'!G9="ZEBRA",INDEX($C$35:$S$54,AA9,Z9),"")</f>
        <v/>
      </c>
      <c r="AG9" s="1" t="str">
        <f t="shared" si="2"/>
        <v>RL-MAN-BSMD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77</v>
      </c>
      <c r="Y10" s="7">
        <f>'PM-ORDER'!P10</f>
        <v>54</v>
      </c>
      <c r="Z10" s="7">
        <f t="shared" si="0"/>
        <v>10</v>
      </c>
      <c r="AA10" s="7">
        <f t="shared" si="1"/>
        <v>6</v>
      </c>
      <c r="AC10" s="7" t="str">
        <f>IF('PM-ORDER'!G10="ROLLER",INDEX($C$7:$S$26,AA10,Z10),"")</f>
        <v>RL-MAN-BSMD</v>
      </c>
      <c r="AF10" s="7" t="str">
        <f>IF('PM-ORDER'!G10="ZEBRA",INDEX($C$35:$S$54,AA10,Z10),"")</f>
        <v/>
      </c>
      <c r="AG10" s="1" t="str">
        <f t="shared" si="2"/>
        <v>RL-MAN-BSMD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7" t="s">
        <v>88</v>
      </c>
      <c r="C29" s="497"/>
      <c r="D29" s="497"/>
      <c r="E29" s="497"/>
      <c r="F29" s="497"/>
      <c r="G29" s="497"/>
      <c r="H29" s="497"/>
      <c r="I29" s="497"/>
      <c r="J29" s="497"/>
      <c r="K29" s="497"/>
      <c r="L29" s="497"/>
      <c r="M29" s="497"/>
      <c r="N29" s="497"/>
      <c r="O29" s="497"/>
      <c r="P29" s="497"/>
      <c r="Q29" s="497"/>
      <c r="R29" s="497"/>
      <c r="S29" s="497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7"/>
      <c r="C30" s="497"/>
      <c r="D30" s="497"/>
      <c r="E30" s="497"/>
      <c r="F30" s="497"/>
      <c r="G30" s="497"/>
      <c r="H30" s="497"/>
      <c r="I30" s="497"/>
      <c r="J30" s="497"/>
      <c r="K30" s="497"/>
      <c r="L30" s="497"/>
      <c r="M30" s="497"/>
      <c r="N30" s="497"/>
      <c r="O30" s="497"/>
      <c r="P30" s="497"/>
      <c r="Q30" s="497"/>
      <c r="R30" s="497"/>
      <c r="S30" s="497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8"/>
      <c r="C31" s="498"/>
      <c r="D31" s="498"/>
      <c r="E31" s="498"/>
      <c r="F31" s="498"/>
      <c r="G31" s="498"/>
      <c r="H31" s="498"/>
      <c r="I31" s="498"/>
      <c r="J31" s="498"/>
      <c r="K31" s="498"/>
      <c r="L31" s="498"/>
      <c r="M31" s="498"/>
      <c r="N31" s="498"/>
      <c r="O31" s="498"/>
      <c r="P31" s="498"/>
      <c r="Q31" s="498"/>
      <c r="R31" s="498"/>
      <c r="S31" s="498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70"/>
      <c r="T11" s="470"/>
      <c r="U11" s="470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70"/>
      <c r="T14" s="470"/>
      <c r="U14" s="470"/>
      <c r="W14" s="470"/>
      <c r="X14" s="470"/>
      <c r="Y14" s="470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70"/>
      <c r="T20" s="470"/>
      <c r="U20" s="470"/>
      <c r="W20" s="470"/>
      <c r="X20" s="470"/>
      <c r="Y20" s="470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8" t="s">
        <v>85</v>
      </c>
      <c r="I82" s="478"/>
      <c r="J82" s="478" t="s">
        <v>379</v>
      </c>
      <c r="K82" s="478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8" t="s">
        <v>83</v>
      </c>
      <c r="F84" s="478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6" t="s">
        <v>267</v>
      </c>
      <c r="B86" s="477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tabSelected="1" topLeftCell="C1" zoomScale="85" zoomScaleNormal="85" workbookViewId="0">
      <selection activeCell="C9" sqref="C9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9" t="s">
        <v>207</v>
      </c>
      <c r="V1" s="479"/>
      <c r="AG1" s="481" t="s">
        <v>211</v>
      </c>
      <c r="AH1" s="482"/>
      <c r="AI1" s="482"/>
      <c r="AJ1" s="482"/>
      <c r="AK1" s="482"/>
      <c r="AL1" s="482"/>
      <c r="AM1" s="482"/>
      <c r="AN1" s="482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46044</v>
      </c>
      <c r="H2" s="219"/>
      <c r="U2" s="479"/>
      <c r="V2" s="479"/>
      <c r="AG2" s="483"/>
      <c r="AH2" s="484"/>
      <c r="AI2" s="484"/>
      <c r="AJ2" s="484"/>
      <c r="AK2" s="484"/>
      <c r="AL2" s="484"/>
      <c r="AM2" s="484"/>
      <c r="AN2" s="484"/>
      <c r="AO2" s="291"/>
    </row>
    <row r="3" spans="2:41" ht="15" customHeight="1">
      <c r="C3" s="219" t="s">
        <v>153</v>
      </c>
      <c r="G3" s="222"/>
      <c r="I3" s="34">
        <v>0</v>
      </c>
      <c r="U3" s="480"/>
      <c r="V3" s="480"/>
      <c r="AG3" s="485"/>
      <c r="AH3" s="486"/>
      <c r="AI3" s="486"/>
      <c r="AJ3" s="486"/>
      <c r="AK3" s="486"/>
      <c r="AL3" s="486"/>
      <c r="AM3" s="486"/>
      <c r="AN3" s="486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260121 C </v>
      </c>
      <c r="D5" s="225">
        <f>IF('CALCULATOR SHEET'!D13&lt;&gt;"",'CALCULATOR SHEET'!$V$9,"")</f>
        <v>46043</v>
      </c>
      <c r="E5" s="226" t="str">
        <f>IF(D5&lt;&gt;"","BAJA SHADES","")</f>
        <v>BAJA SHADES</v>
      </c>
      <c r="F5" s="227" t="str">
        <f>IF(C5&lt;&gt;"",'CALCULATOR SHEET'!$D$9,"")</f>
        <v xml:space="preserve">MARY LYANS RESIDENCE </v>
      </c>
      <c r="G5" s="227" t="str">
        <f>IF('CALCULATOR SHEET'!D13&lt;&gt;"",'CALCULATOR SHEET'!D13,"")</f>
        <v>ZEBRA</v>
      </c>
      <c r="H5" s="227" t="str">
        <f>IF(Q5="CCL",BOMS!AG5,"")</f>
        <v>ZEBRA-ROLLER</v>
      </c>
      <c r="I5" s="226">
        <v>1</v>
      </c>
      <c r="J5" s="227" t="str">
        <f>IF(C5&lt;&gt;"",'CALCULATOR SHEET'!M13,"")</f>
        <v>METAL CHAIN</v>
      </c>
      <c r="K5" s="227" t="str">
        <f>IF(J5=GENERAL!$H$6,GENERAL!$H$6,IF(J5=GENERAL!$H$7,GENERAL!$H$7,IF('PM-ORDER'!J5=GENERAL!$H$8,GENERAL!$H$8,"")))</f>
        <v>METAL CHAIN</v>
      </c>
      <c r="L5" s="227" t="str">
        <f>IF(C5&lt;&gt;"",'CALCULATOR SHEET'!I13,"")</f>
        <v xml:space="preserve">LINO DIM OUT IVORY </v>
      </c>
      <c r="M5" s="227" t="str">
        <f>IF(C5&lt;&gt;"",'CALCULATOR SHEET'!Q13,"")</f>
        <v>PERFIL BLANCO</v>
      </c>
      <c r="N5" s="227" t="str">
        <f>IF(C5&lt;&gt;"",'CALCULATOR SHEET'!J13,"")</f>
        <v xml:space="preserve">SALA VENTANA A </v>
      </c>
      <c r="O5" s="229">
        <f>IF(D5&lt;&gt;"",'CALCULATOR SHEET'!K13,"")</f>
        <v>75</v>
      </c>
      <c r="P5" s="229">
        <f>IF(E5&lt;&gt;"",'CALCULATOR SHEET'!L13,"")</f>
        <v>54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OUTSIDE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CAMPO TURISTICO LA MISION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260121 C </v>
      </c>
      <c r="D6" s="225">
        <f>IF('CALCULATOR SHEET'!D14&lt;&gt;"",'CALCULATOR SHEET'!$V$9,"")</f>
        <v>46043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MARY LYANS RESIDENCE </v>
      </c>
      <c r="G6" s="227" t="str">
        <f>IF('CALCULATOR SHEET'!D14&lt;&gt;"",'CALCULATOR SHEET'!D14,"")</f>
        <v>ZEBRA</v>
      </c>
      <c r="H6" s="227" t="str">
        <f>IF(Q6="CCL",BOMS!AG6,"")</f>
        <v>ZEBRA-ROLLER</v>
      </c>
      <c r="I6" s="226">
        <v>1</v>
      </c>
      <c r="J6" s="227" t="str">
        <f>IF(C6&lt;&gt;"",'CALCULATOR SHEET'!M14,"")</f>
        <v>METAL CHAIN</v>
      </c>
      <c r="K6" s="227" t="str">
        <f>IF(J6=GENERAL!$H$6,GENERAL!$H$6,IF(J6=GENERAL!$H$7,GENERAL!$H$7,IF('PM-ORDER'!J6=GENERAL!$H$8,GENERAL!$H$8,"")))</f>
        <v>METAL CHAIN</v>
      </c>
      <c r="L6" s="227" t="str">
        <f>IF(C6&lt;&gt;"",'CALCULATOR SHEET'!I14,"")</f>
        <v xml:space="preserve">LINO DIM OUT IVORY </v>
      </c>
      <c r="M6" s="227" t="str">
        <f>IF(C6&lt;&gt;"",'CALCULATOR SHEET'!Q14,"")</f>
        <v>PERFIL BLANCO</v>
      </c>
      <c r="N6" s="227" t="str">
        <f>IF(C6&lt;&gt;"",'CALCULATOR SHEET'!J14,"")</f>
        <v xml:space="preserve">SALA VENTANA A </v>
      </c>
      <c r="O6" s="229">
        <f>IF(D6&lt;&gt;"",'CALCULATOR SHEET'!K14,"")</f>
        <v>75</v>
      </c>
      <c r="P6" s="229">
        <f>IF(E6&lt;&gt;"",'CALCULATOR SHEET'!L14,"")</f>
        <v>54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L</v>
      </c>
      <c r="S6" s="226" t="str">
        <f>IF(D6&lt;&gt;"",'CALCULATOR SHEET'!P14,"")</f>
        <v>OUTSIDE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CAMPO TURISTICO LA MISION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260121 C </v>
      </c>
      <c r="D7" s="225">
        <f>IF('CALCULATOR SHEET'!D15&lt;&gt;"",'CALCULATOR SHEET'!$V$9,"")</f>
        <v>46043</v>
      </c>
      <c r="E7" s="226" t="str">
        <f t="shared" si="0"/>
        <v>BAJA SHADES</v>
      </c>
      <c r="F7" s="227" t="str">
        <f>IF(C7&lt;&gt;"",'CALCULATOR SHEET'!$D$9,"")</f>
        <v xml:space="preserve">MARY LYANS RESIDENCE </v>
      </c>
      <c r="G7" s="227" t="str">
        <f>IF('CALCULATOR SHEET'!D15&lt;&gt;"",'CALCULATOR SHEET'!D15,"")</f>
        <v>ZEBRA</v>
      </c>
      <c r="H7" s="227" t="str">
        <f>IF(Q7="CCL",BOMS!AG7,"")</f>
        <v>ZEBRA-ROLLER</v>
      </c>
      <c r="I7" s="226">
        <v>1</v>
      </c>
      <c r="J7" s="227" t="str">
        <f>IF(C7&lt;&gt;"",'CALCULATOR SHEET'!M15,"")</f>
        <v>METAL CHAIN</v>
      </c>
      <c r="K7" s="227" t="str">
        <f>IF(J7=GENERAL!$H$6,GENERAL!$H$6,IF(J7=GENERAL!$H$7,GENERAL!$H$7,IF('PM-ORDER'!J7=GENERAL!$H$8,GENERAL!$H$8,"")))</f>
        <v>METAL CHAIN</v>
      </c>
      <c r="L7" s="227" t="str">
        <f>IF(C7&lt;&gt;"",'CALCULATOR SHEET'!I15,"")</f>
        <v xml:space="preserve">LINO DIM OUT IVORY </v>
      </c>
      <c r="M7" s="227" t="str">
        <f>IF(C7&lt;&gt;"",'CALCULATOR SHEET'!Q15,"")</f>
        <v>PERFIL BLANCO</v>
      </c>
      <c r="N7" s="227" t="str">
        <f>IF(C7&lt;&gt;"",'CALCULATOR SHEET'!J15,"")</f>
        <v xml:space="preserve">SALA VENTANA A </v>
      </c>
      <c r="O7" s="229">
        <f>IF(D7&lt;&gt;"",'CALCULATOR SHEET'!K15,"")</f>
        <v>75</v>
      </c>
      <c r="P7" s="229">
        <f>IF(E7&lt;&gt;"",'CALCULATOR SHEET'!L15,"")</f>
        <v>54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R</v>
      </c>
      <c r="S7" s="226" t="str">
        <f>IF(D7&lt;&gt;"",'CALCULATOR SHEET'!P15,"")</f>
        <v>OUTSIDE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CAMPO TURISTICO LA MISION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260121 C </v>
      </c>
      <c r="D8" s="225">
        <f>IF('CALCULATOR SHEET'!D16&lt;&gt;"",'CALCULATOR SHEET'!$V$9,"")</f>
        <v>46043</v>
      </c>
      <c r="E8" s="226" t="str">
        <f t="shared" si="0"/>
        <v>BAJA SHADES</v>
      </c>
      <c r="F8" s="227" t="str">
        <f>IF(C8&lt;&gt;"",'CALCULATOR SHEET'!$D$9,"")</f>
        <v xml:space="preserve">MARY LYANS RESIDENCE </v>
      </c>
      <c r="G8" s="227" t="str">
        <f>IF('CALCULATOR SHEET'!D16&lt;&gt;"",'CALCULATOR SHEET'!D16,"")</f>
        <v>ROLLER</v>
      </c>
      <c r="H8" s="227" t="str">
        <f>IF(Q8="CCL",BOMS!AG8,"")</f>
        <v>RL-MAN-BSMD</v>
      </c>
      <c r="I8" s="226">
        <v>1</v>
      </c>
      <c r="J8" s="227" t="str">
        <f>IF(C8&lt;&gt;"",'CALCULATOR SHEET'!M16,"")</f>
        <v>METAL CHAIN</v>
      </c>
      <c r="K8" s="227" t="str">
        <f>IF(J8=GENERAL!$H$6,GENERAL!$H$6,IF(J8=GENERAL!$H$7,GENERAL!$H$7,IF('PM-ORDER'!J8=GENERAL!$H$8,GENERAL!$H$8,"")))</f>
        <v>METAL CHAIN</v>
      </c>
      <c r="L8" s="227" t="str">
        <f>IF(C8&lt;&gt;"",'CALCULATOR SHEET'!I16,"")</f>
        <v xml:space="preserve">BO BUDELLI IVORY </v>
      </c>
      <c r="M8" s="227" t="str">
        <f>IF(C8&lt;&gt;"",'CALCULATOR SHEET'!Q16,"")</f>
        <v>STANDARD ROLL</v>
      </c>
      <c r="N8" s="227" t="str">
        <f>IF(C8&lt;&gt;"",'CALCULATOR SHEET'!J16,"")</f>
        <v xml:space="preserve">OFFICE VENTANA A </v>
      </c>
      <c r="O8" s="229">
        <f>IF(D8&lt;&gt;"",'CALCULATOR SHEET'!K16,"")</f>
        <v>78</v>
      </c>
      <c r="P8" s="229">
        <f>IF(E8&lt;&gt;"",'CALCULATOR SHEET'!L16,"")</f>
        <v>54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L</v>
      </c>
      <c r="S8" s="226" t="str">
        <f>IF(D8&lt;&gt;"",'CALCULATOR SHEET'!P16,"")</f>
        <v>OUTSIDE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CAMPO TURISTICO LA MISION </v>
      </c>
      <c r="AB8" s="228"/>
      <c r="AC8" s="228"/>
      <c r="AD8" s="230"/>
      <c r="AE8" s="231"/>
      <c r="AF8" s="158"/>
      <c r="AG8" s="249" t="s">
        <v>598</v>
      </c>
      <c r="AH8" s="249"/>
      <c r="AI8" s="248">
        <v>80</v>
      </c>
      <c r="AJ8" s="248">
        <v>5</v>
      </c>
      <c r="AK8" s="248">
        <v>5</v>
      </c>
      <c r="AL8" s="248">
        <v>5</v>
      </c>
      <c r="AM8" s="248">
        <v>5</v>
      </c>
      <c r="AN8" s="249" t="s">
        <v>600</v>
      </c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260121 C </v>
      </c>
      <c r="D9" s="225">
        <f>IF('CALCULATOR SHEET'!D17&lt;&gt;"",'CALCULATOR SHEET'!$V$9,"")</f>
        <v>46043</v>
      </c>
      <c r="E9" s="226" t="str">
        <f t="shared" si="0"/>
        <v>BAJA SHADES</v>
      </c>
      <c r="F9" s="227" t="str">
        <f>IF(C9&lt;&gt;"",'CALCULATOR SHEET'!$D$9,"")</f>
        <v xml:space="preserve">MARY LYANS RESIDENCE </v>
      </c>
      <c r="G9" s="227" t="str">
        <f>IF('CALCULATOR SHEET'!D17&lt;&gt;"",'CALCULATOR SHEET'!D17,"")</f>
        <v>ROLLER</v>
      </c>
      <c r="H9" s="227" t="str">
        <f>IF(Q9="CCL",BOMS!AG9,"")</f>
        <v>RL-MAN-BSMD</v>
      </c>
      <c r="I9" s="226">
        <v>1</v>
      </c>
      <c r="J9" s="227" t="str">
        <f>IF(C9&lt;&gt;"",'CALCULATOR SHEET'!M17,"")</f>
        <v>METAL CHAIN</v>
      </c>
      <c r="K9" s="227" t="str">
        <f>IF(J9=GENERAL!$H$6,GENERAL!$H$6,IF(J9=GENERAL!$H$7,GENERAL!$H$7,IF('PM-ORDER'!J9=GENERAL!$H$8,GENERAL!$H$8,"")))</f>
        <v>METAL CHAIN</v>
      </c>
      <c r="L9" s="227" t="str">
        <f>IF(C9&lt;&gt;"",'CALCULATOR SHEET'!I17,"")</f>
        <v xml:space="preserve">BO BUDELLI IVORY </v>
      </c>
      <c r="M9" s="227" t="str">
        <f>IF(C9&lt;&gt;"",'CALCULATOR SHEET'!Q17,"")</f>
        <v>STANDARD ROLL</v>
      </c>
      <c r="N9" s="227" t="str">
        <f>IF(C9&lt;&gt;"",'CALCULATOR SHEET'!J17,"")</f>
        <v xml:space="preserve">OFFICE VENTANA B </v>
      </c>
      <c r="O9" s="229">
        <f>IF(D9&lt;&gt;"",'CALCULATOR SHEET'!K17,"")</f>
        <v>78</v>
      </c>
      <c r="P9" s="229">
        <f>IF(E9&lt;&gt;"",'CALCULATOR SHEET'!L17,"")</f>
        <v>54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R</v>
      </c>
      <c r="S9" s="226" t="str">
        <f>IF(D9&lt;&gt;"",'CALCULATOR SHEET'!P17,"")</f>
        <v>OUTSIDE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CAMPO TURISTICO LA MISION </v>
      </c>
      <c r="AB9" s="228"/>
      <c r="AC9" s="228"/>
      <c r="AD9" s="230"/>
      <c r="AE9" s="231"/>
      <c r="AF9" s="158"/>
      <c r="AG9" s="249" t="s">
        <v>588</v>
      </c>
      <c r="AH9" s="249"/>
      <c r="AI9" s="248">
        <v>80</v>
      </c>
      <c r="AJ9" s="248">
        <v>5</v>
      </c>
      <c r="AK9" s="248">
        <v>5</v>
      </c>
      <c r="AL9" s="248">
        <v>5</v>
      </c>
      <c r="AM9" s="248">
        <v>5</v>
      </c>
      <c r="AN9" s="249" t="s">
        <v>600</v>
      </c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 xml:space="preserve">BS 260121 C </v>
      </c>
      <c r="D10" s="225">
        <f>IF('CALCULATOR SHEET'!D18&lt;&gt;"",'CALCULATOR SHEET'!$V$9,"")</f>
        <v>46043</v>
      </c>
      <c r="E10" s="226" t="str">
        <f t="shared" si="0"/>
        <v>BAJA SHADES</v>
      </c>
      <c r="F10" s="227" t="str">
        <f>IF(C10&lt;&gt;"",'CALCULATOR SHEET'!$D$9,"")</f>
        <v xml:space="preserve">MARY LYANS RESIDENCE </v>
      </c>
      <c r="G10" s="227" t="str">
        <f>IF('CALCULATOR SHEET'!D18&lt;&gt;"",'CALCULATOR SHEET'!D18,"")</f>
        <v>ROLLER</v>
      </c>
      <c r="H10" s="227" t="str">
        <f>IF(Q10="CCL",BOMS!AG10,"")</f>
        <v>RL-MAN-BSMD</v>
      </c>
      <c r="I10" s="226">
        <v>1</v>
      </c>
      <c r="J10" s="227" t="str">
        <f>IF(C10&lt;&gt;"",'CALCULATOR SHEET'!M18,"")</f>
        <v>METAL CHAIN</v>
      </c>
      <c r="K10" s="227" t="str">
        <f>IF(J10=GENERAL!$H$6,GENERAL!$H$6,IF(J10=GENERAL!$H$7,GENERAL!$H$7,IF('PM-ORDER'!J10=GENERAL!$H$8,GENERAL!$H$8,"")))</f>
        <v>METAL CHAIN</v>
      </c>
      <c r="L10" s="227" t="str">
        <f>IF(C10&lt;&gt;"",'CALCULATOR SHEET'!I18,"")</f>
        <v xml:space="preserve">BO BUDELLI IVORY </v>
      </c>
      <c r="M10" s="227" t="str">
        <f>IF(C10&lt;&gt;"",'CALCULATOR SHEET'!Q18,"")</f>
        <v>STANDARD ROLL</v>
      </c>
      <c r="N10" s="227" t="str">
        <f>IF(C10&lt;&gt;"",'CALCULATOR SHEET'!J18,"")</f>
        <v>RECAMARA VENTANA</v>
      </c>
      <c r="O10" s="229">
        <f>IF(D10&lt;&gt;"",'CALCULATOR SHEET'!K18,"")</f>
        <v>77</v>
      </c>
      <c r="P10" s="229">
        <f>IF(E10&lt;&gt;"",'CALCULATOR SHEET'!L18,"")</f>
        <v>54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L</v>
      </c>
      <c r="S10" s="226" t="str">
        <f>IF(D10&lt;&gt;"",'CALCULATOR SHEET'!P18,"")</f>
        <v>OUTSIDE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CAMPO TURISTICO LA MISION </v>
      </c>
      <c r="AB10" s="228"/>
      <c r="AC10" s="228"/>
      <c r="AD10" s="230"/>
      <c r="AE10" s="231"/>
      <c r="AF10" s="158"/>
      <c r="AG10" s="249" t="s">
        <v>599</v>
      </c>
      <c r="AH10" s="249"/>
      <c r="AI10" s="248">
        <v>79</v>
      </c>
      <c r="AJ10" s="248">
        <v>5</v>
      </c>
      <c r="AK10" s="248">
        <v>5</v>
      </c>
      <c r="AL10" s="248">
        <v>5</v>
      </c>
      <c r="AM10" s="248">
        <v>5</v>
      </c>
      <c r="AN10" s="249" t="s">
        <v>600</v>
      </c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7" t="s">
        <v>99</v>
      </c>
      <c r="C2" s="487"/>
      <c r="E2" s="487" t="s">
        <v>84</v>
      </c>
      <c r="F2" s="487"/>
      <c r="H2" s="487" t="s">
        <v>88</v>
      </c>
      <c r="I2" s="487"/>
    </row>
    <row r="3" spans="2:9">
      <c r="B3" s="487"/>
      <c r="C3" s="487"/>
      <c r="E3" s="487"/>
      <c r="F3" s="487"/>
      <c r="H3" s="487"/>
      <c r="I3" s="487"/>
    </row>
    <row r="4" spans="2:9">
      <c r="B4" s="487"/>
      <c r="C4" s="487"/>
      <c r="E4" s="487"/>
      <c r="F4" s="487"/>
      <c r="H4" s="487"/>
      <c r="I4" s="487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8" t="s">
        <v>463</v>
      </c>
      <c r="C3" s="489"/>
      <c r="D3" s="490"/>
      <c r="F3" s="488" t="s">
        <v>507</v>
      </c>
      <c r="G3" s="489"/>
      <c r="H3" s="490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8" t="s">
        <v>464</v>
      </c>
      <c r="C7" s="489"/>
      <c r="D7" s="490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8" t="s">
        <v>529</v>
      </c>
      <c r="G28" s="489"/>
      <c r="H28" s="490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8" t="s">
        <v>495</v>
      </c>
      <c r="C52" s="489"/>
      <c r="D52" s="490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8" t="s">
        <v>554</v>
      </c>
      <c r="G70" s="489"/>
      <c r="H70" s="490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8" t="s">
        <v>501</v>
      </c>
      <c r="C80" s="489"/>
      <c r="D80" s="490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8" t="s">
        <v>564</v>
      </c>
      <c r="G94" s="489"/>
      <c r="H94" s="490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8" t="s">
        <v>506</v>
      </c>
      <c r="C106" s="489"/>
      <c r="D106" s="490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1">
        <v>44656</v>
      </c>
      <c r="Z1" s="491"/>
      <c r="AG1" s="8"/>
      <c r="AH1" s="8"/>
    </row>
    <row r="2" spans="2:75" s="1" customFormat="1" ht="18" customHeight="1">
      <c r="F2" s="20"/>
      <c r="M2" s="493" t="s">
        <v>411</v>
      </c>
      <c r="N2" s="493"/>
      <c r="O2" s="493"/>
      <c r="P2" s="493"/>
      <c r="Q2" s="493"/>
      <c r="R2" s="493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4"/>
      <c r="N3" s="494"/>
      <c r="O3" s="494"/>
      <c r="P3" s="494"/>
      <c r="Q3" s="494"/>
      <c r="R3" s="494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2" t="s">
        <v>60</v>
      </c>
      <c r="BE4" s="492"/>
      <c r="BF4" s="492"/>
      <c r="BG4" s="492"/>
      <c r="BH4" s="492"/>
      <c r="BI4" s="492"/>
      <c r="BJ4" s="492"/>
      <c r="BK4" s="492"/>
      <c r="BL4" s="492"/>
      <c r="BM4" s="492"/>
      <c r="BN4" s="492"/>
      <c r="BO4" s="492"/>
      <c r="BP4" s="492"/>
      <c r="BQ4" s="492"/>
      <c r="BR4" s="492"/>
      <c r="BS4" s="492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75</v>
      </c>
      <c r="AL7" s="36">
        <f>'CALCULATOR SHEET'!L13</f>
        <v>54</v>
      </c>
      <c r="AM7" s="36">
        <f>IF(AK7=0,"",MATCH(CEILING(AK7,6),$E$4:$AA$4,0))</f>
        <v>10</v>
      </c>
      <c r="AN7" s="36">
        <f>IF(AL7=0,"",MATCH(CEILING(AL7,6),$D$7:$D$28,0))</f>
        <v>6</v>
      </c>
      <c r="AO7" s="57">
        <f>IF(AM7="","",INDEX($E$7:$AA$28,AN7,AM7))</f>
        <v>131</v>
      </c>
      <c r="AP7" s="58"/>
      <c r="AQ7" s="58">
        <f>IF(AK7&gt;0,HLOOKUP(CEILING(AK7,6),$E$39:$Q$40,2,0),"")</f>
        <v>72</v>
      </c>
      <c r="AR7" s="57">
        <f>IF(AK7&gt;0,HLOOKUP(CEILING(AK7,6),$E$30:$AA$31,2,0),"")</f>
        <v>77</v>
      </c>
      <c r="AS7" s="57">
        <f>IF(AK7&gt;0,HLOOKUP(CEILING(AK7,6),$E$33:$AA$34,2,0),"")</f>
        <v>73</v>
      </c>
      <c r="AT7" s="59">
        <f>IF(AK7&gt;0,HLOOKUP(CEILING(AK7,6),$E$36:$AA$37,2,0))</f>
        <v>33</v>
      </c>
      <c r="AU7" s="57">
        <f>IF(AM7="","",INDEX($AZ$6:$BV$27,AN7,AM7))</f>
        <v>471</v>
      </c>
      <c r="AV7" s="37">
        <f>IF(AL7&gt;0,VLOOKUP(CEILING(AL7,6),$AB$7:$AC$28,2,0),"")</f>
        <v>56</v>
      </c>
      <c r="AW7" s="105">
        <f>IF(AL7&gt;0,VLOOKUP(CEILING(AL7,6),$AB$7:$AD$28,3,0),"")</f>
        <v>11.25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75</v>
      </c>
      <c r="AL8" s="36">
        <f>'CALCULATOR SHEET'!L14</f>
        <v>54</v>
      </c>
      <c r="AM8" s="36">
        <f t="shared" ref="AM8:AM71" si="0">IF(AK8=0,"",MATCH(CEILING(AK8,6),$E$4:$AA$4,0))</f>
        <v>10</v>
      </c>
      <c r="AN8" s="36">
        <f t="shared" ref="AN8:AN71" si="1">IF(AL8=0,"",MATCH(CEILING(AL8,6),$D$7:$D$28,0))</f>
        <v>6</v>
      </c>
      <c r="AO8" s="57">
        <f t="shared" ref="AO8:AO71" si="2">IF(AM8="","",INDEX($E$7:$AA$28,AN8,AM8))</f>
        <v>131</v>
      </c>
      <c r="AP8" s="58"/>
      <c r="AQ8" s="58">
        <f t="shared" ref="AQ8:AQ71" si="3">IF(AK8&gt;0,HLOOKUP(CEILING(AK8,6),$E$39:$Q$40,2,0),"")</f>
        <v>72</v>
      </c>
      <c r="AR8" s="57">
        <f t="shared" ref="AR8:AR71" si="4">IF(AK8&gt;0,HLOOKUP(CEILING(AK8,6),$E$30:$AA$31,2,0),"")</f>
        <v>77</v>
      </c>
      <c r="AS8" s="57">
        <f t="shared" ref="AS8:AS71" si="5">IF(AK8&gt;0,HLOOKUP(CEILING(AK8,6),$E$33:$AA$34,2,0),"")</f>
        <v>73</v>
      </c>
      <c r="AT8" s="59">
        <f t="shared" ref="AT8:AT71" si="6">IF(AK8&gt;0,HLOOKUP(CEILING(AK8,6),$E$36:$AA$37,2,0))</f>
        <v>33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56</v>
      </c>
      <c r="AW8" s="105">
        <f t="shared" ref="AW8:AW71" si="9">IF(AL8&gt;0,VLOOKUP(CEILING(AL8,6),$AB$7:$AD$28,3,0),"")</f>
        <v>11.25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75</v>
      </c>
      <c r="AL9" s="36">
        <f>'CALCULATOR SHEET'!L15</f>
        <v>54</v>
      </c>
      <c r="AM9" s="36">
        <f t="shared" si="0"/>
        <v>10</v>
      </c>
      <c r="AN9" s="36">
        <f t="shared" si="1"/>
        <v>6</v>
      </c>
      <c r="AO9" s="57">
        <f t="shared" si="2"/>
        <v>131</v>
      </c>
      <c r="AP9" s="58"/>
      <c r="AQ9" s="58">
        <f t="shared" si="3"/>
        <v>72</v>
      </c>
      <c r="AR9" s="57">
        <f t="shared" si="4"/>
        <v>77</v>
      </c>
      <c r="AS9" s="57">
        <f t="shared" si="5"/>
        <v>73</v>
      </c>
      <c r="AT9" s="59">
        <f t="shared" si="6"/>
        <v>33</v>
      </c>
      <c r="AU9" s="57">
        <f t="shared" si="7"/>
        <v>471</v>
      </c>
      <c r="AV9" s="37">
        <f t="shared" si="8"/>
        <v>56</v>
      </c>
      <c r="AW9" s="105">
        <f t="shared" si="9"/>
        <v>11.25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78</v>
      </c>
      <c r="AL10" s="36">
        <f>'CALCULATOR SHEET'!L16</f>
        <v>54</v>
      </c>
      <c r="AM10" s="36">
        <f t="shared" si="0"/>
        <v>10</v>
      </c>
      <c r="AN10" s="36">
        <f t="shared" si="1"/>
        <v>6</v>
      </c>
      <c r="AO10" s="57">
        <f t="shared" si="2"/>
        <v>131</v>
      </c>
      <c r="AP10" s="58"/>
      <c r="AQ10" s="58">
        <f t="shared" si="3"/>
        <v>72</v>
      </c>
      <c r="AR10" s="57">
        <f t="shared" si="4"/>
        <v>77</v>
      </c>
      <c r="AS10" s="57">
        <f t="shared" si="5"/>
        <v>73</v>
      </c>
      <c r="AT10" s="59">
        <f t="shared" si="6"/>
        <v>33</v>
      </c>
      <c r="AU10" s="57">
        <f t="shared" si="7"/>
        <v>471</v>
      </c>
      <c r="AV10" s="37">
        <f t="shared" si="8"/>
        <v>56</v>
      </c>
      <c r="AW10" s="105">
        <f t="shared" si="9"/>
        <v>11.25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78</v>
      </c>
      <c r="AL11" s="36">
        <f>'CALCULATOR SHEET'!L17</f>
        <v>54</v>
      </c>
      <c r="AM11" s="36">
        <f t="shared" si="0"/>
        <v>10</v>
      </c>
      <c r="AN11" s="36">
        <f t="shared" si="1"/>
        <v>6</v>
      </c>
      <c r="AO11" s="57">
        <f t="shared" si="2"/>
        <v>131</v>
      </c>
      <c r="AP11" s="58"/>
      <c r="AQ11" s="58">
        <f t="shared" si="3"/>
        <v>72</v>
      </c>
      <c r="AR11" s="57">
        <f t="shared" si="4"/>
        <v>77</v>
      </c>
      <c r="AS11" s="57">
        <f t="shared" si="5"/>
        <v>73</v>
      </c>
      <c r="AT11" s="59">
        <f t="shared" si="6"/>
        <v>33</v>
      </c>
      <c r="AU11" s="57">
        <f t="shared" si="7"/>
        <v>471</v>
      </c>
      <c r="AV11" s="37">
        <f t="shared" si="8"/>
        <v>56</v>
      </c>
      <c r="AW11" s="105">
        <f t="shared" si="9"/>
        <v>11.25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77</v>
      </c>
      <c r="AL12" s="36">
        <f>'CALCULATOR SHEET'!L18</f>
        <v>54</v>
      </c>
      <c r="AM12" s="36">
        <f t="shared" si="0"/>
        <v>10</v>
      </c>
      <c r="AN12" s="36">
        <f t="shared" si="1"/>
        <v>6</v>
      </c>
      <c r="AO12" s="57">
        <f t="shared" si="2"/>
        <v>131</v>
      </c>
      <c r="AP12" s="58"/>
      <c r="AQ12" s="58">
        <f t="shared" si="3"/>
        <v>72</v>
      </c>
      <c r="AR12" s="57">
        <f t="shared" si="4"/>
        <v>77</v>
      </c>
      <c r="AS12" s="57">
        <f t="shared" si="5"/>
        <v>73</v>
      </c>
      <c r="AT12" s="59">
        <f t="shared" si="6"/>
        <v>33</v>
      </c>
      <c r="AU12" s="57">
        <f t="shared" si="7"/>
        <v>471</v>
      </c>
      <c r="AV12" s="37">
        <f t="shared" si="8"/>
        <v>56</v>
      </c>
      <c r="AW12" s="105">
        <f t="shared" si="9"/>
        <v>11.25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2026-01-13T22:49:18Z</cp:lastPrinted>
  <dcterms:created xsi:type="dcterms:W3CDTF">2016-09-27T19:33:28Z</dcterms:created>
  <dcterms:modified xsi:type="dcterms:W3CDTF">2026-01-22T17:57:48Z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