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0926EG-1 LUIS ARMANDO PADILLA\"/>
    </mc:Choice>
  </mc:AlternateContent>
  <xr:revisionPtr revIDLastSave="0" documentId="8_{83DAD61A-33A6-428C-A6E9-45189541AFB8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6" l="1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H54" i="23" s="1"/>
  <c r="I54" i="23" s="1"/>
  <c r="J54" i="23" s="1"/>
  <c r="K54" i="23" s="1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X65" i="46" l="1"/>
  <c r="C62" i="46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D15" i="38" s="1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<sst xmlns="http://schemas.openxmlformats.org/spreadsheetml/2006/main" count="3341" uniqueCount="477">
  <si>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</si>
  <si>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</si>
  <si>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</si>
  <si>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</si>
  <si>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</si>
  <si>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</si>
  <si>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</si>
  <si>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</si>
  <si>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</si>
  <si>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</si>
  <si>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</si>
  <si>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</si>
  <si>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</si>
  <si>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</si>
  <si>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</si>
  <si>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</si>
  <si>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</si>
  <si>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</si>
  <si>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</si>
  <si>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</si>
  <si>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</si>
  <si>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</si>
  <si>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</si>
  <si>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</si>
  <si>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</si>
  <si>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</si>
  <si>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</si>
  <si>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</si>
  <si>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</si>
  <si>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</si>
  <si>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</si>
  <si>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</si>
  <si>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</si>
  <si>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</si>
  <si>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</si>
  <si>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</si>
  <si>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</si>
  <si>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</si>
  <si>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</si>
  <si>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</si>
  <si>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</si>
  <si>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</si>
  <si>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</si>
  <si>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</si>
  <si>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</si>
  <si>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</si>
  <si>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</si>
  <si>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</si>
  <si>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</si>
  <si>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</si>
  <si>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</si>
  <si>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</si>
  <si>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</si>
  <si>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</si>
  <si>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</si>
  <si>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</si>
  <si>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</si>
  <si>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</si>
  <si>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</si>
  <si>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</si>
  <si>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</si>
  <si>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</si>
  <si>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</si>
  <si>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</si>
  <si>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</si>
  <si>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</si>
  <si>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</si>
  <si>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</si>
  <si>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</si>
  <si>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</si>
  <si>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</si>
  <si>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</si>
  <si>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</si>
  <si>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</si>
  <si>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</si>
  <si>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</si>
  <si>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</si>
  <si>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</si>
  <si>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</si>
  <si>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</si>
  <si>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</si>
  <si>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</si>
  <si>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</si>
  <si>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</si>
  <si>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</si>
  <si>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</si>
  <si>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</si>
  <si>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</si>
  <si>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</si>
  <si>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</si>
  <si>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</si>
  <si>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</si>
  <si>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</si>
  <si>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</si>
  <si>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</si>
  <si>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</si>
  <si>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</si>
  <si>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</si>
  <si>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</si>
  <si>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</si>
  <si>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</si>
  <si>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</si>
  <si>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</si>
  <si>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</si>
  <si>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</si>
  <si>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</si>
  <si>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</si>
  <si>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</si>
  <si>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</si>
  <si>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</si>
  <si>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</si>
  <si>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</si>
  <si>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</si>
  <si>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</si>
  <si>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</si>
  <si>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</si>
  <si>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</si>
  <si>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</si>
  <si>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</si>
  <si>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</si>
  <si>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</si>
  <si>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</si>
  <si>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</si>
  <si>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</si>
  <si>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</si>
  <si>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</si>
  <si>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</si>
  <si>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</si>
  <si>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</si>
  <si>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</si>
  <si>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</si>
  <si>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</si>
  <si>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</si>
  <si>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</si>
  <si>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</si>
  <si>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</si>
  <si>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</si>
  <si>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</si>
  <si>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</si>
  <si>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</si>
  <si>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</si>
  <si>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</si>
  <si>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</si>
  <si>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</si>
  <si>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</si>
  <si>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</si>
  <si>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</si>
  <si>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</si>
  <si>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</si>
  <si>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</si>
  <si>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</si>
  <si>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</si>
  <si>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</si>
  <si>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</si>
  <si>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</si>
  <si>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</si>
  <si>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</si>
  <si>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</si>
  <si>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</si>
  <si>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</si>
  <si>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</si>
  <si>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</si>
  <si>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</si>
  <si>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</si>
  <si>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</si>
  <si>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</si>
  <si>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</si>
  <si>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</si>
  <si>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</si>
  <si>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</si>
  <si>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</si>
  <si>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</si>
  <si>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</si>
  <si>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</si>
  <si>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</si>
  <si>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</si>
  <si>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</si>
  <si>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</si>
  <si>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</si>
  <si>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</si>
  <si>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</si>
  <si>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</si>
  <si>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</si>
  <si>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</si>
  <si>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</si>
  <si>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</si>
  <si>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</si>
  <si>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</si>
  <si>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</si>
  <si>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</si>
  <si>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</si>
  <si>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</si>
  <si>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</si>
  <si>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</si>
  <si>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</si>
  <si>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</si>
  <si>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</si>
  <si>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</si>
  <si>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</si>
  <si>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</si>
  <si>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</si>
  <si>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</si>
  <si>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</si>
  <si>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</si>
  <si>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</si>
  <si>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</si>
  <si>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</si>
  <si>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</si>
  <si>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</si>
  <si>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</si>
  <si>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</si>
  <si>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</si>
  <si>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</si>
  <si>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</si>
  <si>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</si>
  <si>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</si>
  <si>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</si>
  <si>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</si>
  <si>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</si>
  <si>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</si>
  <si>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</si>
  <si>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</si>
  <si>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</si>
  <si>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</si>
  <si>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</si>
  <si>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</si>
  <si>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</si>
  <si>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</si>
  <si>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</si>
  <si>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</si>
  <si>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</si>
  <si>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</si>
  <si>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</si>
  <si>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</si>
  <si>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</si>
  <si>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</si>
  <si>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</si>
  <si>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</si>
  <si>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</si>
  <si>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</si>
  <si>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</si>
  <si>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</si>
  <si>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</si>
  <si>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</si>
  <si>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</si>
  <si>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</si>
  <si>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</si>
  <si>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</si>
  <si>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</si>
  <si>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</si>
  <si>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</si>
  <si>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</si>
  <si>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</si>
  <si>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</si>
  <si>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</si>
  <si>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</si>
  <si>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</si>
  <si>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</si>
  <si>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</si>
  <si>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</si>
  <si>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</si>
  <si>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</si>
  <si>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</si>
  <si>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</si>
  <si>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</si>
  <si>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</si>
  <si>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</si>
  <si>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</si>
  <si>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</si>
  <si>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</si>
  <si>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</si>
  <si>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</si>
  <si>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</si>
  <si>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</si>
  <si>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</si>
  <si>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</si>
  <si>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</si>
  <si>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</si>
  <si>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</si>
  <si>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</si>
  <si>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</si>
  <si>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</si>
  <si>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</si>
  <si>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</si>
  <si>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</si>
  <si>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</si>
  <si>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</si>
  <si>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</si>
  <si>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</si>
  <si>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</si>
  <si>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</si>
  <si>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</si>
  <si>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</si>
  <si>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</si>
  <si>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</si>
  <si>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</si>
  <si>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</si>
  <si>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</si>
  <si>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</si>
  <si>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</si>
  <si>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</si>
  <si>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</si>
  <si>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</si>
  <si>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</si>
  <si>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</si>
  <si>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</si>
  <si>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</si>
  <si>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</si>
  <si>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</si>
  <si>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</si>
  <si>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</si>
  <si>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</si>
  <si>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</si>
  <si>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</si>
  <si>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</si>
  <si>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</si>
  <si>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</si>
  <si>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</si>
  <si>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</si>
  <si>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</si>
  <si>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</si>
  <si>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</si>
  <si>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</si>
  <si>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</si>
  <si>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</si>
  <si>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</si>
  <si>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</si>
  <si>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</si>
  <si>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</si>
  <si>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</si>
  <si>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</si>
  <si>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</si>
  <si>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</si>
  <si>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</si>
  <si>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</si>
  <si>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</si>
  <si>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</si>
  <si>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</si>
  <si>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</si>
  <si>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</si>
  <si>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</si>
  <si>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</si>
  <si>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</si>
  <si>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</si>
  <si>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</si>
  <si>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</si>
  <si>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</si>
  <si>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</si>
  <si>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</si>
  <si>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</si>
  <si>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</si>
  <si>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</si>
  <si>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</si>
  <si>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</si>
  <si>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</si>
  <si>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</si>
  <si>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</si>
  <si>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</si>
  <si>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</si>
  <si>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</si>
  <si>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</si>
  <si>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</si>
  <si>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</si>
  <si>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</si>
  <si>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</si>
  <si>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</si>
  <si>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</si>
  <si>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</si>
  <si>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</si>
  <si>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</si>
  <si>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</si>
  <si>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</si>
  <si>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</si>
  <si>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</si>
  <si>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</si>
  <si>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</si>
  <si>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</si>
  <si>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</si>
  <si>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</si>
  <si>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</si>
  <si>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</si>
  <si>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</si>
  <si>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</si>
  <si>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</si>
  <si>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</si>
  <si>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</si>
  <si>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</si>
  <si>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</si>
  <si>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</si>
  <si>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</si>
  <si>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</si>
  <si>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</si>
  <si>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</si>
  <si>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</si>
  <si>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</si>
  <si>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</si>
  <si>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</si>
  <si>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</si>
  <si>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</si>
  <si>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</si>
  <si>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</si>
  <si>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</si>
  <si>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</si>
  <si>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</si>
  <si>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</si>
  <si>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</si>
  <si>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</si>
  <si>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</si>
  <si>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</si>
  <si>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</si>
  <si>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</si>
  <si>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</si>
  <si>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</si>
  <si>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</si>
  <si>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</si>
  <si>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</si>
  <si>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</si>
  <si>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</si>
  <si>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</si>
  <si>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</si>
  <si>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</si>
  <si>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</si>
  <si>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</si>
  <si>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</si>
  <si>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</si>
  <si>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</si>
  <si>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</si>
  <si>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</si>
  <si>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</si>
  <si>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</si>
  <si>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</si>
  <si>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</si>
  <si>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</si>
  <si>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</si>
  <si>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</si>
  <si>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</si>
  <si>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</si>
  <si>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</si>
  <si>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</si>
  <si>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</si>
  <si>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</si>
  <si>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</si>
  <si>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</si>
  <si>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</si>
  <si>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</si>
  <si>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</si>
  <si>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</si>
  <si>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</si>
  <si>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</si>
  <si>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</si>
  <si>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</si>
  <si>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</si>
  <si>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</si>
  <si>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</si>
  <si>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</si>
  <si>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</si>
  <si>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</si>
  <si>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</si>
  <si>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</si>
  <si>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</si>
  <si>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</si>
  <si>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Playas de Rosarito, B.C.</t>
  </si>
  <si>
    <t xml:space="preserve">Playas de Rosarito, B.C. </t>
  </si>
  <si>
    <t>LOS PRECIOS NO INCLUYEN IVA</t>
  </si>
  <si>
    <t>LUIS ARMANDO PADILLA</t>
  </si>
  <si>
    <t>TIJUANA</t>
  </si>
  <si>
    <t>COTO PEDREGAL</t>
  </si>
  <si>
    <t>EDIFICIO B</t>
  </si>
  <si>
    <t>664 407 5934</t>
  </si>
  <si>
    <t>BS 010926EG-1</t>
  </si>
  <si>
    <t>BO LONBEACH STONE</t>
  </si>
  <si>
    <t>LF SIDNEY IVORY</t>
  </si>
  <si>
    <t>REC A</t>
  </si>
  <si>
    <t>REC B</t>
  </si>
  <si>
    <t>SALA A</t>
  </si>
  <si>
    <t>SALA B</t>
  </si>
  <si>
    <t>ESAU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</si>
</sst>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4" zoomScale="85" zoomScaleNormal="85" workbookViewId="0">
      <selection activeCell="K64" sqref="K64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6">
        <f>'CALCULATOR SHEET'!T9</f>
        <v>46031</v>
      </c>
      <c r="J5" s="287"/>
      <c r="K5" s="287"/>
      <c r="L5" s="287"/>
      <c r="M5" s="288" t="str">
        <f>IF('CALCULATOR SHEET'!W2=1,"DOCUMENT #","DOCUMENTO #")</f>
        <v>DOCUMENTO #</v>
      </c>
      <c r="N5" s="366" t="str">
        <f>IF('CALCULATOR SHEET'!T5&lt;&gt;"",'CALCULATOR SHEET'!T5,"")</f>
        <v>BS 010926EG-1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LUIS ARMANDO PADILLA</v>
      </c>
      <c r="J7" s="367" t="str">
        <f>IF('CALCULATOR SHEET'!H8&lt;&gt;"","Calle: "&amp;'CALCULATOR SHEET'!H10&amp;", Numero: "&amp;'CALCULATOR SHEET'!H11,"")</f>
        <v>Calle: EDIFICIO B, Numero: 601</v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>Frac: COTO PEDREGAL - TIJUANA</v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462</v>
      </c>
      <c r="H10" s="156" t="str">
        <f>IF('CALCULATOR SHEET'!D10&lt;&gt;"",'CALCULATOR SHEET'!D10,"")</f>
        <v>LUIS ARMANDO PADILLA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ESAU GOMEZ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ENROLLABLE</v>
      </c>
      <c r="F14" s="170" t="str">
        <f>IF('CALCULATOR SHEET'!E13&lt;&gt;"",'CALCULATOR SHEET'!E13,"")</f>
        <v>GROUP 3</v>
      </c>
      <c r="G14" s="169" t="str">
        <f>IF('CALCULATOR SHEET'!G13&lt;&gt;"",'CALCULATOR SHEET'!G13,"")</f>
        <v>BO LONBEACH STONE</v>
      </c>
      <c r="H14" s="170" t="str">
        <f>IF('CALCULATOR SHEET'!H13&lt;&gt;"",'CALCULATOR SHEET'!H13,"")</f>
        <v>REC A</v>
      </c>
      <c r="I14" s="171">
        <f>IF(E14&lt;&gt;"",'CALCULATOR SHEET'!I13,"")</f>
        <v>62</v>
      </c>
      <c r="J14" s="171">
        <f>IF(I14&lt;&gt;"",'CALCULATOR SHEET'!J13,"")</f>
        <v>86</v>
      </c>
      <c r="K14" s="169" t="str">
        <f>IF('CALCULATOR SHEET'!K13&lt;&gt;"",IF('CALCULATOR SHEET'!$W$2=1,'CALCULATOR SHEET'!K13,VLOOKUP('CALCULATOR SHEET'!K13,GENERAL!$H$6:$I$11,2,0)),"")</f>
        <v>CADENA DE METAL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202</v>
      </c>
      <c r="O14" s="164"/>
      <c r="P14" s="167">
        <f>IF(D14&lt;&gt;"",N14*D14,"")</f>
        <v>202</v>
      </c>
      <c r="Q14" s="194"/>
      <c r="R14" s="64" t="s">
        <v>199</v>
      </c>
      <c r="T14" s="160">
        <f>IF('CALCULATOR SHEET'!$T$58="PESOS",'CALCULATOR SHEET'!S13*'CALCULATOR SHEET'!$W$6,'CALCULATOR SHEET'!S13)</f>
        <v>202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ENROLLABLE</v>
      </c>
      <c r="F15" s="175" t="str">
        <f>IF('CALCULATOR SHEET'!E14&lt;&gt;"",'CALCULATOR SHEET'!E14,"")</f>
        <v>GROUP 3</v>
      </c>
      <c r="G15" s="174" t="str">
        <f>IF('CALCULATOR SHEET'!G14&lt;&gt;"",'CALCULATOR SHEET'!G14,"")</f>
        <v>BO LONBEACH STONE</v>
      </c>
      <c r="H15" s="175" t="str">
        <f>IF('CALCULATOR SHEET'!H14&lt;&gt;"",'CALCULATOR SHEET'!H14,"")</f>
        <v>REC B</v>
      </c>
      <c r="I15" s="176">
        <f>IF(E15&lt;&gt;"",'CALCULATOR SHEET'!I14,"")</f>
        <v>36</v>
      </c>
      <c r="J15" s="176">
        <f>IF(I15&lt;&gt;"",'CALCULATOR SHEET'!J14,"")</f>
        <v>86</v>
      </c>
      <c r="K15" s="169" t="str">
        <f>IF('CALCULATOR SHEET'!K14&lt;&gt;"",IF('CALCULATOR SHEET'!$W$2=1,'CALCULATOR SHEET'!K14,VLOOKUP('CALCULATOR SHEET'!K14,GENERAL!$H$6:$I$11,2,0)),"")</f>
        <v>CADENA DE METAL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138</v>
      </c>
      <c r="O15" s="165"/>
      <c r="P15" s="166">
        <f>IF(D15&lt;&gt;"",N15*D15,"")</f>
        <v>138</v>
      </c>
      <c r="Q15" s="195"/>
      <c r="R15" s="64" t="s">
        <v>199</v>
      </c>
      <c r="T15" s="160">
        <f>IF('CALCULATOR SHEET'!$T$58="PESOS",'CALCULATOR SHEET'!S14*'CALCULATOR SHEET'!$W$6,'CALCULATOR SHEET'!S14)</f>
        <v>138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69" t="str">
        <f>IF('CALCULATOR SHEET'!D15&lt;&gt;"",IF('CALCULATOR SHEET'!$W$2=1,'CALCULATOR SHEET'!D15,VLOOKUP('CALCULATOR SHEET'!D15,GENERAL!$J$6:$K$13,2,0)),"")</f>
        <v>ENROLLABLE</v>
      </c>
      <c r="F16" s="175" t="str">
        <f>IF('CALCULATOR SHEET'!E15&lt;&gt;"",'CALCULATOR SHEET'!E15,"")</f>
        <v>GROUP 4</v>
      </c>
      <c r="G16" s="174" t="str">
        <f>IF('CALCULATOR SHEET'!G15&lt;&gt;"",'CALCULATOR SHEET'!G15,"")</f>
        <v>LF SIDNEY IVORY</v>
      </c>
      <c r="H16" s="175" t="str">
        <f>IF('CALCULATOR SHEET'!H15&lt;&gt;"",'CALCULATOR SHEET'!H15,"")</f>
        <v>SALA A</v>
      </c>
      <c r="I16" s="176">
        <f>IF(E16&lt;&gt;"",'CALCULATOR SHEET'!I15,"")</f>
        <v>35.5</v>
      </c>
      <c r="J16" s="176">
        <f>IF(I16&lt;&gt;"",'CALCULATOR SHEET'!J15,"")</f>
        <v>86</v>
      </c>
      <c r="K16" s="169" t="str">
        <f>IF('CALCULATOR SHEET'!K15&lt;&gt;"",IF('CALCULATOR SHEET'!$W$2=1,'CALCULATOR SHEET'!K15,VLOOKUP('CALCULATOR SHEET'!K15,GENERAL!$H$6:$I$11,2,0)),"")</f>
        <v>CADENA DE METAL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145</v>
      </c>
      <c r="O16" s="165"/>
      <c r="P16" s="166">
        <f t="shared" ref="P16:P53" si="1">IF(D16&lt;&gt;"",N16*D16,"")</f>
        <v>145</v>
      </c>
      <c r="Q16" s="195"/>
      <c r="R16" s="64" t="s">
        <v>199</v>
      </c>
      <c r="T16" s="160">
        <f>IF('CALCULATOR SHEET'!$T$58="PESOS",'CALCULATOR SHEET'!S15*'CALCULATOR SHEET'!$W$6,'CALCULATOR SHEET'!S15)</f>
        <v>145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69" t="str">
        <f>IF('CALCULATOR SHEET'!D16&lt;&gt;"",IF('CALCULATOR SHEET'!$W$2=1,'CALCULATOR SHEET'!D16,VLOOKUP('CALCULATOR SHEET'!D16,GENERAL!$J$6:$K$13,2,0)),"")</f>
        <v>ENROLLABLE</v>
      </c>
      <c r="F17" s="175" t="str">
        <f>IF('CALCULATOR SHEET'!E16&lt;&gt;"",'CALCULATOR SHEET'!E16,"")</f>
        <v>GROUP 4</v>
      </c>
      <c r="G17" s="174" t="str">
        <f>IF('CALCULATOR SHEET'!G16&lt;&gt;"",'CALCULATOR SHEET'!G16,"")</f>
        <v>LF SIDNEY IVORY</v>
      </c>
      <c r="H17" s="175" t="str">
        <f>IF('CALCULATOR SHEET'!H16&lt;&gt;"",'CALCULATOR SHEET'!H16,"")</f>
        <v>SALA B</v>
      </c>
      <c r="I17" s="176">
        <f>IF(E17&lt;&gt;"",'CALCULATOR SHEET'!I16,"")</f>
        <v>47</v>
      </c>
      <c r="J17" s="176">
        <f>IF(I17&lt;&gt;"",'CALCULATOR SHEET'!J16,"")</f>
        <v>86</v>
      </c>
      <c r="K17" s="169" t="str">
        <f>IF('CALCULATOR SHEET'!K16&lt;&gt;"",IF('CALCULATOR SHEET'!$W$2=1,'CALCULATOR SHEET'!K16,VLOOKUP('CALCULATOR SHEET'!K16,GENERAL!$H$6:$I$11,2,0)),"")</f>
        <v>CADENA DE METAL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172</v>
      </c>
      <c r="O17" s="165"/>
      <c r="P17" s="166">
        <f t="shared" si="1"/>
        <v>172</v>
      </c>
      <c r="Q17" s="195"/>
      <c r="R17" s="64" t="s">
        <v>199</v>
      </c>
      <c r="T17" s="160">
        <f>IF('CALCULATOR SHEET'!$T$58="PESOS",'CALCULATOR SHEET'!S16*'CALCULATOR SHEET'!$W$6,'CALCULATOR SHEET'!S16)</f>
        <v>172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CANT.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INSTALACION INCLUIDA EN TODOS LOS PRODUCTOS</v>
      </c>
      <c r="N62" s="296"/>
      <c r="O62" s="296" t="str">
        <f>IF('CALCULATOR SHEET'!T59&lt;&gt;0,CLIENTE!X62,"")</f>
        <v>SUB TOTAL</v>
      </c>
      <c r="P62" s="297">
        <f>IF(O62&lt;&gt;"",SUM(P14:P53),"")</f>
        <v>657</v>
      </c>
      <c r="Q62" s="188"/>
      <c r="X62" s="163" t="str">
        <f>IF('CALCULATOR SHEET'!$W$2=1,GENERAL!Q35,GENERAL!S35)</f>
        <v>SUB TOTAL</v>
      </c>
      <c r="Y62" s="222">
        <f>P62</f>
        <v>657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DESCUENTO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262.8</v>
      </c>
      <c r="Q64" s="187"/>
      <c r="R64" s="179"/>
      <c r="S64" s="179"/>
      <c r="X64" s="163" t="str">
        <f>IF('CALCULATOR SHEET'!$W$2=1,GENERAL!Q37,GENERAL!S37)</f>
        <v>TOTAL DESC.</v>
      </c>
      <c r="Y64" s="220">
        <f>IF(Y63&gt;0,'CALCULATOR SHEET'!T63,0)</f>
        <v>394.2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20">
        <f>IF(P64&lt;&gt;"",'CALCULATOR SHEET'!T63,0)</f>
        <v>394.2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1">
        <f>IF(Y65=0,"",Y65)</f>
        <v>394.2</v>
      </c>
      <c r="Q66" s="196"/>
      <c r="R66" s="180"/>
      <c r="S66" s="180"/>
      <c r="X66" s="163" t="str">
        <f>IF('CALCULATOR SHEET'!$W$2=1,GENERAL!Q39,GENERAL!S39)</f>
        <v>SERVICIOS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IVA 16%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Expertos en: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 TOTAL=</v>
      </c>
      <c r="Y69" s="222">
        <f>'CALCULATOR SHEET'!T66</f>
        <v>394.2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50">
        <f>Y69</f>
        <v>394.2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463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ESAU GOMEZ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204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135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1"/>
        <v>12</v>
      </c>
      <c r="AN9" s="54">
        <f t="shared" si="2"/>
        <v>135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1"/>
        <v>12</v>
      </c>
      <c r="AN10" s="54">
        <f t="shared" si="2"/>
        <v>162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86</v>
      </c>
      <c r="AL7" s="53">
        <f t="shared" ref="AL7:AL70" si="0">IF(AJ7=0,"",MATCH(CEILING(AJ7,6),$D$4:$Z$4,0))</f>
        <v>8</v>
      </c>
      <c r="AM7" s="53">
        <f>IF(AK7=0,"",MATCH(CEILING(AK7,6),$C$7:$C$28,0))</f>
        <v>12</v>
      </c>
      <c r="AN7" s="54">
        <f t="shared" ref="AN7:AN70" si="1">IF(AL7="","",INDEX($D$7:$Z$28,AM7,AL7))</f>
        <v>245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86</v>
      </c>
      <c r="AL8" s="53">
        <f t="shared" si="0"/>
        <v>3</v>
      </c>
      <c r="AM8" s="53">
        <f t="shared" ref="AM8:AM71" si="2">IF(AK8=0,"",MATCH(CEILING(AK8,6),$C$7:$C$28,0))</f>
        <v>12</v>
      </c>
      <c r="AN8" s="54">
        <f t="shared" si="1"/>
        <v>157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2"/>
        <v>12</v>
      </c>
      <c r="AN9" s="54">
        <f t="shared" si="1"/>
        <v>157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2"/>
        <v>12</v>
      </c>
      <c r="AN10" s="54">
        <f t="shared" si="1"/>
        <v>192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252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161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1"/>
        <v>12</v>
      </c>
      <c r="AN9" s="54">
        <f t="shared" si="2"/>
        <v>161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1"/>
        <v>12</v>
      </c>
      <c r="AN10" s="54">
        <f t="shared" si="2"/>
        <v>197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302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188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1"/>
        <v>12</v>
      </c>
      <c r="AN9" s="54">
        <f t="shared" si="2"/>
        <v>188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1"/>
        <v>12</v>
      </c>
      <c r="AN10" s="54">
        <f t="shared" si="2"/>
        <v>233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346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1">IF(AJ8=0,"",MATCH(CEILING(AJ8,6),$D$4:$Z$4,0))</f>
        <v>3</v>
      </c>
      <c r="AM8" s="53">
        <f t="shared" ref="AM8:AM71" si="2">IF(AK8=0,"",MATCH(CEILING(AK8,6),$C$7:$C$28,0))</f>
        <v>12</v>
      </c>
      <c r="AN8" s="54">
        <f t="shared" ref="AN8:AN71" si="3">IF(AL8="","",INDEX($D$7:$Z$28,AM8,AL8))</f>
        <v>212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35.5</v>
      </c>
      <c r="AK9" s="53">
        <f>'CALCULATOR SHEET'!J15</f>
        <v>86</v>
      </c>
      <c r="AL9" s="53">
        <f>IF(AJ9=0,"",MATCH(CEILING(AJ9,6),$D$4:$Z$4,0))</f>
        <v>3</v>
      </c>
      <c r="AM9" s="53">
        <f t="shared" si="2"/>
        <v>12</v>
      </c>
      <c r="AN9" s="54">
        <f t="shared" si="3"/>
        <v>212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47</v>
      </c>
      <c r="AK10" s="53">
        <f>'CALCULATOR SHEET'!J16</f>
        <v>86</v>
      </c>
      <c r="AL10" s="53">
        <f t="shared" si="1"/>
        <v>5</v>
      </c>
      <c r="AM10" s="53">
        <f t="shared" si="2"/>
        <v>12</v>
      </c>
      <c r="AN10" s="54">
        <f t="shared" si="3"/>
        <v>266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436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17">IF(AJ8=0,"",MATCH(CEILING(AJ8,6),$D$4:$Z$4,0))</f>
        <v>3</v>
      </c>
      <c r="AM8" s="53">
        <f t="shared" ref="AM8:AM71" si="18">IF(AK8=0,"",MATCH(CEILING(AK8,6),$C$7:$C$28,0))</f>
        <v>12</v>
      </c>
      <c r="AN8" s="54">
        <f t="shared" ref="AN8:AN71" si="19">IF(AL8="","",INDEX($D$7:$Z$28,AM8,AL8))</f>
        <v>264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35.5</v>
      </c>
      <c r="AK9" s="53">
        <f>'CALCULATOR SHEET'!J15</f>
        <v>86</v>
      </c>
      <c r="AL9" s="53">
        <f t="shared" si="17"/>
        <v>3</v>
      </c>
      <c r="AM9" s="53">
        <f t="shared" si="18"/>
        <v>12</v>
      </c>
      <c r="AN9" s="54">
        <f t="shared" si="19"/>
        <v>264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47</v>
      </c>
      <c r="AK10" s="53">
        <f>'CALCULATOR SHEET'!J16</f>
        <v>86</v>
      </c>
      <c r="AL10" s="53">
        <f t="shared" si="17"/>
        <v>5</v>
      </c>
      <c r="AM10" s="53">
        <f t="shared" si="18"/>
        <v>12</v>
      </c>
      <c r="AN10" s="54">
        <f t="shared" si="19"/>
        <v>333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3</v>
      </c>
      <c r="X7" s="1">
        <v>1</v>
      </c>
      <c r="Y7" s="7">
        <f>'CALCULATOR SHEET'!I13</f>
        <v>62</v>
      </c>
      <c r="Z7" s="7">
        <f>'CALCULATOR SHEET'!J13</f>
        <v>86</v>
      </c>
      <c r="AA7" s="7">
        <f>IF(Y7=0,"",MATCH(CEILING(Y7,6),$C$7:$R$7,0))</f>
        <v>7</v>
      </c>
      <c r="AB7" s="7">
        <f>IF(Z7=0,"",MATCH(CEILING(Z7,6),$B$10:$B$26,0))</f>
        <v>10</v>
      </c>
      <c r="AC7" s="146">
        <f>IF(AA7="","",IF(W7="GROUP 1",INDEX($C$10:$R$26,AB7,AA7),IF(W7="GROUP 2",INDEX($C$39:$R$55,AB7,AA7),IF(W7="GROUP 3",INDEX($C$64:$R$80,AB7,AA7),""))))</f>
        <v>860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211</v>
      </c>
      <c r="AF7" s="13">
        <f>IF(Y7&gt;0,HLOOKUP(AA7,$C$29:$R$30,2,FALSE),"")</f>
        <v>0</v>
      </c>
    </row>
    <row r="8" spans="2:32" ht="15.75">
      <c r="U8" s="387"/>
      <c r="V8" s="147"/>
      <c r="W8" s="147" t="str">
        <f>'CALCULATOR SHEET'!E14</f>
        <v>GROUP 3</v>
      </c>
      <c r="X8" s="1">
        <f>+X7+1</f>
        <v>2</v>
      </c>
      <c r="Y8" s="7">
        <f>'CALCULATOR SHEET'!I14</f>
        <v>36</v>
      </c>
      <c r="Z8" s="7">
        <f>'CALCULATOR SHEET'!J14</f>
        <v>86</v>
      </c>
      <c r="AA8" s="7">
        <f t="shared" ref="AA8:AA28" si="1">IF(Y8=0,"",MATCH(CEILING(Y8,6),$C$7:$R$7,0))</f>
        <v>2</v>
      </c>
      <c r="AB8" s="7">
        <f t="shared" ref="AB8:AB28" si="2">IF(Z8=0,"",MATCH(CEILING(Z8,6),$B$10:$B$26,0))</f>
        <v>10</v>
      </c>
      <c r="AC8" s="146">
        <f t="shared" ref="AC8:AC71" si="3">IF(AA8="","",IF(W8="GROUP 1",INDEX($C$10:$R$26,AB8,AA8),IF(W8="GROUP 2",INDEX($C$39:$R$55,AB8,AA8),IF(W8="GROUP 3",INDEX($C$64:$R$80,AB8,AA8),""))))</f>
        <v>735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211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4</v>
      </c>
      <c r="X9" s="1">
        <f t="shared" ref="X9:X28" si="6">+X8+1</f>
        <v>3</v>
      </c>
      <c r="Y9" s="7">
        <f>'CALCULATOR SHEET'!I15</f>
        <v>35.5</v>
      </c>
      <c r="Z9" s="7">
        <f>'CALCULATOR SHEET'!J15</f>
        <v>86</v>
      </c>
      <c r="AA9" s="7">
        <f t="shared" si="1"/>
        <v>2</v>
      </c>
      <c r="AB9" s="7">
        <f t="shared" si="2"/>
        <v>10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211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4</v>
      </c>
      <c r="X10" s="1">
        <f t="shared" si="6"/>
        <v>4</v>
      </c>
      <c r="Y10" s="7">
        <f>'CALCULATOR SHEET'!I16</f>
        <v>47</v>
      </c>
      <c r="Z10" s="7">
        <f>'CALCULATOR SHEET'!J16</f>
        <v>86</v>
      </c>
      <c r="AA10" s="7">
        <f t="shared" si="1"/>
        <v>4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62</v>
      </c>
      <c r="W7" s="7">
        <f>'CALCULATOR SHEET'!J13</f>
        <v>86</v>
      </c>
      <c r="X7" s="7">
        <f>IF(V7=0,"",MATCH(CEILING(V7,6),$C$8:$Q$8,0))</f>
        <v>8</v>
      </c>
      <c r="Y7" s="7">
        <f>IF(W7=0,"",MATCH(CEILING(W7,6),$B$10:$B$26,0))</f>
        <v>12</v>
      </c>
      <c r="Z7" s="146">
        <f>IF(X7="","",INDEX($C$12:$Q$26,Y7,X7))</f>
        <v>348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36</v>
      </c>
      <c r="W8" s="7">
        <f>'CALCULATOR SHEET'!J14</f>
        <v>86</v>
      </c>
      <c r="X8" s="7">
        <f t="shared" ref="X8:X73" si="0">IF(V8=0,"",MATCH(CEILING(V8,6),$C$8:$Q$8,0))</f>
        <v>3</v>
      </c>
      <c r="Y8" s="7">
        <f t="shared" ref="Y8:Y71" si="1">IF(W8=0,"",MATCH(CEILING(W8,6),$B$10:$B$26,0))</f>
        <v>12</v>
      </c>
      <c r="Z8" s="146">
        <f>IF(X8="","",INDEX($C$12:$Q$26,Y8,X8))</f>
        <v>203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35.5</v>
      </c>
      <c r="W9" s="7">
        <f>'CALCULATOR SHEET'!J15</f>
        <v>86</v>
      </c>
      <c r="X9" s="7">
        <f t="shared" si="0"/>
        <v>3</v>
      </c>
      <c r="Y9" s="7">
        <f t="shared" si="1"/>
        <v>12</v>
      </c>
      <c r="Z9" s="146">
        <f>IF(X9="","",INDEX($C$12:$Q$26,Y9,X9))</f>
        <v>203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47</v>
      </c>
      <c r="W12" s="7">
        <f>'CALCULATOR SHEET'!J16</f>
        <v>86</v>
      </c>
      <c r="X12" s="7">
        <f t="shared" si="0"/>
        <v>5</v>
      </c>
      <c r="Y12" s="7">
        <f t="shared" si="1"/>
        <v>12</v>
      </c>
      <c r="Z12" s="146">
        <f t="shared" ref="Z12:Z43" si="3">IF(X12="","",INDEX($C$12:$Q$26,Y12,X12))</f>
        <v>263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206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115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115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145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322</v>
      </c>
    </row>
    <row r="8" spans="2:27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160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160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209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49" zoomScale="84" zoomScaleNormal="84" workbookViewId="0">
      <selection activeCell="L66" sqref="L66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469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461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 t="s">
        <v>465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464</v>
      </c>
      <c r="E9" s="39"/>
      <c r="F9" s="1"/>
      <c r="G9" s="38" t="s">
        <v>442</v>
      </c>
      <c r="H9" s="342" t="s">
        <v>466</v>
      </c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46031</v>
      </c>
      <c r="Z9" s="38" t="s">
        <v>303</v>
      </c>
      <c r="AA9" s="34">
        <f>SUMIF(C13:C52,"&gt;0")</f>
        <v>4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464</v>
      </c>
      <c r="E10" s="149"/>
      <c r="F10" s="1"/>
      <c r="G10" s="340" t="s">
        <v>443</v>
      </c>
      <c r="H10" s="342" t="s">
        <v>467</v>
      </c>
      <c r="I10" s="1"/>
      <c r="J10" s="3" t="s">
        <v>448</v>
      </c>
      <c r="K10" s="343" t="s">
        <v>468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>
        <v>601</v>
      </c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470</v>
      </c>
      <c r="H13" s="68" t="s">
        <v>472</v>
      </c>
      <c r="I13" s="81">
        <v>62</v>
      </c>
      <c r="J13" s="81">
        <v>86</v>
      </c>
      <c r="K13" s="253" t="s">
        <v>96</v>
      </c>
      <c r="L13" s="70" t="s">
        <v>45</v>
      </c>
      <c r="M13" s="283" t="s">
        <v>128</v>
      </c>
      <c r="N13" s="253" t="s">
        <v>211</v>
      </c>
      <c r="O13" s="253" t="s">
        <v>321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202</v>
      </c>
      <c r="T13" s="315">
        <f t="shared" ref="T13:T52" si="0">IF(S13="","",S13*C13)</f>
        <v>202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202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192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470</v>
      </c>
      <c r="H14" s="68" t="s">
        <v>473</v>
      </c>
      <c r="I14" s="81">
        <v>36</v>
      </c>
      <c r="J14" s="81">
        <v>86</v>
      </c>
      <c r="K14" s="253" t="s">
        <v>96</v>
      </c>
      <c r="L14" s="70" t="s">
        <v>45</v>
      </c>
      <c r="M14" s="283" t="s">
        <v>129</v>
      </c>
      <c r="N14" s="253" t="s">
        <v>211</v>
      </c>
      <c r="O14" s="253" t="s">
        <v>321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138</v>
      </c>
      <c r="T14" s="315">
        <f t="shared" si="0"/>
        <v>138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138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128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10</v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10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22</v>
      </c>
      <c r="F15" s="69" t="s">
        <v>45</v>
      </c>
      <c r="G15" s="68" t="s">
        <v>471</v>
      </c>
      <c r="H15" s="68" t="s">
        <v>474</v>
      </c>
      <c r="I15" s="81">
        <v>35.5</v>
      </c>
      <c r="J15" s="81">
        <v>86</v>
      </c>
      <c r="K15" s="253" t="s">
        <v>96</v>
      </c>
      <c r="L15" s="70" t="s">
        <v>45</v>
      </c>
      <c r="M15" s="283" t="s">
        <v>128</v>
      </c>
      <c r="N15" s="253" t="s">
        <v>211</v>
      </c>
      <c r="O15" s="253" t="s">
        <v>321</v>
      </c>
      <c r="P15" s="70" t="s">
        <v>45</v>
      </c>
      <c r="Q15" s="70" t="s">
        <v>45</v>
      </c>
      <c r="R15" s="70" t="s">
        <v>45</v>
      </c>
      <c r="S15" s="71">
        <f t="shared" si="1"/>
        <v>145</v>
      </c>
      <c r="T15" s="315">
        <f t="shared" si="0"/>
        <v>145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145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135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10</v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10</v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22</v>
      </c>
      <c r="F16" s="69" t="s">
        <v>45</v>
      </c>
      <c r="G16" s="68" t="s">
        <v>471</v>
      </c>
      <c r="H16" s="68" t="s">
        <v>475</v>
      </c>
      <c r="I16" s="81">
        <v>47</v>
      </c>
      <c r="J16" s="81">
        <v>86</v>
      </c>
      <c r="K16" s="253" t="s">
        <v>96</v>
      </c>
      <c r="L16" s="70" t="s">
        <v>45</v>
      </c>
      <c r="M16" s="283" t="s">
        <v>129</v>
      </c>
      <c r="N16" s="253" t="s">
        <v>211</v>
      </c>
      <c r="O16" s="253" t="s">
        <v>321</v>
      </c>
      <c r="P16" s="70" t="s">
        <v>45</v>
      </c>
      <c r="Q16" s="70" t="s">
        <v>45</v>
      </c>
      <c r="R16" s="70" t="s">
        <v>45</v>
      </c>
      <c r="S16" s="71">
        <f t="shared" si="1"/>
        <v>172</v>
      </c>
      <c r="T16" s="315">
        <f t="shared" si="0"/>
        <v>172</v>
      </c>
      <c r="U16" s="179" t="str">
        <f t="shared" si="2"/>
        <v/>
      </c>
      <c r="V16" s="120"/>
      <c r="W16" s="124">
        <f t="shared" si="8"/>
        <v>172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 t="str">
        <f t="shared" si="5"/>
        <v>ROLLER</v>
      </c>
      <c r="AC16" s="270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162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5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657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262.8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394.2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394.2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476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62</v>
      </c>
      <c r="Y7" s="7">
        <f>'CALCULATOR SHEET'!J13</f>
        <v>86</v>
      </c>
      <c r="Z7" s="7">
        <f>IF(X7=0,"",MATCH(CEILING(X7,6),$C$7:$R$7,0))</f>
        <v>8</v>
      </c>
      <c r="AA7" s="7">
        <f>IF(Y7=0,"",MATCH(CEILING(Y7,6),$B$10:$B$26,0))</f>
        <v>12</v>
      </c>
      <c r="AB7" s="146">
        <f>IF(Z7="","",INDEX($C$10:$R$26,AA7,Z7))</f>
        <v>373</v>
      </c>
    </row>
    <row r="8" spans="2:28" ht="15.75">
      <c r="U8" s="387"/>
      <c r="V8" s="147"/>
      <c r="W8" s="1">
        <f>+W7+1</f>
        <v>2</v>
      </c>
      <c r="X8" s="7">
        <f>'CALCULATOR SHEET'!I14</f>
        <v>36</v>
      </c>
      <c r="Y8" s="7">
        <f>'CALCULATOR SHEET'!J14</f>
        <v>86</v>
      </c>
      <c r="Z8" s="7">
        <f t="shared" ref="Z8:Z71" si="0">IF(X8=0,"",MATCH(CEILING(X8,6),$C$7:$R$7,0))</f>
        <v>3</v>
      </c>
      <c r="AA8" s="7">
        <f t="shared" ref="AA8:AA71" si="1">IF(Y8=0,"",MATCH(CEILING(Y8,6),$B$10:$B$26,0))</f>
        <v>12</v>
      </c>
      <c r="AB8" s="146">
        <f t="shared" ref="AB8:AB71" si="2">IF(Z8="","",INDEX($C$10:$R$26,AA8,Z8))</f>
        <v>177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35.5</v>
      </c>
      <c r="Y9" s="7">
        <f>'CALCULATOR SHEET'!J15</f>
        <v>86</v>
      </c>
      <c r="Z9" s="7">
        <f t="shared" si="0"/>
        <v>3</v>
      </c>
      <c r="AA9" s="7">
        <f t="shared" si="1"/>
        <v>12</v>
      </c>
      <c r="AB9" s="146">
        <f t="shared" si="2"/>
        <v>177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47</v>
      </c>
      <c r="Y10" s="7">
        <f>'CALCULATOR SHEET'!J16</f>
        <v>86</v>
      </c>
      <c r="Z10" s="7">
        <f t="shared" si="0"/>
        <v>5</v>
      </c>
      <c r="AA10" s="7">
        <f t="shared" si="1"/>
        <v>12</v>
      </c>
      <c r="AB10" s="146">
        <f t="shared" si="2"/>
        <v>235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439</v>
      </c>
    </row>
    <row r="8" spans="2:27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199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199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269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427</v>
      </c>
    </row>
    <row r="8" spans="2:27" ht="15" customHeight="1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193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193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259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583</v>
      </c>
    </row>
    <row r="8" spans="2:27" ht="15" customHeight="1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249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249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342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617</v>
      </c>
    </row>
    <row r="8" spans="2:27" ht="15" customHeight="1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259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259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358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62</v>
      </c>
      <c r="X7" s="7">
        <f>'CALCULATOR SHEET'!J13</f>
        <v>86</v>
      </c>
      <c r="Y7" s="7">
        <f>IF(W7=0,"",MATCH(CEILING(W7,6),$C$7:$Q$7,0))</f>
        <v>8</v>
      </c>
      <c r="Z7" s="7">
        <f>IF(X7=0,"",MATCH(CEILING(X7,6),$B$10:$B$26,0))</f>
        <v>12</v>
      </c>
      <c r="AA7" s="146">
        <f>IF(Y7="","",INDEX($C$10:$Q$26,Z7,Y7))</f>
        <v>617</v>
      </c>
    </row>
    <row r="8" spans="2:27" ht="15" customHeight="1">
      <c r="T8" s="387"/>
      <c r="V8" s="1">
        <f>+V7+1</f>
        <v>2</v>
      </c>
      <c r="W8" s="7">
        <f>'CALCULATOR SHEET'!I14</f>
        <v>36</v>
      </c>
      <c r="X8" s="7">
        <f>'CALCULATOR SHEET'!J14</f>
        <v>86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252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35.5</v>
      </c>
      <c r="X9" s="7">
        <f>'CALCULATOR SHEET'!J15</f>
        <v>86</v>
      </c>
      <c r="Y9" s="7">
        <f t="shared" si="1"/>
        <v>3</v>
      </c>
      <c r="Z9" s="7">
        <f t="shared" si="2"/>
        <v>12</v>
      </c>
      <c r="AA9" s="146">
        <f t="shared" si="3"/>
        <v>252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47</v>
      </c>
      <c r="X10" s="7">
        <f>'CALCULATOR SHEET'!J16</f>
        <v>86</v>
      </c>
      <c r="Y10" s="7">
        <f t="shared" si="1"/>
        <v>5</v>
      </c>
      <c r="Z10" s="7">
        <f t="shared" si="2"/>
        <v>12</v>
      </c>
      <c r="AA10" s="146">
        <f t="shared" si="3"/>
        <v>352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62</v>
      </c>
      <c r="Y5" s="7">
        <f>'PM-ORDER'!P5</f>
        <v>86</v>
      </c>
      <c r="Z5" s="7">
        <f>IF(X5&lt;&gt;"",MATCH(CEILING(X5,6),$C$4:$S$4,0),"")</f>
        <v>8</v>
      </c>
      <c r="AA5" s="7">
        <f>IF(X5&lt;&gt;"",MATCH(CEILING(Y5,6),$B$7:$B$26,0),"")</f>
        <v>12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36</v>
      </c>
      <c r="Y6" s="7">
        <f>'PM-ORDER'!P6</f>
        <v>86</v>
      </c>
      <c r="Z6" s="7">
        <f t="shared" ref="Z6:Z44" si="0">IF(X6&lt;&gt;"",MATCH(CEILING(X6,6),$C$4:$S$4,0),"")</f>
        <v>3</v>
      </c>
      <c r="AA6" s="7">
        <f t="shared" ref="AA6:AA44" si="1">IF(X6&lt;&gt;"",MATCH(CEILING(Y6,6),$B$7:$B$26,0),"")</f>
        <v>12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>
        <f>'PM-ORDER'!O7</f>
        <v>35.5</v>
      </c>
      <c r="Y7" s="7">
        <f>'PM-ORDER'!P7</f>
        <v>86</v>
      </c>
      <c r="Z7" s="7">
        <f t="shared" si="0"/>
        <v>3</v>
      </c>
      <c r="AA7" s="7">
        <f t="shared" si="1"/>
        <v>12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>
        <f>'PM-ORDER'!O8</f>
        <v>47</v>
      </c>
      <c r="Y8" s="7">
        <f>'PM-ORDER'!P8</f>
        <v>86</v>
      </c>
      <c r="Z8" s="7">
        <f t="shared" si="0"/>
        <v>5</v>
      </c>
      <c r="AA8" s="7">
        <f t="shared" si="1"/>
        <v>12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46031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010926EG-1</v>
      </c>
      <c r="D5" s="229">
        <f>IF('CALCULATOR SHEET'!D13&lt;&gt;"",'CALCULATOR SHEET'!$T$9,"")</f>
        <v>46031</v>
      </c>
      <c r="E5" s="230" t="str">
        <f>IF(D5&lt;&gt;"","BAJA SHADES","")</f>
        <v>BAJA SHADES</v>
      </c>
      <c r="F5" s="231" t="str">
        <f>IF(C5&lt;&gt;"",'CALCULATOR SHEET'!$D$9,"")</f>
        <v>LUIS ARMANDO PADILLA</v>
      </c>
      <c r="G5" s="231" t="str">
        <f>IF('CALCULATOR SHEET'!D13&lt;&gt;"",'CALCULATOR SHEET'!D13,"")</f>
        <v>ROLLER</v>
      </c>
      <c r="H5" s="231" t="str">
        <f>IF(Q5="CCL",BOMS!AG5,"")</f>
        <v>RL-MAN -BSCH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BO LONBEACH STONE</v>
      </c>
      <c r="M5" s="231" t="str">
        <f>IF(C5&lt;&gt;"",'CALCULATOR SHEET'!O13,"")</f>
        <v>STANDARD ROLL</v>
      </c>
      <c r="N5" s="231" t="str">
        <f>IF(C5&lt;&gt;"",'CALCULATOR SHEET'!H13,"")</f>
        <v>REC A</v>
      </c>
      <c r="O5" s="233">
        <f>IF(D5&lt;&gt;"",'CALCULATOR SHEET'!I13,"")</f>
        <v>62</v>
      </c>
      <c r="P5" s="233">
        <f>IF(E5&lt;&gt;"",'CALCULATOR SHEET'!J13,"")</f>
        <v>86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COTO PEDREGAL</v>
      </c>
      <c r="AB5" s="232"/>
      <c r="AC5" s="232"/>
      <c r="AD5" s="234"/>
      <c r="AE5" s="235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>BS 010926EG-1</v>
      </c>
      <c r="D6" s="229">
        <f>IF('CALCULATOR SHEET'!D14&lt;&gt;"",'CALCULATOR SHEET'!$T$9,"")</f>
        <v>46031</v>
      </c>
      <c r="E6" s="230" t="str">
        <f t="shared" ref="E6:E69" si="0">IF(D6&lt;&gt;"","BAJA SHADES","")</f>
        <v>BAJA SHADES</v>
      </c>
      <c r="F6" s="231" t="str">
        <f>IF(C6&lt;&gt;"",'CALCULATOR SHEET'!$D$9,"")</f>
        <v>LUIS ARMANDO PADILLA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BO LONBEACH STONE</v>
      </c>
      <c r="M6" s="231" t="str">
        <f>IF(C6&lt;&gt;"",'CALCULATOR SHEET'!O14,"")</f>
        <v>STANDARD ROLL</v>
      </c>
      <c r="N6" s="231" t="str">
        <f>IF(C6&lt;&gt;"",'CALCULATOR SHEET'!H14,"")</f>
        <v>REC B</v>
      </c>
      <c r="O6" s="233">
        <f>IF(D6&lt;&gt;"",'CALCULATOR SHEET'!I14,"")</f>
        <v>36</v>
      </c>
      <c r="P6" s="233">
        <f>IF(E6&lt;&gt;"",'CALCULATOR SHEET'!J14,"")</f>
        <v>86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5"/>
      <c r="V6" s="245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COTO PEDREGAL</v>
      </c>
      <c r="AB6" s="232"/>
      <c r="AC6" s="232"/>
      <c r="AD6" s="234"/>
      <c r="AE6" s="235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>BS 010926EG-1</v>
      </c>
      <c r="D7" s="229">
        <f>IF('CALCULATOR SHEET'!D15&lt;&gt;"",'CALCULATOR SHEET'!$T$9,"")</f>
        <v>46031</v>
      </c>
      <c r="E7" s="230" t="str">
        <f t="shared" si="0"/>
        <v>BAJA SHADES</v>
      </c>
      <c r="F7" s="231" t="str">
        <f>IF(C7&lt;&gt;"",'CALCULATOR SHEET'!$D$9,"")</f>
        <v>LUIS ARMANDO PADILLA</v>
      </c>
      <c r="G7" s="231" t="str">
        <f>IF('CALCULATOR SHEET'!D15&lt;&gt;"",'CALCULATOR SHEET'!D15,"")</f>
        <v>ROLLER</v>
      </c>
      <c r="H7" s="231" t="str">
        <f>IF(Q7="CCL",BOMS!AG7,"")</f>
        <v>RL-MAN -BSCH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LF SIDNEY IVORY</v>
      </c>
      <c r="M7" s="231" t="str">
        <f>IF(C7&lt;&gt;"",'CALCULATOR SHEET'!O15,"")</f>
        <v>STANDARD ROLL</v>
      </c>
      <c r="N7" s="231" t="str">
        <f>IF(C7&lt;&gt;"",'CALCULATOR SHEET'!H15,"")</f>
        <v>SALA A</v>
      </c>
      <c r="O7" s="233">
        <f>IF(D7&lt;&gt;"",'CALCULATOR SHEET'!I15,"")</f>
        <v>35.5</v>
      </c>
      <c r="P7" s="233">
        <f>IF(E7&lt;&gt;"",'CALCULATOR SHEET'!J15,"")</f>
        <v>86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INSIDE</v>
      </c>
      <c r="T7" s="232"/>
      <c r="U7" s="245"/>
      <c r="V7" s="245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COTO PEDREGAL</v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>BS 010926EG-1</v>
      </c>
      <c r="D8" s="229">
        <f>IF('CALCULATOR SHEET'!D16&lt;&gt;"",'CALCULATOR SHEET'!$T$9,"")</f>
        <v>46031</v>
      </c>
      <c r="E8" s="230" t="str">
        <f t="shared" si="0"/>
        <v>BAJA SHADES</v>
      </c>
      <c r="F8" s="231" t="str">
        <f>IF(C8&lt;&gt;"",'CALCULATOR SHEET'!$D$9,"")</f>
        <v>LUIS ARMANDO PADILLA</v>
      </c>
      <c r="G8" s="231" t="str">
        <f>IF('CALCULATOR SHEET'!D16&lt;&gt;"",'CALCULATOR SHEET'!D16,"")</f>
        <v>ROLLER</v>
      </c>
      <c r="H8" s="231" t="str">
        <f>IF(Q8="CCL",BOMS!AG8,"")</f>
        <v>RL-MAN -BSCH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LF SIDNEY IVORY</v>
      </c>
      <c r="M8" s="231" t="str">
        <f>IF(C8&lt;&gt;"",'CALCULATOR SHEET'!O16,"")</f>
        <v>STANDARD ROLL</v>
      </c>
      <c r="N8" s="231" t="str">
        <f>IF(C8&lt;&gt;"",'CALCULATOR SHEET'!H16,"")</f>
        <v>SALA B</v>
      </c>
      <c r="O8" s="233">
        <f>IF(D8&lt;&gt;"",'CALCULATOR SHEET'!I16,"")</f>
        <v>47</v>
      </c>
      <c r="P8" s="233">
        <f>IF(E8&lt;&gt;"",'CALCULATOR SHEET'!J16,"")</f>
        <v>86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5"/>
      <c r="V8" s="245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COTO PEDREGAL</v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5"/>
      <c r="V9" s="245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5"/>
      <c r="V10" s="245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5"/>
      <c r="V11" s="245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62</v>
      </c>
      <c r="AK7" s="36">
        <f>'CALCULATOR SHEET'!J13</f>
        <v>86</v>
      </c>
      <c r="AL7" s="36">
        <f>IF(AJ7=0,"",MATCH(CEILING(AJ7,6),$D$4:$Z$4,0))</f>
        <v>8</v>
      </c>
      <c r="AM7" s="36">
        <f>IF(AK7=0,"",MATCH(CEILING(AK7,6),$C$7:$C$28,0))</f>
        <v>12</v>
      </c>
      <c r="AN7" s="57">
        <f>IF(AL7="","",INDEX($D$7:$Z$28,AM7,AL7))</f>
        <v>153</v>
      </c>
      <c r="AO7" s="58"/>
      <c r="AP7" s="57">
        <f>IF(AJ7&gt;0,HLOOKUP(CEILING(AJ7,6),$D$30:$Z$31,2,0),"")</f>
        <v>71</v>
      </c>
      <c r="AQ7" s="57">
        <f>IF(AJ7&gt;0,HLOOKUP(CEILING(AJ7,6),$D$33:$Z$34,2,0),"")</f>
        <v>76</v>
      </c>
      <c r="AR7" s="59">
        <f>IF(AJ7&gt;0,HLOOKUP(CEILING(AJ7,6),$D$36:$Z$37,2,0))</f>
        <v>41</v>
      </c>
      <c r="AS7" s="57">
        <f>IF(AL7="","",INDEX($AX$6:$BT$27,AM7,AL7))</f>
        <v>471</v>
      </c>
      <c r="AT7" s="37">
        <f>IF(AK7&gt;0,VLOOKUP(CEILING(AK7,6),$AA$7:$AB$28,2,0),"")</f>
        <v>75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36</v>
      </c>
      <c r="AK8" s="36">
        <f>'CALCULATOR SHEET'!J14</f>
        <v>86</v>
      </c>
      <c r="AL8" s="36">
        <f t="shared" ref="AL8:AL71" si="0">IF(AJ8=0,"",MATCH(CEILING(AJ8,6),$D$4:$Z$4,0))</f>
        <v>3</v>
      </c>
      <c r="AM8" s="36">
        <f t="shared" ref="AM8:AM71" si="1">IF(AK8=0,"",MATCH(CEILING(AK8,6),$C$7:$C$28,0))</f>
        <v>12</v>
      </c>
      <c r="AN8" s="57">
        <f t="shared" ref="AN8:AN71" si="2">IF(AL8="","",INDEX($D$7:$Z$28,AM8,AL8))</f>
        <v>107</v>
      </c>
      <c r="AO8" s="58"/>
      <c r="AP8" s="57">
        <f t="shared" ref="AP8:AP71" si="3">IF(AJ8&gt;0,HLOOKUP(CEILING(AJ8,6),$D$30:$Z$31,2,0),"")</f>
        <v>57</v>
      </c>
      <c r="AQ8" s="57">
        <f t="shared" ref="AQ8:AQ71" si="4">IF(AJ8&gt;0,HLOOKUP(CEILING(AJ8,6),$D$33:$Z$34,2,0),"")</f>
        <v>45</v>
      </c>
      <c r="AR8" s="59">
        <f t="shared" ref="AR8:AR71" si="5">IF(AJ8&gt;0,HLOOKUP(CEILING(AJ8,6),$D$36:$Z$37,2,0))</f>
        <v>22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75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35.5</v>
      </c>
      <c r="AK9" s="36">
        <f>'CALCULATOR SHEET'!J15</f>
        <v>86</v>
      </c>
      <c r="AL9" s="36">
        <f t="shared" si="0"/>
        <v>3</v>
      </c>
      <c r="AM9" s="36">
        <f t="shared" si="1"/>
        <v>12</v>
      </c>
      <c r="AN9" s="57">
        <f t="shared" si="2"/>
        <v>107</v>
      </c>
      <c r="AO9" s="58"/>
      <c r="AP9" s="57">
        <f t="shared" si="3"/>
        <v>57</v>
      </c>
      <c r="AQ9" s="57">
        <f t="shared" si="4"/>
        <v>45</v>
      </c>
      <c r="AR9" s="59">
        <f t="shared" si="5"/>
        <v>22</v>
      </c>
      <c r="AS9" s="57">
        <f t="shared" si="6"/>
        <v>471</v>
      </c>
      <c r="AT9" s="37">
        <f t="shared" si="7"/>
        <v>75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47</v>
      </c>
      <c r="AK10" s="36">
        <f>'CALCULATOR SHEET'!J16</f>
        <v>86</v>
      </c>
      <c r="AL10" s="36">
        <f t="shared" si="0"/>
        <v>5</v>
      </c>
      <c r="AM10" s="36">
        <f t="shared" si="1"/>
        <v>12</v>
      </c>
      <c r="AN10" s="57">
        <f t="shared" si="2"/>
        <v>125</v>
      </c>
      <c r="AO10" s="58"/>
      <c r="AP10" s="57">
        <f t="shared" si="3"/>
        <v>62</v>
      </c>
      <c r="AQ10" s="57">
        <f t="shared" si="4"/>
        <v>56</v>
      </c>
      <c r="AR10" s="59">
        <f t="shared" si="5"/>
        <v>30</v>
      </c>
      <c r="AS10" s="57">
        <f t="shared" si="6"/>
        <v>471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86</v>
      </c>
      <c r="AL7" s="53">
        <f>IF(AJ7=0,"",MATCH(CEILING(AJ7,6),$D$4:$Z$4,0))</f>
        <v>8</v>
      </c>
      <c r="AM7" s="53">
        <f>IF(AK7=0,"",MATCH(CEILING(AK7,6),$C$7:$C$28,0))</f>
        <v>12</v>
      </c>
      <c r="AN7" s="54">
        <f>IF(AL7="","",INDEX($D$7:$Z$28,AM7,AL7))</f>
        <v>165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86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113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1"/>
        <v>12</v>
      </c>
      <c r="AN9" s="54">
        <f t="shared" si="2"/>
        <v>113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1"/>
        <v>12</v>
      </c>
      <c r="AN10" s="54">
        <f t="shared" si="2"/>
        <v>134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62</v>
      </c>
      <c r="AK7" s="53">
        <f>'CALCULATOR SHEET'!J13</f>
        <v>86</v>
      </c>
      <c r="AL7" s="53">
        <f t="shared" ref="AL7:AL70" si="0">IF(AJ7=0,"",MATCH(CEILING(AJ7,6),$D$4:$Z$4,0))</f>
        <v>8</v>
      </c>
      <c r="AM7" s="53">
        <f>IF(AK7=0,"",MATCH(CEILING(AK7,6),$C$7:$C$28,0))</f>
        <v>12</v>
      </c>
      <c r="AN7" s="54">
        <f t="shared" ref="AN7:AN70" si="1">IF(AL7="","",INDEX($D$7:$Z$28,AM7,AL7))</f>
        <v>192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86</v>
      </c>
      <c r="AL8" s="53">
        <f t="shared" si="0"/>
        <v>3</v>
      </c>
      <c r="AM8" s="53">
        <f t="shared" ref="AM8:AM71" si="2">IF(AK8=0,"",MATCH(CEILING(AK8,6),$C$7:$C$28,0))</f>
        <v>12</v>
      </c>
      <c r="AN8" s="54">
        <f t="shared" si="1"/>
        <v>128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35.5</v>
      </c>
      <c r="AK9" s="53">
        <f>'CALCULATOR SHEET'!J15</f>
        <v>86</v>
      </c>
      <c r="AL9" s="53">
        <f t="shared" si="0"/>
        <v>3</v>
      </c>
      <c r="AM9" s="53">
        <f t="shared" si="2"/>
        <v>12</v>
      </c>
      <c r="AN9" s="54">
        <f t="shared" si="1"/>
        <v>128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47</v>
      </c>
      <c r="AK10" s="53">
        <f>'CALCULATOR SHEET'!J16</f>
        <v>86</v>
      </c>
      <c r="AL10" s="53">
        <f t="shared" si="0"/>
        <v>5</v>
      </c>
      <c r="AM10" s="53">
        <f t="shared" si="2"/>
        <v>12</v>
      </c>
      <c r="AN10" s="54">
        <f t="shared" si="1"/>
        <v>153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2024-12-28T19:04:15Z</cp:lastPrinted>
  <dcterms:created xsi:type="dcterms:W3CDTF">2016-09-27T19:33:28Z</dcterms:created>
  <dcterms:modified xsi:type="dcterms:W3CDTF">2026-01-09T18:26:12Z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