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2 DICIEMBRE 25\PO BS 121625EG-1 CYNTHYA MONTENEGRO\"/>
    </mc:Choice>
  </mc:AlternateContent>
  <xr:revisionPtr revIDLastSave="0" documentId="8_{DC1A283A-86F6-46A0-BFCD-B5AB79455F84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38" l="1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X44" i="59"/>
  <c r="Z44" i="59" s="1"/>
  <c r="W44" i="59"/>
  <c r="Y44" i="59" s="1"/>
  <c r="X43" i="59"/>
  <c r="Z43" i="59" s="1"/>
  <c r="W43" i="59"/>
  <c r="Y43" i="59" s="1"/>
  <c r="AA43" i="59" s="1"/>
  <c r="X42" i="59"/>
  <c r="Z42" i="59" s="1"/>
  <c r="W42" i="59"/>
  <c r="Y42" i="59" s="1"/>
  <c r="X41" i="59"/>
  <c r="Z41" i="59" s="1"/>
  <c r="W41" i="59"/>
  <c r="Y41" i="59" s="1"/>
  <c r="X40" i="59"/>
  <c r="Z40" i="59" s="1"/>
  <c r="W40" i="59"/>
  <c r="Y40" i="59" s="1"/>
  <c r="X39" i="59"/>
  <c r="Z39" i="59" s="1"/>
  <c r="W39" i="59"/>
  <c r="Y39" i="59" s="1"/>
  <c r="AA39" i="59" s="1"/>
  <c r="X38" i="59"/>
  <c r="Z38" i="59" s="1"/>
  <c r="W38" i="59"/>
  <c r="Y38" i="59" s="1"/>
  <c r="X37" i="59"/>
  <c r="Z37" i="59" s="1"/>
  <c r="W37" i="59"/>
  <c r="Y37" i="59" s="1"/>
  <c r="AA37" i="59" s="1"/>
  <c r="X36" i="59"/>
  <c r="Z36" i="59" s="1"/>
  <c r="W36" i="59"/>
  <c r="Y36" i="59" s="1"/>
  <c r="X35" i="59"/>
  <c r="Z35" i="59" s="1"/>
  <c r="W35" i="59"/>
  <c r="Y35" i="59" s="1"/>
  <c r="X34" i="59"/>
  <c r="Z34" i="59" s="1"/>
  <c r="W34" i="59"/>
  <c r="Y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T26" i="59"/>
  <c r="X25" i="59"/>
  <c r="Z25" i="59" s="1"/>
  <c r="W25" i="59"/>
  <c r="Y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T18" i="59"/>
  <c r="X17" i="59"/>
  <c r="Z17" i="59" s="1"/>
  <c r="W17" i="59"/>
  <c r="Y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8" i="59" l="1"/>
  <c r="AA16" i="59"/>
  <c r="AA45" i="59"/>
  <c r="AA42" i="59"/>
  <c r="AA41" i="59"/>
  <c r="AA40" i="59"/>
  <c r="AA44" i="59"/>
  <c r="AA38" i="59"/>
  <c r="AA35" i="59"/>
  <c r="AA34" i="59"/>
  <c r="AA36" i="59"/>
  <c r="AA30" i="59"/>
  <c r="AA26" i="59"/>
  <c r="AA25" i="59"/>
  <c r="AA23" i="59"/>
  <c r="AA22" i="59"/>
  <c r="AA21" i="59"/>
  <c r="AA17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H54" i="23" s="1"/>
  <c r="I54" i="23" s="1"/>
  <c r="J54" i="23" s="1"/>
  <c r="K54" i="23" s="1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H44" i="23"/>
  <c r="I44" i="23" s="1"/>
  <c r="J44" i="23" s="1"/>
  <c r="K44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X44" i="58"/>
  <c r="Z44" i="58" s="1"/>
  <c r="W44" i="58"/>
  <c r="Y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21" i="58" l="1"/>
  <c r="AA44" i="58"/>
  <c r="AA45" i="58"/>
  <c r="AA35" i="58"/>
  <c r="AA29" i="58"/>
  <c r="AA24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X44" i="55"/>
  <c r="Z44" i="55" s="1"/>
  <c r="W44" i="55"/>
  <c r="Y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X39" i="55"/>
  <c r="Z39" i="55" s="1"/>
  <c r="W39" i="55"/>
  <c r="Y39" i="55" s="1"/>
  <c r="X38" i="55"/>
  <c r="Z38" i="55" s="1"/>
  <c r="W38" i="55"/>
  <c r="Y38" i="55" s="1"/>
  <c r="AA38" i="55" s="1"/>
  <c r="X37" i="55"/>
  <c r="Z37" i="55" s="1"/>
  <c r="W37" i="55"/>
  <c r="Y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45" i="55" l="1"/>
  <c r="AA44" i="56"/>
  <c r="AA44" i="57"/>
  <c r="AA40" i="55"/>
  <c r="AA44" i="55"/>
  <c r="AA39" i="55"/>
  <c r="AA38" i="57"/>
  <c r="AA37" i="55"/>
  <c r="AA29" i="55"/>
  <c r="AA24" i="56"/>
  <c r="AA23" i="57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P20" i="38" s="1"/>
  <c r="AA13" i="56"/>
  <c r="AA13" i="57"/>
  <c r="AP19" i="38" s="1"/>
  <c r="AA13" i="55"/>
  <c r="AA12" i="57"/>
  <c r="AP18" i="38" s="1"/>
  <c r="AA12" i="56"/>
  <c r="AA12" i="55"/>
  <c r="AA11" i="55"/>
  <c r="AA11" i="57"/>
  <c r="AP17" i="38" s="1"/>
  <c r="AA11" i="56"/>
  <c r="AA10" i="57"/>
  <c r="AP16" i="38" s="1"/>
  <c r="AA10" i="55"/>
  <c r="AA10" i="56"/>
  <c r="AA9" i="55"/>
  <c r="AA9" i="57"/>
  <c r="AP15" i="38" s="1"/>
  <c r="AA9" i="56"/>
  <c r="AA8" i="57"/>
  <c r="AP14" i="38" s="1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K44" i="52"/>
  <c r="AM44" i="52" s="1"/>
  <c r="AJ44" i="52"/>
  <c r="AL44" i="52" s="1"/>
  <c r="AK43" i="52"/>
  <c r="AM43" i="52" s="1"/>
  <c r="AJ43" i="52"/>
  <c r="AL43" i="52" s="1"/>
  <c r="AK42" i="52"/>
  <c r="AM42" i="52" s="1"/>
  <c r="AJ42" i="52"/>
  <c r="AL42" i="52" s="1"/>
  <c r="AK41" i="52"/>
  <c r="AM41" i="52" s="1"/>
  <c r="AJ41" i="52"/>
  <c r="AL41" i="52" s="1"/>
  <c r="AK40" i="52"/>
  <c r="AM40" i="52" s="1"/>
  <c r="AJ40" i="52"/>
  <c r="AL40" i="52" s="1"/>
  <c r="AK39" i="52"/>
  <c r="AM39" i="52" s="1"/>
  <c r="AJ39" i="52"/>
  <c r="AL39" i="52" s="1"/>
  <c r="AK38" i="52"/>
  <c r="AM38" i="52" s="1"/>
  <c r="AJ38" i="52"/>
  <c r="AL38" i="52" s="1"/>
  <c r="AK37" i="52"/>
  <c r="AM37" i="52" s="1"/>
  <c r="AJ37" i="52"/>
  <c r="AL37" i="52" s="1"/>
  <c r="AK36" i="52"/>
  <c r="AM36" i="52" s="1"/>
  <c r="AJ36" i="52"/>
  <c r="AL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43" i="52" l="1"/>
  <c r="AN41" i="52"/>
  <c r="AN39" i="52"/>
  <c r="AN45" i="52"/>
  <c r="AN42" i="52"/>
  <c r="AN44" i="52"/>
  <c r="AN37" i="52"/>
  <c r="AN36" i="52"/>
  <c r="AN19" i="52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K43" i="51"/>
  <c r="AM43" i="51" s="1"/>
  <c r="AJ43" i="51"/>
  <c r="AL43" i="51" s="1"/>
  <c r="AK42" i="51"/>
  <c r="AM42" i="51" s="1"/>
  <c r="AJ42" i="51"/>
  <c r="AL42" i="51" s="1"/>
  <c r="AK41" i="51"/>
  <c r="AM41" i="51" s="1"/>
  <c r="AJ41" i="51"/>
  <c r="AL41" i="51" s="1"/>
  <c r="AN41" i="51" s="1"/>
  <c r="AK40" i="51"/>
  <c r="AM40" i="51" s="1"/>
  <c r="AJ40" i="51"/>
  <c r="AL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43" i="51" l="1"/>
  <c r="AN40" i="51"/>
  <c r="AN42" i="51"/>
  <c r="AN44" i="51"/>
  <c r="AN36" i="51"/>
  <c r="AN24" i="5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AT51" i="38"/>
  <c r="AT50" i="38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A45" i="49"/>
  <c r="AC45" i="49" s="1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A44" i="49"/>
  <c r="AC44" i="49" s="1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AF42" i="49" l="1"/>
  <c r="AF41" i="49"/>
  <c r="AF45" i="49"/>
  <c r="AF44" i="49"/>
  <c r="AF36" i="49"/>
  <c r="AF37" i="49"/>
  <c r="AF35" i="49"/>
  <c r="O66" i="46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F21" i="50"/>
  <c r="AF33" i="50"/>
  <c r="R35" i="47"/>
  <c r="J75" i="47"/>
  <c r="K75" i="47" s="1"/>
  <c r="R107" i="47"/>
  <c r="L19" i="47"/>
  <c r="AF22" i="50"/>
  <c r="Z15" i="50"/>
  <c r="Z23" i="50"/>
  <c r="Z31" i="50"/>
  <c r="AA19" i="47"/>
  <c r="AF23" i="50"/>
  <c r="AF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26" i="38"/>
  <c r="AR26" i="38" s="1"/>
  <c r="AC39" i="50" l="1"/>
  <c r="AG39" i="50" s="1"/>
  <c r="H39" i="47" s="1"/>
  <c r="AC36" i="50"/>
  <c r="AG36" i="50" s="1"/>
  <c r="H36" i="47" s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4" i="50"/>
  <c r="H34" i="47" s="1"/>
  <c r="AA5" i="50"/>
  <c r="Z5" i="50"/>
  <c r="AA16" i="50"/>
  <c r="Z16" i="50"/>
  <c r="AA8" i="50"/>
  <c r="Z8" i="50"/>
  <c r="AA41" i="50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A40" i="50"/>
  <c r="Z40" i="50"/>
  <c r="AA44" i="50"/>
  <c r="Z44" i="50"/>
  <c r="AA32" i="50"/>
  <c r="Z32" i="50"/>
  <c r="AA35" i="50"/>
  <c r="Z35" i="50"/>
  <c r="AA43" i="50"/>
  <c r="Z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Z33" i="50"/>
  <c r="AA29" i="50"/>
  <c r="AF29" i="50" s="1"/>
  <c r="Z29" i="50"/>
  <c r="AA12" i="50"/>
  <c r="Z12" i="50"/>
  <c r="P74" i="46"/>
  <c r="AC42" i="50" l="1"/>
  <c r="AG42" i="50" s="1"/>
  <c r="H42" i="47" s="1"/>
  <c r="AC33" i="50"/>
  <c r="AG33" i="50" s="1"/>
  <c r="H33" i="47" s="1"/>
  <c r="AF41" i="50"/>
  <c r="AC41" i="50"/>
  <c r="AC44" i="50"/>
  <c r="AG44" i="50" s="1"/>
  <c r="AC43" i="50"/>
  <c r="AG43" i="50" s="1"/>
  <c r="H43" i="47" s="1"/>
  <c r="AF40" i="50"/>
  <c r="AC40" i="50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41" i="50" l="1"/>
  <c r="H41" i="47" s="1"/>
  <c r="AG40" i="50"/>
  <c r="H40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L52" i="46"/>
  <c r="H52" i="46"/>
  <c r="G52" i="46"/>
  <c r="F52" i="46"/>
  <c r="D52" i="46"/>
  <c r="L51" i="46"/>
  <c r="H51" i="46"/>
  <c r="G51" i="46"/>
  <c r="F51" i="46"/>
  <c r="D51" i="46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B42" i="42"/>
  <c r="X42" i="42"/>
  <c r="Z42" i="42" s="1"/>
  <c r="W42" i="42"/>
  <c r="Y42" i="42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AB46" i="41"/>
  <c r="AA46" i="41"/>
  <c r="W46" i="41"/>
  <c r="Y46" i="41" s="1"/>
  <c r="V46" i="41"/>
  <c r="X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K43" i="35"/>
  <c r="AM43" i="35" s="1"/>
  <c r="AJ43" i="35"/>
  <c r="AL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K38" i="34"/>
  <c r="AM38" i="34" s="1"/>
  <c r="AJ38" i="34"/>
  <c r="AL38" i="34" s="1"/>
  <c r="AK37" i="34"/>
  <c r="AM37" i="34" s="1"/>
  <c r="AJ37" i="34"/>
  <c r="AL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K44" i="33"/>
  <c r="AM44" i="33" s="1"/>
  <c r="AJ44" i="33"/>
  <c r="AL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K42" i="32"/>
  <c r="AM42" i="32" s="1"/>
  <c r="AJ42" i="32"/>
  <c r="AL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K38" i="32"/>
  <c r="AM38" i="32" s="1"/>
  <c r="AJ38" i="32"/>
  <c r="AL38" i="32" s="1"/>
  <c r="AK37" i="32"/>
  <c r="AM37" i="32" s="1"/>
  <c r="AJ37" i="32"/>
  <c r="AL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51" i="38" s="1"/>
  <c r="AR51" i="38" s="1"/>
  <c r="AJ45" i="7"/>
  <c r="AR45" i="7" s="1"/>
  <c r="AK44" i="7"/>
  <c r="AU44" i="7" s="1"/>
  <c r="AJ50" i="38" s="1"/>
  <c r="AR50" i="38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41" i="38" s="1"/>
  <c r="AR41" i="38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35" i="38" s="1"/>
  <c r="AR35" i="38" s="1"/>
  <c r="AJ29" i="7"/>
  <c r="AR29" i="7" s="1"/>
  <c r="AK28" i="7"/>
  <c r="AM28" i="7" s="1"/>
  <c r="AJ28" i="7"/>
  <c r="AK27" i="7"/>
  <c r="AU27" i="7" s="1"/>
  <c r="AJ33" i="38" s="1"/>
  <c r="AR33" i="38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7" i="38" s="1"/>
  <c r="AR27" i="38" s="1"/>
  <c r="AJ21" i="7"/>
  <c r="AQ21" i="7" s="1"/>
  <c r="AK20" i="7"/>
  <c r="AU20" i="7" s="1"/>
  <c r="AJ20" i="7"/>
  <c r="AP20" i="7" s="1"/>
  <c r="AK19" i="7"/>
  <c r="AU19" i="7" s="1"/>
  <c r="AJ25" i="38" s="1"/>
  <c r="AR25" i="38" s="1"/>
  <c r="AJ19" i="7"/>
  <c r="AQ19" i="7" s="1"/>
  <c r="AK18" i="7"/>
  <c r="AU18" i="7" s="1"/>
  <c r="AJ24" i="38" s="1"/>
  <c r="AR24" i="38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45" i="36" l="1"/>
  <c r="AN45" i="33"/>
  <c r="Z47" i="41"/>
  <c r="AB45" i="44"/>
  <c r="AN44" i="33"/>
  <c r="AN44" i="35"/>
  <c r="AA43" i="42"/>
  <c r="AN40" i="37"/>
  <c r="AN39" i="34"/>
  <c r="AN39" i="32"/>
  <c r="AN43" i="32"/>
  <c r="AN42" i="32"/>
  <c r="AN44" i="34"/>
  <c r="AN43" i="35"/>
  <c r="Z44" i="41"/>
  <c r="Z46" i="41"/>
  <c r="AA42" i="42"/>
  <c r="AA44" i="43"/>
  <c r="AN38" i="33"/>
  <c r="AN38" i="35"/>
  <c r="AN37" i="32"/>
  <c r="AN37" i="34"/>
  <c r="AN37" i="36"/>
  <c r="AN36" i="37"/>
  <c r="AN27" i="37"/>
  <c r="AA26" i="42"/>
  <c r="AN24" i="33"/>
  <c r="Z26" i="41"/>
  <c r="AA24" i="43"/>
  <c r="AN23" i="34"/>
  <c r="AN23" i="35"/>
  <c r="AN22" i="35"/>
  <c r="AN21" i="34"/>
  <c r="AN19" i="32"/>
  <c r="AN19" i="34"/>
  <c r="Z22" i="41"/>
  <c r="AA20" i="43"/>
  <c r="AN31" i="37"/>
  <c r="AN25" i="32"/>
  <c r="AD31" i="38" s="1"/>
  <c r="AN26" i="35"/>
  <c r="Z24" i="41"/>
  <c r="AB23" i="44"/>
  <c r="AN23" i="32"/>
  <c r="AD29" i="38" s="1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D33" i="38" s="1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D40" i="38" s="1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AB43" i="44"/>
  <c r="AA21" i="42"/>
  <c r="AA29" i="42"/>
  <c r="AA37" i="42"/>
  <c r="AA45" i="42"/>
  <c r="AN20" i="32"/>
  <c r="AN24" i="32"/>
  <c r="AN28" i="32"/>
  <c r="AN32" i="32"/>
  <c r="AD38" i="38" s="1"/>
  <c r="AN36" i="32"/>
  <c r="AD42" i="38" s="1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AN26" i="37"/>
  <c r="AN30" i="37"/>
  <c r="AN34" i="37"/>
  <c r="AN38" i="37"/>
  <c r="AN42" i="37"/>
  <c r="AN46" i="37"/>
  <c r="AA24" i="42"/>
  <c r="AA32" i="42"/>
  <c r="AA40" i="42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J29" i="38" s="1"/>
  <c r="AR29" i="38" s="1"/>
  <c r="AP31" i="7"/>
  <c r="AR33" i="7"/>
  <c r="AR35" i="7"/>
  <c r="AM27" i="7"/>
  <c r="AM46" i="7"/>
  <c r="AU22" i="7"/>
  <c r="AJ28" i="38" s="1"/>
  <c r="AR28" i="38" s="1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D21" i="38" s="1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J37" i="38" s="1"/>
  <c r="AR37" i="38" s="1"/>
  <c r="AM38" i="7"/>
  <c r="AP38" i="7"/>
  <c r="AP30" i="7"/>
  <c r="AR30" i="7"/>
  <c r="AR26" i="7"/>
  <c r="AU26" i="7"/>
  <c r="AJ32" i="38" s="1"/>
  <c r="AR32" i="38" s="1"/>
  <c r="AQ38" i="7"/>
  <c r="AU38" i="7"/>
  <c r="AJ44" i="38" s="1"/>
  <c r="AR44" i="38" s="1"/>
  <c r="AL46" i="7"/>
  <c r="AM47" i="7"/>
  <c r="AU43" i="7"/>
  <c r="AJ49" i="38" s="1"/>
  <c r="AR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D20" i="38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D15" i="38" s="1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J36" i="38" s="1"/>
  <c r="AR36" i="38" s="1"/>
  <c r="AM32" i="7"/>
  <c r="AU32" i="7"/>
  <c r="AJ38" i="38" s="1"/>
  <c r="AR38" i="38" s="1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J21" i="38" s="1"/>
  <c r="AR21" i="38" s="1"/>
  <c r="AM8" i="7"/>
  <c r="AT11" i="7"/>
  <c r="AM11" i="7"/>
  <c r="AN11" i="7" s="1"/>
  <c r="AD17" i="38" s="1"/>
  <c r="AU17" i="7"/>
  <c r="AJ23" i="38" s="1"/>
  <c r="AR23" i="38" s="1"/>
  <c r="AM17" i="7"/>
  <c r="AM24" i="7"/>
  <c r="AU24" i="7"/>
  <c r="AJ30" i="38" s="1"/>
  <c r="AR30" i="38" s="1"/>
  <c r="AT24" i="7"/>
  <c r="AU28" i="7"/>
  <c r="AJ34" i="38" s="1"/>
  <c r="AR34" i="38" s="1"/>
  <c r="AT28" i="7"/>
  <c r="AM33" i="7"/>
  <c r="AU33" i="7"/>
  <c r="AJ39" i="38" s="1"/>
  <c r="AR39" i="38" s="1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D44" i="38" s="1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J31" i="38" s="1"/>
  <c r="AR31" i="38" s="1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J20" i="38" s="1"/>
  <c r="AR20" i="38" s="1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U44" i="38" l="1"/>
  <c r="U31" i="38"/>
  <c r="AD23" i="38"/>
  <c r="U23" i="38" s="1"/>
  <c r="AS54" i="7"/>
  <c r="U38" i="38"/>
  <c r="AN29" i="7"/>
  <c r="AD35" i="38" s="1"/>
  <c r="U35" i="38" s="1"/>
  <c r="U21" i="38"/>
  <c r="U20" i="38"/>
  <c r="U42" i="38"/>
  <c r="U40" i="38"/>
  <c r="U33" i="38"/>
  <c r="AS31" i="7"/>
  <c r="AN30" i="7"/>
  <c r="AD36" i="38" s="1"/>
  <c r="U36" i="38" s="1"/>
  <c r="U15" i="38"/>
  <c r="AN21" i="7"/>
  <c r="AD27" i="38" s="1"/>
  <c r="U27" i="38" s="1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D32" i="38" s="1"/>
  <c r="U32" i="38" s="1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D47" i="38" s="1"/>
  <c r="AN18" i="7"/>
  <c r="AN25" i="7"/>
  <c r="AN31" i="7"/>
  <c r="AD37" i="38" s="1"/>
  <c r="U37" i="38" s="1"/>
  <c r="AS33" i="7"/>
  <c r="AN33" i="7"/>
  <c r="AD39" i="38" s="1"/>
  <c r="U39" i="38" s="1"/>
  <c r="AS12" i="7"/>
  <c r="AN40" i="7"/>
  <c r="AD46" i="38" s="1"/>
  <c r="U46" i="38" s="1"/>
  <c r="AS29" i="7"/>
  <c r="AN37" i="7"/>
  <c r="AD43" i="38" s="1"/>
  <c r="U43" i="38" s="1"/>
  <c r="AS37" i="7"/>
  <c r="AS42" i="7"/>
  <c r="AN42" i="7"/>
  <c r="AD48" i="38" s="1"/>
  <c r="AS71" i="7"/>
  <c r="AS15" i="7"/>
  <c r="AS39" i="7"/>
  <c r="AN39" i="7"/>
  <c r="AD45" i="38" s="1"/>
  <c r="U45" i="38" s="1"/>
  <c r="AS65" i="7"/>
  <c r="AN65" i="7"/>
  <c r="AS67" i="7"/>
  <c r="AN67" i="7"/>
  <c r="AN12" i="7"/>
  <c r="AS59" i="7"/>
  <c r="AN59" i="7"/>
  <c r="AN24" i="7"/>
  <c r="AD30" i="38" s="1"/>
  <c r="U30" i="38" s="1"/>
  <c r="AS24" i="7"/>
  <c r="AN85" i="7"/>
  <c r="AS85" i="7"/>
  <c r="AS68" i="7"/>
  <c r="AN68" i="7"/>
  <c r="AN55" i="7"/>
  <c r="AS55" i="7"/>
  <c r="AN35" i="7"/>
  <c r="AD41" i="38" s="1"/>
  <c r="U41" i="38" s="1"/>
  <c r="AS35" i="7"/>
  <c r="AS76" i="7"/>
  <c r="AN76" i="7"/>
  <c r="AN77" i="7"/>
  <c r="AS77" i="7"/>
  <c r="AS19" i="7"/>
  <c r="AN19" i="7"/>
  <c r="AD25" i="38" s="1"/>
  <c r="U25" i="38" s="1"/>
  <c r="AS72" i="7"/>
  <c r="AN72" i="7"/>
  <c r="AS27" i="7"/>
  <c r="AN27" i="7"/>
  <c r="AN69" i="7"/>
  <c r="AS69" i="7"/>
  <c r="AS51" i="7"/>
  <c r="AN51" i="7"/>
  <c r="AS32" i="7"/>
  <c r="AN32" i="7"/>
  <c r="AN8" i="7"/>
  <c r="AD14" i="38" s="1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D16" i="38" s="1"/>
  <c r="AS10" i="7"/>
  <c r="AS20" i="7"/>
  <c r="AN20" i="7"/>
  <c r="AD26" i="38" s="1"/>
  <c r="U26" i="38" s="1"/>
  <c r="AN36" i="7"/>
  <c r="AS36" i="7"/>
  <c r="AN13" i="7"/>
  <c r="AS13" i="7"/>
  <c r="AN22" i="7"/>
  <c r="AD28" i="38" s="1"/>
  <c r="U28" i="38" s="1"/>
  <c r="AS22" i="7"/>
  <c r="AN80" i="7"/>
  <c r="AS80" i="7"/>
  <c r="AS28" i="7"/>
  <c r="AN28" i="7"/>
  <c r="AD34" i="38" s="1"/>
  <c r="U34" i="38" s="1"/>
  <c r="AN88" i="7"/>
  <c r="AS88" i="7"/>
  <c r="AN45" i="7"/>
  <c r="AD51" i="38" s="1"/>
  <c r="U51" i="38" s="1"/>
  <c r="AS45" i="7"/>
  <c r="AS43" i="7"/>
  <c r="AN43" i="7"/>
  <c r="AD49" i="38" s="1"/>
  <c r="U49" i="38" s="1"/>
  <c r="AS56" i="7"/>
  <c r="AN56" i="7"/>
  <c r="AS84" i="7"/>
  <c r="AN84" i="7"/>
  <c r="AS64" i="7"/>
  <c r="AN64" i="7"/>
  <c r="AN48" i="7"/>
  <c r="AS48" i="7"/>
  <c r="AN16" i="7"/>
  <c r="AD22" i="38" s="1"/>
  <c r="U22" i="38" s="1"/>
  <c r="AS16" i="7"/>
  <c r="AN63" i="7"/>
  <c r="AS63" i="7"/>
  <c r="AS44" i="7"/>
  <c r="AN44" i="7"/>
  <c r="AD50" i="38" s="1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U47" i="38" l="1"/>
  <c r="U48" i="38"/>
  <c r="U50" i="38"/>
  <c r="AD24" i="38"/>
  <c r="U24" i="38" s="1"/>
  <c r="AD19" i="38"/>
  <c r="U19" i="38" s="1"/>
  <c r="AD18" i="38"/>
  <c r="U18" i="38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W51" i="38" s="1"/>
  <c r="S51" i="38" s="1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W44" i="38" s="1"/>
  <c r="S44" i="38" s="1"/>
  <c r="AI43" i="38"/>
  <c r="AG43" i="38"/>
  <c r="AF43" i="38"/>
  <c r="W43" i="38" s="1"/>
  <c r="S43" i="38" s="1"/>
  <c r="AI42" i="38"/>
  <c r="AG42" i="38"/>
  <c r="AF42" i="38"/>
  <c r="AI41" i="38"/>
  <c r="AG41" i="38"/>
  <c r="AF41" i="38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48" i="38" l="1"/>
  <c r="S48" i="38" s="1"/>
  <c r="T48" i="38" s="1"/>
  <c r="T51" i="38"/>
  <c r="T52" i="46"/>
  <c r="N52" i="46" s="1"/>
  <c r="P52" i="46" s="1"/>
  <c r="W47" i="38"/>
  <c r="S47" i="38" s="1"/>
  <c r="W46" i="38"/>
  <c r="S46" i="38" s="1"/>
  <c r="W50" i="38"/>
  <c r="S50" i="38" s="1"/>
  <c r="T50" i="38" s="1"/>
  <c r="W45" i="38"/>
  <c r="S45" i="38" s="1"/>
  <c r="W49" i="38"/>
  <c r="S49" i="38" s="1"/>
  <c r="T49" i="38" s="1"/>
  <c r="T44" i="38"/>
  <c r="T45" i="46"/>
  <c r="N45" i="46" s="1"/>
  <c r="P45" i="46" s="1"/>
  <c r="W52" i="38"/>
  <c r="S52" i="38" s="1"/>
  <c r="W41" i="38"/>
  <c r="S41" i="38" s="1"/>
  <c r="T41" i="38" s="1"/>
  <c r="T43" i="38"/>
  <c r="T44" i="46"/>
  <c r="N44" i="46" s="1"/>
  <c r="P44" i="46" s="1"/>
  <c r="W33" i="38"/>
  <c r="S33" i="38" s="1"/>
  <c r="T33" i="38" s="1"/>
  <c r="W37" i="38"/>
  <c r="S37" i="38" s="1"/>
  <c r="T37" i="38" s="1"/>
  <c r="W34" i="38"/>
  <c r="S34" i="38" s="1"/>
  <c r="W23" i="38"/>
  <c r="T23" i="38" s="1"/>
  <c r="W22" i="38"/>
  <c r="T22" i="38" s="1"/>
  <c r="S40" i="38"/>
  <c r="T40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46" l="1"/>
  <c r="N34" i="46" s="1"/>
  <c r="P34" i="46" s="1"/>
  <c r="T46" i="38"/>
  <c r="T47" i="46"/>
  <c r="N47" i="46" s="1"/>
  <c r="P47" i="46" s="1"/>
  <c r="T45" i="38"/>
  <c r="T46" i="46"/>
  <c r="N46" i="46" s="1"/>
  <c r="P46" i="46" s="1"/>
  <c r="T47" i="38"/>
  <c r="T48" i="46"/>
  <c r="N48" i="46" s="1"/>
  <c r="P48" i="46" s="1"/>
  <c r="T52" i="38"/>
  <c r="T53" i="46"/>
  <c r="N53" i="46" s="1"/>
  <c r="P53" i="46" s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T20" i="38" s="1"/>
  <c r="AA16" i="38" l="1"/>
  <c r="T16" i="38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T19" i="38" s="1"/>
  <c r="W17" i="38"/>
  <c r="T17" i="38" s="1"/>
  <c r="AN7" i="36"/>
  <c r="AS7" i="7"/>
  <c r="AN7" i="7"/>
  <c r="AD13" i="38" s="1"/>
  <c r="B21" i="38" l="1"/>
  <c r="Y20" i="38"/>
  <c r="U13" i="38"/>
  <c r="W14" i="38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T18" i="38" s="1"/>
  <c r="W21" i="38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T51" i="46" l="1"/>
  <c r="N51" i="46" s="1"/>
  <c r="P51" i="46" s="1"/>
  <c r="P62" i="46" s="1"/>
  <c r="Y62" i="46" s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<sst xmlns="http://schemas.openxmlformats.org/spreadsheetml/2006/main" count="3432" uniqueCount="481">
  <si>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</si>
  <si>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</si>
  <si>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</si>
  <si>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</si>
  <si>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</si>
  <si>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</si>
  <si>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</si>
  <si>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</si>
  <si>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</si>
  <si>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</si>
  <si>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</si>
  <si>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</si>
  <si>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</si>
  <si>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</si>
  <si>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</si>
  <si>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</si>
  <si>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</si>
  <si>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</si>
  <si>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</si>
  <si>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</si>
  <si>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</si>
  <si>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</si>
  <si>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</si>
  <si>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</si>
  <si>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</si>
  <si>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</si>
  <si>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</si>
  <si>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</si>
  <si>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</si>
  <si>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</si>
  <si>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</si>
  <si>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</si>
  <si>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</si>
  <si>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</si>
  <si>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</si>
  <si>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</si>
  <si>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</si>
  <si>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</si>
  <si>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</si>
  <si>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</si>
  <si>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</si>
  <si>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</si>
  <si>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</si>
  <si>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</si>
  <si>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</si>
  <si>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</si>
  <si>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</si>
  <si>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</si>
  <si>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</si>
  <si>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</si>
  <si>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</si>
  <si>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</si>
  <si>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</si>
  <si>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</si>
  <si>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</si>
  <si>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</si>
  <si>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</si>
  <si>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</si>
  <si>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</si>
  <si>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</si>
  <si>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</si>
  <si>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</si>
  <si>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</si>
  <si>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</si>
  <si>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</si>
  <si>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</si>
  <si>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</si>
  <si>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</si>
  <si>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</si>
  <si>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</si>
  <si>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</si>
  <si>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</si>
  <si>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</si>
  <si>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</si>
  <si>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</si>
  <si>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</si>
  <si>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</si>
  <si>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</si>
  <si>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</si>
  <si>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</si>
  <si>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</si>
  <si>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</si>
  <si>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</si>
  <si>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</si>
  <si>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</si>
  <si>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</si>
  <si>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</si>
  <si>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</si>
  <si>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</si>
  <si>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</si>
  <si>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</si>
  <si>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</si>
  <si>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</si>
  <si>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</si>
  <si>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</si>
  <si>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</si>
  <si>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</si>
  <si>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</si>
  <si>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</si>
  <si>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</si>
  <si>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</si>
  <si>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</si>
  <si>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</si>
  <si>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</si>
  <si>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</si>
  <si>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</si>
  <si>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</si>
  <si>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</si>
  <si>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</si>
  <si>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</si>
  <si>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</si>
  <si>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</si>
  <si>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</si>
  <si>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</si>
  <si>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</si>
  <si>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</si>
  <si>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</si>
  <si>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</si>
  <si>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</si>
  <si>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</si>
  <si>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</si>
  <si>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</si>
  <si>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</si>
  <si>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</si>
  <si>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</si>
  <si>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</si>
  <si>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</si>
  <si>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</si>
  <si>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</si>
  <si>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</si>
  <si>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</si>
  <si>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</si>
  <si>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</si>
  <si>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</si>
  <si>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</si>
  <si>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</si>
  <si>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</si>
  <si>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</si>
  <si>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</si>
  <si>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</si>
  <si>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</si>
  <si>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</si>
  <si>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</si>
  <si>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</si>
  <si>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</si>
  <si>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</si>
  <si>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</si>
  <si>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</si>
  <si>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</si>
  <si>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</si>
  <si>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</si>
  <si>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</si>
  <si>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</si>
  <si>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</si>
  <si>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</si>
  <si>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</si>
  <si>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</si>
  <si>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</si>
  <si>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</si>
  <si>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</si>
  <si>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</si>
  <si>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</si>
  <si>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</si>
  <si>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</si>
  <si>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</si>
  <si>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</si>
  <si>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</si>
  <si>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</si>
  <si>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</si>
  <si>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</si>
  <si>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</si>
  <si>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</si>
  <si>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</si>
  <si>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</si>
  <si>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</si>
  <si>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</si>
  <si>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</si>
  <si>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</si>
  <si>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</si>
  <si>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</si>
  <si>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</si>
  <si>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</si>
  <si>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</si>
  <si>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</si>
  <si>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</si>
  <si>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</si>
  <si>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</si>
  <si>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</si>
  <si>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</si>
  <si>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</si>
  <si>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</si>
  <si>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</si>
  <si>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</si>
  <si>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</si>
  <si>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</si>
  <si>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</si>
  <si>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</si>
  <si>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</si>
  <si>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</si>
  <si>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</si>
  <si>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</si>
  <si>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</si>
  <si>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</si>
  <si>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</si>
  <si>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</si>
  <si>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</si>
  <si>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</si>
  <si>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</si>
  <si>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</si>
  <si>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</si>
  <si>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</si>
  <si>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</si>
  <si>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</si>
  <si>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</si>
  <si>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</si>
  <si>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</si>
  <si>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</si>
  <si>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</si>
  <si>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</si>
  <si>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</si>
  <si>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</si>
  <si>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</si>
  <si>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</si>
  <si>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</si>
  <si>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</si>
  <si>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</si>
  <si>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</si>
  <si>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</si>
  <si>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</si>
  <si>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</si>
  <si>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</si>
  <si>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</si>
  <si>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</si>
  <si>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</si>
  <si>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</si>
  <si>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</si>
  <si>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</si>
  <si>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</si>
  <si>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</si>
  <si>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</si>
  <si>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</si>
  <si>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</si>
  <si>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</si>
  <si>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</si>
  <si>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</si>
  <si>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</si>
  <si>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</si>
  <si>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</si>
  <si>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</si>
  <si>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</si>
  <si>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</si>
  <si>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</si>
  <si>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</si>
  <si>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</si>
  <si>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</si>
  <si>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</si>
  <si>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</si>
  <si>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</si>
  <si>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</si>
  <si>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</si>
  <si>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</si>
  <si>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</si>
  <si>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</si>
  <si>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</si>
  <si>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</si>
  <si>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</si>
  <si>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</si>
  <si>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</si>
  <si>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</si>
  <si>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</si>
  <si>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</si>
  <si>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</si>
  <si>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</si>
  <si>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</si>
  <si>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</si>
  <si>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</si>
  <si>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</si>
  <si>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</si>
  <si>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</si>
  <si>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</si>
  <si>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</si>
  <si>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</si>
  <si>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</si>
  <si>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</si>
  <si>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</si>
  <si>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</si>
  <si>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</si>
  <si>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</si>
  <si>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</si>
  <si>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</si>
  <si>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</si>
  <si>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</si>
  <si>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</si>
  <si>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</si>
  <si>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</si>
  <si>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</si>
  <si>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</si>
  <si>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</si>
  <si>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</si>
  <si>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</si>
  <si>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</si>
  <si>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</si>
  <si>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</si>
  <si>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</si>
  <si>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</si>
  <si>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</si>
  <si>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</si>
  <si>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</si>
  <si>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</si>
  <si>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</si>
  <si>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</si>
  <si>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</si>
  <si>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</si>
  <si>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</si>
  <si>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</si>
  <si>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</si>
  <si>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</si>
  <si>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</si>
  <si>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</si>
  <si>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</si>
  <si>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</si>
  <si>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</si>
  <si>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</si>
  <si>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</si>
  <si>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</si>
  <si>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</si>
  <si>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</si>
  <si>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</si>
  <si>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</si>
  <si>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</si>
  <si>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</si>
  <si>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</si>
  <si>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</si>
  <si>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</si>
  <si>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</si>
  <si>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</si>
  <si>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</si>
  <si>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</si>
  <si>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</si>
  <si>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</si>
  <si>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</si>
  <si>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</si>
  <si>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</si>
  <si>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</si>
  <si>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</si>
  <si>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</si>
  <si>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</si>
  <si>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</si>
  <si>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</si>
  <si>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</si>
  <si>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</si>
  <si>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</si>
  <si>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</si>
  <si>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</si>
  <si>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</si>
  <si>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</si>
  <si>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</si>
  <si>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</si>
  <si>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</si>
  <si>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</si>
  <si>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</si>
  <si>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</si>
  <si>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</si>
  <si>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</si>
  <si>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</si>
  <si>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</si>
  <si>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</si>
  <si>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</si>
  <si>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</si>
  <si>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</si>
  <si>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</si>
  <si>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</si>
  <si>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</si>
  <si>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</si>
  <si>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</si>
  <si>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</si>
  <si>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</si>
  <si>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</si>
  <si>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</si>
  <si>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</si>
  <si>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</si>
  <si>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</si>
  <si>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</si>
  <si>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</si>
  <si>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</si>
  <si>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</si>
  <si>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</si>
  <si>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</si>
  <si>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</si>
  <si>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</si>
  <si>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</si>
  <si>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</si>
  <si>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</si>
  <si>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</si>
  <si>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</si>
  <si>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</si>
  <si>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</si>
  <si>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</si>
  <si>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</si>
  <si>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</si>
  <si>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</si>
  <si>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</si>
  <si>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</si>
  <si>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</si>
  <si>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</si>
  <si>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</si>
  <si>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</si>
  <si>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</si>
  <si>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</si>
  <si>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</si>
  <si>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</si>
  <si>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</si>
  <si>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</si>
  <si>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</si>
  <si>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</si>
  <si>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</si>
  <si>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</si>
  <si>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</si>
  <si>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</si>
  <si>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</si>
  <si>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</si>
  <si>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</si>
  <si>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</si>
  <si>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</si>
  <si>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</si>
  <si>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</si>
  <si>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</si>
  <si>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</si>
  <si>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</si>
  <si>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</si>
  <si>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</si>
  <si>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</si>
  <si>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</si>
  <si>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</si>
  <si>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</si>
  <si>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</si>
  <si>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</si>
  <si>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</si>
  <si>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</si>
  <si>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</si>
  <si>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</si>
  <si>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</si>
  <si>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</si>
  <si>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</si>
  <si>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</si>
  <si>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</si>
  <si>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</si>
  <si>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</si>
  <si>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</si>
  <si>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</si>
  <si>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</si>
  <si>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</si>
  <si>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</si>
  <si>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</si>
  <si>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</si>
  <si>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</si>
  <si>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</si>
  <si>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</si>
  <si>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</si>
  <si>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</si>
  <si>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</si>
  <si>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</si>
  <si>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</si>
  <si>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CYNTHIA MONTELONGO</t>
  </si>
  <si>
    <t>RIVERHOUSE LIVING</t>
  </si>
  <si>
    <t>CANADA</t>
  </si>
  <si>
    <t>SN</t>
  </si>
  <si>
    <t>TIJUANA RIO 3RA ETAPA</t>
  </si>
  <si>
    <t>664 405 8685</t>
  </si>
  <si>
    <t>SALA</t>
  </si>
  <si>
    <t>COMEDOR A</t>
  </si>
  <si>
    <t>COMEDOR B</t>
  </si>
  <si>
    <t>ESCALERA</t>
  </si>
  <si>
    <t>REC 1</t>
  </si>
  <si>
    <t>REC 2</t>
  </si>
  <si>
    <t>PRINCIPAL</t>
  </si>
  <si>
    <t>BO SIDNEY GRIS</t>
  </si>
  <si>
    <t>COCINA</t>
  </si>
  <si>
    <t>SERVICIO DE DESMONTAJE Y MONTAJE DE PANELES DE TELA BLACK OUT Y SCREEN</t>
  </si>
  <si>
    <t>PANELES DE TELA</t>
  </si>
  <si>
    <t>BS 121625EG-2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</si>
</sst>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10" zoomScale="85" zoomScaleNormal="85" workbookViewId="0">
      <selection activeCell="S13" sqref="S13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 ca="1">'CALCULATOR SHEET'!T9</f>
        <v>46007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>BS 121625EG-2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PANELES DE TELA</v>
      </c>
      <c r="J7" s="365" t="str">
        <f>IF('CALCULATOR SHEET'!H8&lt;&gt;"","Calle: "&amp;'CALCULATOR SHEET'!H10&amp;", Numero: "&amp;'CALCULATOR SHEET'!H11,"")</f>
        <v>Calle: CANADA, Numero: SN</v>
      </c>
      <c r="K7" s="365"/>
      <c r="L7" s="365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>Frac: RIVERHOUSE LIVING - TIJUANA RIO 3RA ETAPA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CYNTHIA MONTELONGO</v>
      </c>
      <c r="J10" s="365" t="str">
        <f>IF('CALCULATOR SHEET'!K11&lt;&gt;"",'CALCULATOR SHEET'!$K$11&amp;" Cell: "&amp;'CALCULATOR SHEET'!K10,"")</f>
        <v/>
      </c>
      <c r="K10" s="365"/>
      <c r="L10" s="365"/>
      <c r="N10" s="365" t="str">
        <f>IF('CALCULATOR SHEET'!S70&lt;&gt;"",'CALCULATOR SHEET'!S70,"")</f>
        <v>ESAU GOMEZ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6</v>
      </c>
      <c r="G14" s="170" t="str">
        <f>IF('CALCULATOR SHEET'!G13&lt;&gt;"",'CALCULATOR SHEET'!G13,"")</f>
        <v>BO SIDNEY GRIS</v>
      </c>
      <c r="H14" s="170" t="str">
        <f>IF('CALCULATOR SHEET'!H13&lt;&gt;"",'CALCULATOR SHEET'!H13,"")</f>
        <v>PRINCIPAL</v>
      </c>
      <c r="I14" s="171">
        <f>IF(E14&lt;&gt;"",'CALCULATOR SHEET'!I13,"")</f>
        <v>112</v>
      </c>
      <c r="J14" s="171">
        <f>IF(I14&lt;&gt;"",'CALCULATOR SHEET'!J13,"")</f>
        <v>54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130</v>
      </c>
      <c r="O14" s="164"/>
      <c r="P14" s="167">
        <f>IF(D14&lt;&gt;"",N14*D14,"")</f>
        <v>130</v>
      </c>
      <c r="Q14" s="194"/>
      <c r="R14" s="64" t="s">
        <v>200</v>
      </c>
      <c r="T14" s="160">
        <f>IF('CALCULATOR SHEET'!$T$58="PESOS",'CALCULATOR SHEET'!S13*'CALCULATOR SHEET'!$W$6,'CALCULATOR SHEET'!S13)</f>
        <v>130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1</v>
      </c>
      <c r="G15" s="175" t="str">
        <f>IF('CALCULATOR SHEET'!G14&lt;&gt;"",'CALCULATOR SHEET'!G14,"")</f>
        <v>SCREEN BASIC</v>
      </c>
      <c r="H15" s="175" t="str">
        <f>IF('CALCULATOR SHEET'!H14&lt;&gt;"",'CALCULATOR SHEET'!H14,"")</f>
        <v>PRINCIPAL</v>
      </c>
      <c r="I15" s="176">
        <f>IF(E15&lt;&gt;"",'CALCULATOR SHEET'!I14,"")</f>
        <v>108</v>
      </c>
      <c r="J15" s="176">
        <f>IF(I15&lt;&gt;"",'CALCULATOR SHEET'!J14,"")</f>
        <v>54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81</v>
      </c>
      <c r="O15" s="165"/>
      <c r="P15" s="166">
        <f>IF(D15&lt;&gt;"",N15*D15,"")</f>
        <v>81</v>
      </c>
      <c r="Q15" s="195"/>
      <c r="R15" s="64" t="s">
        <v>200</v>
      </c>
      <c r="T15" s="160">
        <f>IF('CALCULATOR SHEET'!$T$58="PESOS",'CALCULATOR SHEET'!S14*'CALCULATOR SHEET'!$W$6,'CALCULATOR SHEET'!S14)</f>
        <v>81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6</v>
      </c>
      <c r="G16" s="175" t="str">
        <f>IF('CALCULATOR SHEET'!G15&lt;&gt;"",'CALCULATOR SHEET'!G15,"")</f>
        <v>BO SIDNEY GRIS</v>
      </c>
      <c r="H16" s="175" t="str">
        <f>IF('CALCULATOR SHEET'!H15&lt;&gt;"",'CALCULATOR SHEET'!H15,"")</f>
        <v>SALA</v>
      </c>
      <c r="I16" s="176">
        <f>IF(E16&lt;&gt;"",'CALCULATOR SHEET'!I15,"")</f>
        <v>73</v>
      </c>
      <c r="J16" s="176">
        <f>IF(I16&lt;&gt;"",'CALCULATOR SHEET'!J15,"")</f>
        <v>54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90</v>
      </c>
      <c r="O16" s="165"/>
      <c r="P16" s="166">
        <f t="shared" ref="P16:P53" si="1">IF(D16&lt;&gt;"",N16*D16,"")</f>
        <v>90</v>
      </c>
      <c r="Q16" s="195"/>
      <c r="R16" s="64" t="s">
        <v>200</v>
      </c>
      <c r="T16" s="160">
        <f>IF('CALCULATOR SHEET'!$T$58="PESOS",'CALCULATOR SHEET'!S15*'CALCULATOR SHEET'!$W$6,'CALCULATOR SHEET'!S15)</f>
        <v>90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1</v>
      </c>
      <c r="G17" s="175" t="str">
        <f>IF('CALCULATOR SHEET'!G16&lt;&gt;"",'CALCULATOR SHEET'!G16,"")</f>
        <v>SCREEN BASIC</v>
      </c>
      <c r="H17" s="175" t="str">
        <f>IF('CALCULATOR SHEET'!H16&lt;&gt;"",'CALCULATOR SHEET'!H16,"")</f>
        <v>SALA</v>
      </c>
      <c r="I17" s="176">
        <f>IF(E17&lt;&gt;"",'CALCULATOR SHEET'!I16,"")</f>
        <v>69</v>
      </c>
      <c r="J17" s="176">
        <f>IF(I17&lt;&gt;"",'CALCULATOR SHEET'!J16,"")</f>
        <v>54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L</v>
      </c>
      <c r="M17" s="174" t="str">
        <f>IF(E17&lt;&gt;"",IF(OR('CALCULATOR SHEET'!P16&lt;&gt;"NO",'CALCULATOR SHEET'!Q16&lt;&gt;"NO"),"YES",""),"")</f>
        <v/>
      </c>
      <c r="N17" s="177">
        <f t="shared" si="0"/>
        <v>55</v>
      </c>
      <c r="O17" s="165"/>
      <c r="P17" s="166">
        <f t="shared" si="1"/>
        <v>55</v>
      </c>
      <c r="Q17" s="195"/>
      <c r="R17" s="64" t="s">
        <v>200</v>
      </c>
      <c r="T17" s="160">
        <f>IF('CALCULATOR SHEET'!$T$58="PESOS",'CALCULATOR SHEET'!S16*'CALCULATOR SHEET'!$W$6,'CALCULATOR SHEET'!S16)</f>
        <v>55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1</v>
      </c>
      <c r="G18" s="175" t="str">
        <f>IF('CALCULATOR SHEET'!G17&lt;&gt;"",'CALCULATOR SHEET'!G17,"")</f>
        <v>SCREEN BASIC</v>
      </c>
      <c r="H18" s="175" t="str">
        <f>IF('CALCULATOR SHEET'!H17&lt;&gt;"",'CALCULATOR SHEET'!H17,"")</f>
        <v>COMEDOR A</v>
      </c>
      <c r="I18" s="176">
        <f>IF(E18&lt;&gt;"",'CALCULATOR SHEET'!I17,"")</f>
        <v>62.5</v>
      </c>
      <c r="J18" s="176">
        <f>IF(I18&lt;&gt;"",'CALCULATOR SHEET'!J17,"")</f>
        <v>86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L</v>
      </c>
      <c r="M18" s="174" t="str">
        <f>IF(E18&lt;&gt;"",IF(OR('CALCULATOR SHEET'!P17&lt;&gt;"NO",'CALCULATOR SHEET'!Q17&lt;&gt;"NO"),"YES",""),"")</f>
        <v/>
      </c>
      <c r="N18" s="177">
        <f t="shared" si="0"/>
        <v>115</v>
      </c>
      <c r="O18" s="165"/>
      <c r="P18" s="166">
        <f t="shared" si="1"/>
        <v>115</v>
      </c>
      <c r="Q18" s="195"/>
      <c r="R18" s="64" t="s">
        <v>200</v>
      </c>
      <c r="T18" s="160">
        <f>IF('CALCULATOR SHEET'!$T$58="PESOS",'CALCULATOR SHEET'!S17*'CALCULATOR SHEET'!$W$6,'CALCULATOR SHEET'!S17)</f>
        <v>115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1</v>
      </c>
      <c r="G19" s="175" t="str">
        <f>IF('CALCULATOR SHEET'!G18&lt;&gt;"",'CALCULATOR SHEET'!G18,"")</f>
        <v>SCREEN BASIC</v>
      </c>
      <c r="H19" s="175" t="str">
        <f>IF('CALCULATOR SHEET'!H18&lt;&gt;"",'CALCULATOR SHEET'!H18,"")</f>
        <v>COMEDOR B</v>
      </c>
      <c r="I19" s="176">
        <f>IF(E19&lt;&gt;"",'CALCULATOR SHEET'!I18,"")</f>
        <v>41</v>
      </c>
      <c r="J19" s="176">
        <f>IF(I19&lt;&gt;"",'CALCULATOR SHEET'!J18,"")</f>
        <v>86</v>
      </c>
      <c r="K19" s="169" t="str">
        <f>IF('CALCULATOR SHEET'!K18&lt;&gt;"",IF('CALCULATOR SHEET'!$W$2=1,'CALCULATOR SHEET'!K18,VLOOKUP('CALCULATOR SHEET'!K18,GENERAL!$H$6:$I$11,2,0)),"")</f>
        <v>METAL CHAIN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/>
      </c>
      <c r="N19" s="177">
        <f t="shared" si="0"/>
        <v>73</v>
      </c>
      <c r="O19" s="165"/>
      <c r="P19" s="166">
        <f t="shared" si="1"/>
        <v>73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73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6</v>
      </c>
      <c r="G20" s="175" t="str">
        <f>IF('CALCULATOR SHEET'!G19&lt;&gt;"",'CALCULATOR SHEET'!G19,"")</f>
        <v>BO SIDNEY GRIS</v>
      </c>
      <c r="H20" s="175" t="str">
        <f>IF('CALCULATOR SHEET'!H19&lt;&gt;"",'CALCULATOR SHEET'!H19,"")</f>
        <v>REC 1</v>
      </c>
      <c r="I20" s="176">
        <f>IF(E20&lt;&gt;"",'CALCULATOR SHEET'!I19,"")</f>
        <v>60.5</v>
      </c>
      <c r="J20" s="176">
        <f>IF(I20&lt;&gt;"",'CALCULATOR SHEET'!J19,"")</f>
        <v>54</v>
      </c>
      <c r="K20" s="169" t="str">
        <f>IF('CALCULATOR SHEET'!K19&lt;&gt;"",IF('CALCULATOR SHEET'!$W$2=1,'CALCULATOR SHEET'!K19,VLOOKUP('CALCULATOR SHEET'!K19,GENERAL!$H$6:$I$11,2,0)),"")</f>
        <v>METAL CHAIN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/>
      </c>
      <c r="N20" s="177">
        <f t="shared" si="0"/>
        <v>80</v>
      </c>
      <c r="O20" s="165"/>
      <c r="P20" s="166">
        <f t="shared" si="1"/>
        <v>80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80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1</v>
      </c>
      <c r="G21" s="175" t="str">
        <f>IF('CALCULATOR SHEET'!G20&lt;&gt;"",'CALCULATOR SHEET'!G20,"")</f>
        <v>SCREEN BASIC</v>
      </c>
      <c r="H21" s="175" t="str">
        <f>IF('CALCULATOR SHEET'!H20&lt;&gt;"",'CALCULATOR SHEET'!H20,"")</f>
        <v>REC 1</v>
      </c>
      <c r="I21" s="176">
        <f>IF(E21&lt;&gt;"",'CALCULATOR SHEET'!I20,"")</f>
        <v>56.5</v>
      </c>
      <c r="J21" s="176">
        <f>IF(I21&lt;&gt;"",'CALCULATOR SHEET'!J20,"")</f>
        <v>54</v>
      </c>
      <c r="K21" s="169" t="str">
        <f>IF('CALCULATOR SHEET'!K20&lt;&gt;"",IF('CALCULATOR SHEET'!$W$2=1,'CALCULATOR SHEET'!K20,VLOOKUP('CALCULATOR SHEET'!K20,GENERAL!$H$6:$I$11,2,0)),"")</f>
        <v>METAL CHAIN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60</v>
      </c>
      <c r="O21" s="165"/>
      <c r="P21" s="166">
        <f t="shared" si="1"/>
        <v>60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60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6</v>
      </c>
      <c r="G22" s="175" t="str">
        <f>IF('CALCULATOR SHEET'!G21&lt;&gt;"",'CALCULATOR SHEET'!G21,"")</f>
        <v>BO SIDNEY GRIS</v>
      </c>
      <c r="H22" s="175" t="str">
        <f>IF('CALCULATOR SHEET'!H21&lt;&gt;"",'CALCULATOR SHEET'!H21,"")</f>
        <v>REC 2</v>
      </c>
      <c r="I22" s="176">
        <f>IF(E22&lt;&gt;"",'CALCULATOR SHEET'!I21,"")</f>
        <v>60.5</v>
      </c>
      <c r="J22" s="176">
        <f>IF(I22&lt;&gt;"",'CALCULATOR SHEET'!J21,"")</f>
        <v>54</v>
      </c>
      <c r="K22" s="169" t="str">
        <f>IF('CALCULATOR SHEET'!K21&lt;&gt;"",IF('CALCULATOR SHEET'!$W$2=1,'CALCULATOR SHEET'!K21,VLOOKUP('CALCULATOR SHEET'!K21,GENERAL!$H$6:$I$11,2,0)),"")</f>
        <v>METAL CHAIN</v>
      </c>
      <c r="L22" s="174" t="str">
        <f>IF('CALCULATOR SHEET'!M21&lt;&gt;"",'CALCULATOR SHEET'!M21,"")</f>
        <v>R</v>
      </c>
      <c r="M22" s="174" t="str">
        <f>IF(E22&lt;&gt;"",IF(OR('CALCULATOR SHEET'!P21&lt;&gt;"NO",'CALCULATOR SHEET'!Q21&lt;&gt;"NO"),"YES",""),"")</f>
        <v/>
      </c>
      <c r="N22" s="177">
        <f t="shared" si="0"/>
        <v>80</v>
      </c>
      <c r="O22" s="165"/>
      <c r="P22" s="166">
        <f t="shared" si="1"/>
        <v>80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80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1</v>
      </c>
      <c r="G23" s="175" t="str">
        <f>IF('CALCULATOR SHEET'!G22&lt;&gt;"",'CALCULATOR SHEET'!G22,"")</f>
        <v>SCREEN BASIC</v>
      </c>
      <c r="H23" s="175" t="str">
        <f>IF('CALCULATOR SHEET'!H22&lt;&gt;"",'CALCULATOR SHEET'!H22,"")</f>
        <v>REC 2</v>
      </c>
      <c r="I23" s="176">
        <f>IF(E23&lt;&gt;"",'CALCULATOR SHEET'!I22,"")</f>
        <v>56.75</v>
      </c>
      <c r="J23" s="176">
        <f>IF(I23&lt;&gt;"",'CALCULATOR SHEET'!J22,"")</f>
        <v>54</v>
      </c>
      <c r="K23" s="169" t="str">
        <f>IF('CALCULATOR SHEET'!K22&lt;&gt;"",IF('CALCULATOR SHEET'!$W$2=1,'CALCULATOR SHEET'!K22,VLOOKUP('CALCULATOR SHEET'!K22,GENERAL!$H$6:$I$11,2,0)),"")</f>
        <v>METAL CHAIN</v>
      </c>
      <c r="L23" s="174" t="str">
        <f>IF('CALCULATOR SHEET'!M22&lt;&gt;"",'CALCULATOR SHEET'!M22,"")</f>
        <v>R</v>
      </c>
      <c r="M23" s="174" t="str">
        <f>IF(E23&lt;&gt;"",IF(OR('CALCULATOR SHEET'!P22&lt;&gt;"NO",'CALCULATOR SHEET'!Q22&lt;&gt;"NO"),"YES",""),"")</f>
        <v/>
      </c>
      <c r="N23" s="177">
        <f t="shared" si="0"/>
        <v>60</v>
      </c>
      <c r="O23" s="165"/>
      <c r="P23" s="166">
        <f t="shared" si="1"/>
        <v>60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60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6</v>
      </c>
      <c r="G24" s="175" t="str">
        <f>IF('CALCULATOR SHEET'!G23&lt;&gt;"",'CALCULATOR SHEET'!G23,"")</f>
        <v>BO SIDNEY GRIS</v>
      </c>
      <c r="H24" s="175" t="str">
        <f>IF('CALCULATOR SHEET'!H23&lt;&gt;"",'CALCULATOR SHEET'!H23,"")</f>
        <v>ESCALERA</v>
      </c>
      <c r="I24" s="176">
        <f>IF(E24&lt;&gt;"",'CALCULATOR SHEET'!I23,"")</f>
        <v>21.25</v>
      </c>
      <c r="J24" s="176">
        <f>IF(I24&lt;&gt;"",'CALCULATOR SHEET'!J23,"")</f>
        <v>140</v>
      </c>
      <c r="K24" s="169" t="str">
        <f>IF('CALCULATOR SHEET'!K23&lt;&gt;"",IF('CALCULATOR SHEET'!$W$2=1,'CALCULATOR SHEET'!K23,VLOOKUP('CALCULATOR SHEET'!K23,GENERAL!$H$6:$I$11,2,0)),"")</f>
        <v>METAL CHAIN</v>
      </c>
      <c r="L24" s="174" t="str">
        <f>IF('CALCULATOR SHEET'!M23&lt;&gt;"",'CALCULATOR SHEET'!M23,"")</f>
        <v>R</v>
      </c>
      <c r="M24" s="174" t="str">
        <f>IF(E24&lt;&gt;"",IF(OR('CALCULATOR SHEET'!P23&lt;&gt;"NO",'CALCULATOR SHEET'!Q23&lt;&gt;"NO"),"YES",""),"")</f>
        <v/>
      </c>
      <c r="N24" s="177">
        <f t="shared" si="0"/>
        <v>100</v>
      </c>
      <c r="O24" s="165"/>
      <c r="P24" s="166">
        <f t="shared" si="1"/>
        <v>100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100</v>
      </c>
      <c r="V24" s="162"/>
    </row>
    <row r="25" spans="3:22" s="64" customFormat="1" ht="45" customHeight="1">
      <c r="C25" s="173">
        <f t="shared" si="2"/>
        <v>12</v>
      </c>
      <c r="D25" s="174">
        <f>IF('CALCULATOR SHEET'!C24&lt;&gt;"",'CALCULATOR SHEET'!C24,"")</f>
        <v>1</v>
      </c>
      <c r="E25" s="170" t="str">
        <f>IF('CALCULATOR SHEET'!D24&lt;&gt;"",IF('CALCULATOR SHEET'!$W$2=1,'CALCULATOR SHEET'!D24,VLOOKUP('CALCULATOR SHEET'!D24,GENERAL!$J$6:$K$13,2,0)),"")</f>
        <v>ROLLER</v>
      </c>
      <c r="F25" s="175" t="str">
        <f>IF('CALCULATOR SHEET'!E24&lt;&gt;"",'CALCULATOR SHEET'!E24,"")</f>
        <v>GROUP 1</v>
      </c>
      <c r="G25" s="175" t="str">
        <f>IF('CALCULATOR SHEET'!G24&lt;&gt;"",'CALCULATOR SHEET'!G24,"")</f>
        <v>SCREEN BASIC</v>
      </c>
      <c r="H25" s="175" t="str">
        <f>IF('CALCULATOR SHEET'!H24&lt;&gt;"",'CALCULATOR SHEET'!H24,"")</f>
        <v>ESCALERA</v>
      </c>
      <c r="I25" s="176">
        <f>IF(E25&lt;&gt;"",'CALCULATOR SHEET'!I24,"")</f>
        <v>25.625</v>
      </c>
      <c r="J25" s="176">
        <f>IF(I25&lt;&gt;"",'CALCULATOR SHEET'!J24,"")</f>
        <v>140</v>
      </c>
      <c r="K25" s="169" t="str">
        <f>IF('CALCULATOR SHEET'!K24&lt;&gt;"",IF('CALCULATOR SHEET'!$W$2=1,'CALCULATOR SHEET'!K24,VLOOKUP('CALCULATOR SHEET'!K24,GENERAL!$H$6:$I$11,2,0)),"")</f>
        <v>METAL CHAIN</v>
      </c>
      <c r="L25" s="174" t="str">
        <f>IF('CALCULATOR SHEET'!M24&lt;&gt;"",'CALCULATOR SHEET'!M24,"")</f>
        <v>R</v>
      </c>
      <c r="M25" s="174" t="str">
        <f>IF(E25&lt;&gt;"",IF(OR('CALCULATOR SHEET'!P24&lt;&gt;"NO",'CALCULATOR SHEET'!Q24&lt;&gt;"NO"),"YES",""),"")</f>
        <v/>
      </c>
      <c r="N25" s="177">
        <f t="shared" si="0"/>
        <v>80</v>
      </c>
      <c r="O25" s="165"/>
      <c r="P25" s="166">
        <f t="shared" si="1"/>
        <v>80</v>
      </c>
      <c r="Q25" s="195"/>
      <c r="R25" s="64" t="str">
        <f t="shared" si="3"/>
        <v>VERDADERO</v>
      </c>
      <c r="T25" s="160">
        <f>IF('CALCULATOR SHEET'!$T$58="PESOS",'CALCULATOR SHEET'!S24*'CALCULATOR SHEET'!$W$6,'CALCULATOR SHEET'!S24)</f>
        <v>80</v>
      </c>
      <c r="V25" s="162"/>
    </row>
    <row r="26" spans="3:22" s="64" customFormat="1" ht="45" customHeight="1">
      <c r="C26" s="173">
        <f t="shared" si="2"/>
        <v>13</v>
      </c>
      <c r="D26" s="174">
        <f>IF('CALCULATOR SHEET'!C25&lt;&gt;"",'CALCULATOR SHEET'!C25,"")</f>
        <v>1</v>
      </c>
      <c r="E26" s="170" t="str">
        <f>IF('CALCULATOR SHEET'!D25&lt;&gt;"",IF('CALCULATOR SHEET'!$W$2=1,'CALCULATOR SHEET'!D25,VLOOKUP('CALCULATOR SHEET'!D25,GENERAL!$J$6:$K$13,2,0)),"")</f>
        <v>ROLLER</v>
      </c>
      <c r="F26" s="175" t="str">
        <f>IF('CALCULATOR SHEET'!E25&lt;&gt;"",'CALCULATOR SHEET'!E25,"")</f>
        <v>GROUP 1</v>
      </c>
      <c r="G26" s="175" t="str">
        <f>IF('CALCULATOR SHEET'!G25&lt;&gt;"",'CALCULATOR SHEET'!G25,"")</f>
        <v>SCREEN BASIC</v>
      </c>
      <c r="H26" s="175" t="str">
        <f>IF('CALCULATOR SHEET'!H25&lt;&gt;"",'CALCULATOR SHEET'!H25,"")</f>
        <v>COCINA</v>
      </c>
      <c r="I26" s="176">
        <f>IF(E26&lt;&gt;"",'CALCULATOR SHEET'!I25,"")</f>
        <v>36</v>
      </c>
      <c r="J26" s="176">
        <f>IF(I26&lt;&gt;"",'CALCULATOR SHEET'!J25,"")</f>
        <v>20</v>
      </c>
      <c r="K26" s="169" t="str">
        <f>IF('CALCULATOR SHEET'!K25&lt;&gt;"",IF('CALCULATOR SHEET'!$W$2=1,'CALCULATOR SHEET'!K25,VLOOKUP('CALCULATOR SHEET'!K25,GENERAL!$H$6:$I$11,2,0)),"")</f>
        <v>METAL CHAIN</v>
      </c>
      <c r="L26" s="174" t="str">
        <f>IF('CALCULATOR SHEET'!M25&lt;&gt;"",'CALCULATOR SHEET'!M25,"")</f>
        <v>L</v>
      </c>
      <c r="M26" s="174" t="str">
        <f>IF(E26&lt;&gt;"",IF(OR('CALCULATOR SHEET'!P25&lt;&gt;"NO",'CALCULATOR SHEET'!Q25&lt;&gt;"NO"),"YES",""),"")</f>
        <v/>
      </c>
      <c r="N26" s="177">
        <f t="shared" si="0"/>
        <v>40</v>
      </c>
      <c r="O26" s="165"/>
      <c r="P26" s="166">
        <f t="shared" si="1"/>
        <v>40</v>
      </c>
      <c r="Q26" s="195"/>
      <c r="R26" s="64" t="str">
        <f t="shared" si="3"/>
        <v>VERDADERO</v>
      </c>
      <c r="T26" s="160">
        <f>IF('CALCULATOR SHEET'!$T$58="PESOS",'CALCULATOR SHEET'!S25*'CALCULATOR SHEET'!$W$6,'CALCULATOR SHEET'!S25)</f>
        <v>40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2" t="str">
        <f>IF('CALCULATOR SHEET'!B54&lt;&gt;"",'CALCULATOR SHEET'!B54,"")</f>
        <v/>
      </c>
      <c r="D56" s="67">
        <f>IF('CALCULATOR SHEET'!C54&lt;&gt;"",'CALCULATOR SHEET'!C54,"")</f>
        <v>1</v>
      </c>
      <c r="E56" s="291" t="str">
        <f>IF('CALCULATOR SHEET'!E54&lt;&gt;"",'CALCULATOR SHEET'!E54,"")</f>
        <v>SERVICIO DE DESMONTAJE Y MONTAJE DE PANELES DE TELA BLACK OUT Y SCREEN</v>
      </c>
      <c r="I56" s="184"/>
      <c r="J56" s="184"/>
      <c r="K56" s="67"/>
      <c r="L56" s="67"/>
      <c r="M56" s="67"/>
      <c r="N56" s="185"/>
      <c r="O56" s="185">
        <f>IF(D56&lt;&gt;"",T56,"")</f>
        <v>150</v>
      </c>
      <c r="P56" s="186">
        <f>IF(O56&lt;&gt;"",O56*D56,"")</f>
        <v>150</v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150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1044</v>
      </c>
      <c r="Q62" s="188"/>
      <c r="X62" s="163" t="str">
        <f>IF('CALCULATOR SHEET'!$W$2=1,GENERAL!Q35,GENERAL!S35)</f>
        <v>SUB TOTAL</v>
      </c>
      <c r="Y62" s="222">
        <f>P62</f>
        <v>1044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/>
      </c>
      <c r="P63" s="181" t="str">
        <f>IF(O63&lt;&gt;"",'CALCULATOR SHEET'!T60,"")</f>
        <v/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/>
      </c>
      <c r="P64" s="187" t="str">
        <f>IF(P63&lt;&gt;"",'CALCULATOR SHEET'!T61,"")</f>
        <v/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0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150</v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0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/>
      </c>
      <c r="P66" s="352" t="str">
        <f>IF(Y65=0,"",Y65)</f>
        <v/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150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1194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1194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112</v>
      </c>
      <c r="AK7" s="53">
        <f>'CALCULATOR SHEET'!J13</f>
        <v>54</v>
      </c>
      <c r="AL7" s="53">
        <f>IF(AJ7=0,"",MATCH(CEILING(AJ7,6),$D$4:$Z$4,0))</f>
        <v>16</v>
      </c>
      <c r="AM7" s="53">
        <f>IF(AK7=0,"",MATCH(CEILING(AK7,6),$C$7:$C$28,0))</f>
        <v>6</v>
      </c>
      <c r="AN7" s="54">
        <f>IF(AL7="","",INDEX($D$7:$Z$28,AM7,AL7))</f>
        <v>324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108</v>
      </c>
      <c r="AK8" s="53">
        <f>'CALCULATOR SHEET'!J14</f>
        <v>54</v>
      </c>
      <c r="AL8" s="53">
        <f t="shared" ref="AL8:AL71" si="0">IF(AJ8=0,"",MATCH(CEILING(AJ8,6),$D$4:$Z$4,0))</f>
        <v>15</v>
      </c>
      <c r="AM8" s="53">
        <f t="shared" ref="AM8:AM71" si="1">IF(AK8=0,"",MATCH(CEILING(AK8,6),$C$7:$C$28,0))</f>
        <v>6</v>
      </c>
      <c r="AN8" s="54">
        <f t="shared" ref="AN8:AN71" si="2">IF(AL8="","",INDEX($D$7:$Z$28,AM8,AL8))</f>
        <v>312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73</v>
      </c>
      <c r="AK9" s="53">
        <f>'CALCULATOR SHEET'!J15</f>
        <v>54</v>
      </c>
      <c r="AL9" s="53">
        <f t="shared" si="0"/>
        <v>10</v>
      </c>
      <c r="AM9" s="53">
        <f t="shared" si="1"/>
        <v>6</v>
      </c>
      <c r="AN9" s="54">
        <f t="shared" si="2"/>
        <v>191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69</v>
      </c>
      <c r="AK10" s="53">
        <f>'CALCULATOR SHEET'!J16</f>
        <v>54</v>
      </c>
      <c r="AL10" s="53">
        <f t="shared" si="0"/>
        <v>9</v>
      </c>
      <c r="AM10" s="53">
        <f t="shared" si="1"/>
        <v>6</v>
      </c>
      <c r="AN10" s="54">
        <f t="shared" si="2"/>
        <v>165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62.5</v>
      </c>
      <c r="AK11" s="53">
        <f>'CALCULATOR SHEET'!J17</f>
        <v>86</v>
      </c>
      <c r="AL11" s="53">
        <f t="shared" si="0"/>
        <v>8</v>
      </c>
      <c r="AM11" s="53">
        <f t="shared" si="1"/>
        <v>12</v>
      </c>
      <c r="AN11" s="54">
        <f t="shared" si="2"/>
        <v>204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41</v>
      </c>
      <c r="AK12" s="53">
        <f>'CALCULATOR SHEET'!J18</f>
        <v>86</v>
      </c>
      <c r="AL12" s="53">
        <f t="shared" si="0"/>
        <v>4</v>
      </c>
      <c r="AM12" s="53">
        <f t="shared" si="1"/>
        <v>12</v>
      </c>
      <c r="AN12" s="54">
        <f t="shared" si="2"/>
        <v>149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60.5</v>
      </c>
      <c r="AK13" s="53">
        <f>'CALCULATOR SHEET'!J19</f>
        <v>54</v>
      </c>
      <c r="AL13" s="53">
        <f t="shared" si="0"/>
        <v>8</v>
      </c>
      <c r="AM13" s="53">
        <f t="shared" si="1"/>
        <v>6</v>
      </c>
      <c r="AN13" s="54">
        <f t="shared" si="2"/>
        <v>155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54</v>
      </c>
      <c r="AL14" s="53">
        <f t="shared" si="0"/>
        <v>7</v>
      </c>
      <c r="AM14" s="53">
        <f t="shared" si="1"/>
        <v>6</v>
      </c>
      <c r="AN14" s="54">
        <f t="shared" si="2"/>
        <v>145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60.5</v>
      </c>
      <c r="AK15" s="53">
        <f>'CALCULATOR SHEET'!J21</f>
        <v>54</v>
      </c>
      <c r="AL15" s="53">
        <f t="shared" si="0"/>
        <v>8</v>
      </c>
      <c r="AM15" s="53">
        <f t="shared" si="1"/>
        <v>6</v>
      </c>
      <c r="AN15" s="54">
        <f t="shared" si="2"/>
        <v>155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56.75</v>
      </c>
      <c r="AK16" s="53">
        <f>'CALCULATOR SHEET'!J22</f>
        <v>54</v>
      </c>
      <c r="AL16" s="53">
        <f t="shared" si="0"/>
        <v>7</v>
      </c>
      <c r="AM16" s="53">
        <f t="shared" si="1"/>
        <v>6</v>
      </c>
      <c r="AN16" s="54">
        <f t="shared" si="2"/>
        <v>145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21.25</v>
      </c>
      <c r="AK17" s="53">
        <f>'CALCULATOR SHEET'!J23</f>
        <v>140</v>
      </c>
      <c r="AL17" s="53">
        <f t="shared" si="0"/>
        <v>1</v>
      </c>
      <c r="AM17" s="53">
        <f t="shared" si="1"/>
        <v>21</v>
      </c>
      <c r="AN17" s="54" t="str">
        <f t="shared" si="2"/>
        <v>RFQ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25.625</v>
      </c>
      <c r="AK18" s="53">
        <f>'CALCULATOR SHEET'!J24</f>
        <v>140</v>
      </c>
      <c r="AL18" s="53">
        <f t="shared" si="0"/>
        <v>2</v>
      </c>
      <c r="AM18" s="53">
        <f t="shared" si="1"/>
        <v>21</v>
      </c>
      <c r="AN18" s="54" t="str">
        <f t="shared" si="2"/>
        <v>RFQ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36</v>
      </c>
      <c r="AK19" s="53">
        <f>'CALCULATOR SHEET'!J25</f>
        <v>20</v>
      </c>
      <c r="AL19" s="53">
        <f t="shared" si="0"/>
        <v>3</v>
      </c>
      <c r="AM19" s="53">
        <f t="shared" si="1"/>
        <v>1</v>
      </c>
      <c r="AN19" s="54">
        <f t="shared" si="2"/>
        <v>81</v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112</v>
      </c>
      <c r="AK7" s="53">
        <f>'CALCULATOR SHEET'!J13</f>
        <v>54</v>
      </c>
      <c r="AL7" s="53">
        <f t="shared" ref="AL7:AL70" si="0">IF(AJ7=0,"",MATCH(CEILING(AJ7,6),$D$4:$Z$4,0))</f>
        <v>16</v>
      </c>
      <c r="AM7" s="53">
        <f>IF(AK7=0,"",MATCH(CEILING(AK7,6),$C$7:$C$28,0))</f>
        <v>6</v>
      </c>
      <c r="AN7" s="54">
        <f t="shared" ref="AN7:AN70" si="1">IF(AL7="","",INDEX($D$7:$Z$28,AM7,AL7))</f>
        <v>371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108</v>
      </c>
      <c r="AK8" s="53">
        <f>'CALCULATOR SHEET'!J14</f>
        <v>54</v>
      </c>
      <c r="AL8" s="53">
        <f t="shared" si="0"/>
        <v>15</v>
      </c>
      <c r="AM8" s="53">
        <f t="shared" ref="AM8:AM71" si="2">IF(AK8=0,"",MATCH(CEILING(AK8,6),$C$7:$C$28,0))</f>
        <v>6</v>
      </c>
      <c r="AN8" s="54">
        <f t="shared" si="1"/>
        <v>356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73</v>
      </c>
      <c r="AK9" s="53">
        <f>'CALCULATOR SHEET'!J15</f>
        <v>54</v>
      </c>
      <c r="AL9" s="53">
        <f t="shared" si="0"/>
        <v>10</v>
      </c>
      <c r="AM9" s="53">
        <f t="shared" si="2"/>
        <v>6</v>
      </c>
      <c r="AN9" s="54">
        <f t="shared" si="1"/>
        <v>223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69</v>
      </c>
      <c r="AK10" s="53">
        <f>'CALCULATOR SHEET'!J16</f>
        <v>54</v>
      </c>
      <c r="AL10" s="53">
        <f t="shared" si="0"/>
        <v>9</v>
      </c>
      <c r="AM10" s="53">
        <f t="shared" si="2"/>
        <v>6</v>
      </c>
      <c r="AN10" s="54">
        <f t="shared" si="1"/>
        <v>194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62.5</v>
      </c>
      <c r="AK11" s="53">
        <f>'CALCULATOR SHEET'!J17</f>
        <v>86</v>
      </c>
      <c r="AL11" s="53">
        <f t="shared" si="0"/>
        <v>8</v>
      </c>
      <c r="AM11" s="53">
        <f t="shared" si="2"/>
        <v>12</v>
      </c>
      <c r="AN11" s="54">
        <f t="shared" si="1"/>
        <v>245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41</v>
      </c>
      <c r="AK12" s="53">
        <f>'CALCULATOR SHEET'!J18</f>
        <v>86</v>
      </c>
      <c r="AL12" s="53">
        <f t="shared" si="0"/>
        <v>4</v>
      </c>
      <c r="AM12" s="53">
        <f t="shared" si="2"/>
        <v>12</v>
      </c>
      <c r="AN12" s="54">
        <f t="shared" si="1"/>
        <v>175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60.5</v>
      </c>
      <c r="AK13" s="53">
        <f>'CALCULATOR SHEET'!J19</f>
        <v>54</v>
      </c>
      <c r="AL13" s="53">
        <f t="shared" si="0"/>
        <v>8</v>
      </c>
      <c r="AM13" s="53">
        <f t="shared" si="2"/>
        <v>6</v>
      </c>
      <c r="AN13" s="54">
        <f t="shared" si="1"/>
        <v>182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54</v>
      </c>
      <c r="AL14" s="53">
        <f t="shared" si="0"/>
        <v>7</v>
      </c>
      <c r="AM14" s="53">
        <f t="shared" si="2"/>
        <v>6</v>
      </c>
      <c r="AN14" s="54">
        <f t="shared" si="1"/>
        <v>170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60.5</v>
      </c>
      <c r="AK15" s="53">
        <f>'CALCULATOR SHEET'!J21</f>
        <v>54</v>
      </c>
      <c r="AL15" s="53">
        <f t="shared" si="0"/>
        <v>8</v>
      </c>
      <c r="AM15" s="53">
        <f t="shared" si="2"/>
        <v>6</v>
      </c>
      <c r="AN15" s="54">
        <f t="shared" si="1"/>
        <v>182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56.75</v>
      </c>
      <c r="AK16" s="53">
        <f>'CALCULATOR SHEET'!J22</f>
        <v>54</v>
      </c>
      <c r="AL16" s="53">
        <f t="shared" si="0"/>
        <v>7</v>
      </c>
      <c r="AM16" s="53">
        <f t="shared" si="2"/>
        <v>6</v>
      </c>
      <c r="AN16" s="54">
        <f t="shared" si="1"/>
        <v>170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21.25</v>
      </c>
      <c r="AK17" s="53">
        <f>'CALCULATOR SHEET'!J23</f>
        <v>140</v>
      </c>
      <c r="AL17" s="53">
        <f t="shared" si="0"/>
        <v>1</v>
      </c>
      <c r="AM17" s="53">
        <f t="shared" si="2"/>
        <v>21</v>
      </c>
      <c r="AN17" s="54" t="str">
        <f t="shared" si="1"/>
        <v>RFQ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25.625</v>
      </c>
      <c r="AK18" s="53">
        <f>'CALCULATOR SHEET'!J24</f>
        <v>140</v>
      </c>
      <c r="AL18" s="53">
        <f t="shared" si="0"/>
        <v>2</v>
      </c>
      <c r="AM18" s="53">
        <f t="shared" si="2"/>
        <v>21</v>
      </c>
      <c r="AN18" s="54" t="str">
        <f t="shared" si="1"/>
        <v>RFQ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36</v>
      </c>
      <c r="AK19" s="53">
        <f>'CALCULATOR SHEET'!J25</f>
        <v>20</v>
      </c>
      <c r="AL19" s="53">
        <f t="shared" si="0"/>
        <v>3</v>
      </c>
      <c r="AM19" s="53">
        <f t="shared" si="2"/>
        <v>1</v>
      </c>
      <c r="AN19" s="54">
        <f t="shared" si="1"/>
        <v>90</v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1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112</v>
      </c>
      <c r="AK7" s="53">
        <f>'CALCULATOR SHEET'!J13</f>
        <v>54</v>
      </c>
      <c r="AL7" s="53">
        <f>IF(AJ7=0,"",MATCH(CEILING(AJ7,6),$D$4:$Z$4,0))</f>
        <v>16</v>
      </c>
      <c r="AM7" s="53">
        <f>IF(AK7=0,"",MATCH(CEILING(AK7,6),$C$7:$C$28,0))</f>
        <v>6</v>
      </c>
      <c r="AN7" s="54">
        <f>IF(AL7="","",INDEX($D$7:$Z$28,AM7,AL7))</f>
        <v>379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108</v>
      </c>
      <c r="AK8" s="53">
        <f>'CALCULATOR SHEET'!J14</f>
        <v>54</v>
      </c>
      <c r="AL8" s="53">
        <f t="shared" ref="AL8:AL71" si="0">IF(AJ8=0,"",MATCH(CEILING(AJ8,6),$D$4:$Z$4,0))</f>
        <v>15</v>
      </c>
      <c r="AM8" s="53">
        <f t="shared" ref="AM8:AM71" si="1">IF(AK8=0,"",MATCH(CEILING(AK8,6),$C$7:$C$28,0))</f>
        <v>6</v>
      </c>
      <c r="AN8" s="54">
        <f t="shared" ref="AN8:AN71" si="2">IF(AL8="","",INDEX($D$7:$Z$28,AM8,AL8))</f>
        <v>363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73</v>
      </c>
      <c r="AK9" s="53">
        <f>'CALCULATOR SHEET'!J15</f>
        <v>54</v>
      </c>
      <c r="AL9" s="53">
        <f t="shared" si="0"/>
        <v>10</v>
      </c>
      <c r="AM9" s="53">
        <f t="shared" si="1"/>
        <v>6</v>
      </c>
      <c r="AN9" s="54">
        <f t="shared" si="2"/>
        <v>229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69</v>
      </c>
      <c r="AK10" s="53">
        <f>'CALCULATOR SHEET'!J16</f>
        <v>54</v>
      </c>
      <c r="AL10" s="53">
        <f t="shared" si="0"/>
        <v>9</v>
      </c>
      <c r="AM10" s="53">
        <f t="shared" si="1"/>
        <v>6</v>
      </c>
      <c r="AN10" s="54">
        <f t="shared" si="2"/>
        <v>199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62.5</v>
      </c>
      <c r="AK11" s="53">
        <f>'CALCULATOR SHEET'!J17</f>
        <v>86</v>
      </c>
      <c r="AL11" s="53">
        <f t="shared" si="0"/>
        <v>8</v>
      </c>
      <c r="AM11" s="53">
        <f t="shared" si="1"/>
        <v>12</v>
      </c>
      <c r="AN11" s="54">
        <f t="shared" si="2"/>
        <v>252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41</v>
      </c>
      <c r="AK12" s="53">
        <f>'CALCULATOR SHEET'!J18</f>
        <v>86</v>
      </c>
      <c r="AL12" s="53">
        <f t="shared" si="0"/>
        <v>4</v>
      </c>
      <c r="AM12" s="53">
        <f t="shared" si="1"/>
        <v>12</v>
      </c>
      <c r="AN12" s="54">
        <f t="shared" si="2"/>
        <v>179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60.5</v>
      </c>
      <c r="AK13" s="53">
        <f>'CALCULATOR SHEET'!J19</f>
        <v>54</v>
      </c>
      <c r="AL13" s="53">
        <f t="shared" si="0"/>
        <v>8</v>
      </c>
      <c r="AM13" s="53">
        <f t="shared" si="1"/>
        <v>6</v>
      </c>
      <c r="AN13" s="54">
        <f t="shared" si="2"/>
        <v>187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54</v>
      </c>
      <c r="AL14" s="53">
        <f t="shared" si="0"/>
        <v>7</v>
      </c>
      <c r="AM14" s="53">
        <f t="shared" si="1"/>
        <v>6</v>
      </c>
      <c r="AN14" s="54">
        <f t="shared" si="2"/>
        <v>174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60.5</v>
      </c>
      <c r="AK15" s="53">
        <f>'CALCULATOR SHEET'!J21</f>
        <v>54</v>
      </c>
      <c r="AL15" s="53">
        <f t="shared" si="0"/>
        <v>8</v>
      </c>
      <c r="AM15" s="53">
        <f t="shared" si="1"/>
        <v>6</v>
      </c>
      <c r="AN15" s="54">
        <f t="shared" si="2"/>
        <v>187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56.75</v>
      </c>
      <c r="AK16" s="53">
        <f>'CALCULATOR SHEET'!J22</f>
        <v>54</v>
      </c>
      <c r="AL16" s="53">
        <f t="shared" si="0"/>
        <v>7</v>
      </c>
      <c r="AM16" s="53">
        <f t="shared" si="1"/>
        <v>6</v>
      </c>
      <c r="AN16" s="54">
        <f t="shared" si="2"/>
        <v>174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21.25</v>
      </c>
      <c r="AK17" s="53">
        <f>'CALCULATOR SHEET'!J23</f>
        <v>140</v>
      </c>
      <c r="AL17" s="53">
        <f t="shared" si="0"/>
        <v>1</v>
      </c>
      <c r="AM17" s="53">
        <f t="shared" si="1"/>
        <v>21</v>
      </c>
      <c r="AN17" s="54" t="str">
        <f t="shared" si="2"/>
        <v>RFQ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25.625</v>
      </c>
      <c r="AK18" s="53">
        <f>'CALCULATOR SHEET'!J24</f>
        <v>140</v>
      </c>
      <c r="AL18" s="53">
        <f t="shared" si="0"/>
        <v>2</v>
      </c>
      <c r="AM18" s="53">
        <f t="shared" si="1"/>
        <v>21</v>
      </c>
      <c r="AN18" s="54" t="str">
        <f t="shared" si="2"/>
        <v>RFQ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36</v>
      </c>
      <c r="AK19" s="53">
        <f>'CALCULATOR SHEET'!J25</f>
        <v>20</v>
      </c>
      <c r="AL19" s="53">
        <f t="shared" si="0"/>
        <v>3</v>
      </c>
      <c r="AM19" s="53">
        <f t="shared" si="1"/>
        <v>1</v>
      </c>
      <c r="AN19" s="54">
        <f t="shared" si="2"/>
        <v>91</v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112</v>
      </c>
      <c r="AK7" s="53">
        <f>'CALCULATOR SHEET'!J13</f>
        <v>54</v>
      </c>
      <c r="AL7" s="53">
        <f>IF(AJ7=0,"",MATCH(CEILING(AJ7,6),$D$4:$Z$4,0))</f>
        <v>16</v>
      </c>
      <c r="AM7" s="53">
        <f>IF(AK7=0,"",MATCH(CEILING(AK7,6),$C$7:$C$28,0))</f>
        <v>6</v>
      </c>
      <c r="AN7" s="54">
        <f>IF(AL7="","",INDEX($D$7:$Z$28,AM7,AL7))</f>
        <v>435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108</v>
      </c>
      <c r="AK8" s="53">
        <f>'CALCULATOR SHEET'!J14</f>
        <v>54</v>
      </c>
      <c r="AL8" s="53">
        <f t="shared" ref="AL8:AL71" si="0">IF(AJ8=0,"",MATCH(CEILING(AJ8,6),$D$4:$Z$4,0))</f>
        <v>15</v>
      </c>
      <c r="AM8" s="53">
        <f t="shared" ref="AM8:AM71" si="1">IF(AK8=0,"",MATCH(CEILING(AK8,6),$C$7:$C$28,0))</f>
        <v>6</v>
      </c>
      <c r="AN8" s="54">
        <f t="shared" ref="AN8:AN71" si="2">IF(AL8="","",INDEX($D$7:$Z$28,AM8,AL8))</f>
        <v>417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73</v>
      </c>
      <c r="AK9" s="53">
        <f>'CALCULATOR SHEET'!J15</f>
        <v>54</v>
      </c>
      <c r="AL9" s="53">
        <f t="shared" si="0"/>
        <v>10</v>
      </c>
      <c r="AM9" s="53">
        <f t="shared" si="1"/>
        <v>6</v>
      </c>
      <c r="AN9" s="54">
        <f t="shared" si="2"/>
        <v>267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69</v>
      </c>
      <c r="AK10" s="53">
        <f>'CALCULATOR SHEET'!J16</f>
        <v>54</v>
      </c>
      <c r="AL10" s="53">
        <f t="shared" si="0"/>
        <v>9</v>
      </c>
      <c r="AM10" s="53">
        <f t="shared" si="1"/>
        <v>6</v>
      </c>
      <c r="AN10" s="54">
        <f t="shared" si="2"/>
        <v>235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62.5</v>
      </c>
      <c r="AK11" s="53">
        <f>'CALCULATOR SHEET'!J17</f>
        <v>86</v>
      </c>
      <c r="AL11" s="53">
        <f t="shared" si="0"/>
        <v>8</v>
      </c>
      <c r="AM11" s="53">
        <f t="shared" si="1"/>
        <v>12</v>
      </c>
      <c r="AN11" s="54">
        <f t="shared" si="2"/>
        <v>302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41</v>
      </c>
      <c r="AK12" s="53">
        <f>'CALCULATOR SHEET'!J18</f>
        <v>86</v>
      </c>
      <c r="AL12" s="53">
        <f t="shared" si="0"/>
        <v>4</v>
      </c>
      <c r="AM12" s="53">
        <f t="shared" si="1"/>
        <v>12</v>
      </c>
      <c r="AN12" s="54">
        <f t="shared" si="2"/>
        <v>211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60.5</v>
      </c>
      <c r="AK13" s="53">
        <f>'CALCULATOR SHEET'!J19</f>
        <v>54</v>
      </c>
      <c r="AL13" s="53">
        <f t="shared" si="0"/>
        <v>8</v>
      </c>
      <c r="AM13" s="53">
        <f t="shared" si="1"/>
        <v>6</v>
      </c>
      <c r="AN13" s="54">
        <f t="shared" si="2"/>
        <v>219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54</v>
      </c>
      <c r="AL14" s="53">
        <f t="shared" si="0"/>
        <v>7</v>
      </c>
      <c r="AM14" s="53">
        <f t="shared" si="1"/>
        <v>6</v>
      </c>
      <c r="AN14" s="54">
        <f t="shared" si="2"/>
        <v>204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60.5</v>
      </c>
      <c r="AK15" s="53">
        <f>'CALCULATOR SHEET'!J21</f>
        <v>54</v>
      </c>
      <c r="AL15" s="53">
        <f t="shared" si="0"/>
        <v>8</v>
      </c>
      <c r="AM15" s="53">
        <f t="shared" si="1"/>
        <v>6</v>
      </c>
      <c r="AN15" s="54">
        <f t="shared" si="2"/>
        <v>219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56.75</v>
      </c>
      <c r="AK16" s="53">
        <f>'CALCULATOR SHEET'!J22</f>
        <v>54</v>
      </c>
      <c r="AL16" s="53">
        <f t="shared" si="0"/>
        <v>7</v>
      </c>
      <c r="AM16" s="53">
        <f t="shared" si="1"/>
        <v>6</v>
      </c>
      <c r="AN16" s="54">
        <f t="shared" si="2"/>
        <v>204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21.25</v>
      </c>
      <c r="AK17" s="53">
        <f>'CALCULATOR SHEET'!J23</f>
        <v>140</v>
      </c>
      <c r="AL17" s="53">
        <f t="shared" si="0"/>
        <v>1</v>
      </c>
      <c r="AM17" s="53">
        <f t="shared" si="1"/>
        <v>21</v>
      </c>
      <c r="AN17" s="54" t="str">
        <f t="shared" si="2"/>
        <v>RFQ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25.625</v>
      </c>
      <c r="AK18" s="53">
        <f>'CALCULATOR SHEET'!J24</f>
        <v>140</v>
      </c>
      <c r="AL18" s="53">
        <f t="shared" si="0"/>
        <v>2</v>
      </c>
      <c r="AM18" s="53">
        <f t="shared" si="1"/>
        <v>21</v>
      </c>
      <c r="AN18" s="54" t="str">
        <f t="shared" si="2"/>
        <v>RFQ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36</v>
      </c>
      <c r="AK19" s="53">
        <f>'CALCULATOR SHEET'!J25</f>
        <v>20</v>
      </c>
      <c r="AL19" s="53">
        <f t="shared" si="0"/>
        <v>3</v>
      </c>
      <c r="AM19" s="53">
        <f t="shared" si="1"/>
        <v>1</v>
      </c>
      <c r="AN19" s="54">
        <f t="shared" si="2"/>
        <v>101</v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112</v>
      </c>
      <c r="AK7" s="53">
        <f>'CALCULATOR SHEET'!J13</f>
        <v>54</v>
      </c>
      <c r="AL7" s="53">
        <f>IF(AJ7=0,"",MATCH(CEILING(AJ7,6),$D$4:$Z$4,0))</f>
        <v>16</v>
      </c>
      <c r="AM7" s="53">
        <f>IF(AK7=0,"",MATCH(CEILING(AK7,6),$C$7:$C$28,0))</f>
        <v>6</v>
      </c>
      <c r="AN7" s="54">
        <f>IF(AL7="","",INDEX($D$7:$Z$28,AM7,AL7))</f>
        <v>486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108</v>
      </c>
      <c r="AK8" s="53">
        <f>'CALCULATOR SHEET'!J14</f>
        <v>54</v>
      </c>
      <c r="AL8" s="53">
        <f t="shared" ref="AL8:AL71" si="1">IF(AJ8=0,"",MATCH(CEILING(AJ8,6),$D$4:$Z$4,0))</f>
        <v>15</v>
      </c>
      <c r="AM8" s="53">
        <f t="shared" ref="AM8:AM71" si="2">IF(AK8=0,"",MATCH(CEILING(AK8,6),$C$7:$C$28,0))</f>
        <v>6</v>
      </c>
      <c r="AN8" s="54">
        <f t="shared" ref="AN8:AN71" si="3">IF(AL8="","",INDEX($D$7:$Z$28,AM8,AL8))</f>
        <v>465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73</v>
      </c>
      <c r="AK9" s="53">
        <f>'CALCULATOR SHEET'!J15</f>
        <v>54</v>
      </c>
      <c r="AL9" s="53">
        <f>IF(AJ9=0,"",MATCH(CEILING(AJ9,6),$D$4:$Z$4,0))</f>
        <v>10</v>
      </c>
      <c r="AM9" s="53">
        <f t="shared" si="2"/>
        <v>6</v>
      </c>
      <c r="AN9" s="54">
        <f t="shared" si="3"/>
        <v>302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69</v>
      </c>
      <c r="AK10" s="53">
        <f>'CALCULATOR SHEET'!J16</f>
        <v>54</v>
      </c>
      <c r="AL10" s="53">
        <f t="shared" si="1"/>
        <v>9</v>
      </c>
      <c r="AM10" s="53">
        <f t="shared" si="2"/>
        <v>6</v>
      </c>
      <c r="AN10" s="54">
        <f t="shared" si="3"/>
        <v>267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62.5</v>
      </c>
      <c r="AK11" s="53">
        <f>'CALCULATOR SHEET'!J17</f>
        <v>86</v>
      </c>
      <c r="AL11" s="53">
        <f t="shared" si="1"/>
        <v>8</v>
      </c>
      <c r="AM11" s="53">
        <f t="shared" si="2"/>
        <v>12</v>
      </c>
      <c r="AN11" s="54">
        <f t="shared" si="3"/>
        <v>346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41</v>
      </c>
      <c r="AK12" s="53">
        <f>'CALCULATOR SHEET'!J18</f>
        <v>86</v>
      </c>
      <c r="AL12" s="53">
        <f t="shared" si="1"/>
        <v>4</v>
      </c>
      <c r="AM12" s="53">
        <f t="shared" si="2"/>
        <v>12</v>
      </c>
      <c r="AN12" s="54">
        <f t="shared" si="3"/>
        <v>239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60.5</v>
      </c>
      <c r="AK13" s="53">
        <f>'CALCULATOR SHEET'!J19</f>
        <v>54</v>
      </c>
      <c r="AL13" s="53">
        <f t="shared" si="1"/>
        <v>8</v>
      </c>
      <c r="AM13" s="53">
        <f t="shared" si="2"/>
        <v>6</v>
      </c>
      <c r="AN13" s="54">
        <f t="shared" si="3"/>
        <v>249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56.5</v>
      </c>
      <c r="AK14" s="53">
        <f>'CALCULATOR SHEET'!J20</f>
        <v>54</v>
      </c>
      <c r="AL14" s="53">
        <f t="shared" si="1"/>
        <v>7</v>
      </c>
      <c r="AM14" s="53">
        <f t="shared" si="2"/>
        <v>6</v>
      </c>
      <c r="AN14" s="54">
        <f t="shared" si="3"/>
        <v>230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60.5</v>
      </c>
      <c r="AK15" s="53">
        <f>'CALCULATOR SHEET'!J21</f>
        <v>54</v>
      </c>
      <c r="AL15" s="53">
        <f t="shared" si="1"/>
        <v>8</v>
      </c>
      <c r="AM15" s="53">
        <f t="shared" si="2"/>
        <v>6</v>
      </c>
      <c r="AN15" s="54">
        <f t="shared" si="3"/>
        <v>249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56.75</v>
      </c>
      <c r="AK16" s="53">
        <f>'CALCULATOR SHEET'!J22</f>
        <v>54</v>
      </c>
      <c r="AL16" s="53">
        <f t="shared" si="1"/>
        <v>7</v>
      </c>
      <c r="AM16" s="53">
        <f t="shared" si="2"/>
        <v>6</v>
      </c>
      <c r="AN16" s="54">
        <f t="shared" si="3"/>
        <v>230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21.25</v>
      </c>
      <c r="AK17" s="53">
        <f>'CALCULATOR SHEET'!J23</f>
        <v>140</v>
      </c>
      <c r="AL17" s="53">
        <f t="shared" si="1"/>
        <v>1</v>
      </c>
      <c r="AM17" s="53">
        <f t="shared" si="2"/>
        <v>21</v>
      </c>
      <c r="AN17" s="54" t="str">
        <f t="shared" si="3"/>
        <v>RFQ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25.625</v>
      </c>
      <c r="AK18" s="53">
        <f>'CALCULATOR SHEET'!J24</f>
        <v>140</v>
      </c>
      <c r="AL18" s="53">
        <f t="shared" si="1"/>
        <v>2</v>
      </c>
      <c r="AM18" s="53">
        <f t="shared" si="2"/>
        <v>21</v>
      </c>
      <c r="AN18" s="54" t="str">
        <f t="shared" si="3"/>
        <v>RFQ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36</v>
      </c>
      <c r="AK19" s="53">
        <f>'CALCULATOR SHEET'!J25</f>
        <v>20</v>
      </c>
      <c r="AL19" s="53">
        <f t="shared" si="1"/>
        <v>3</v>
      </c>
      <c r="AM19" s="53">
        <f t="shared" si="2"/>
        <v>1</v>
      </c>
      <c r="AN19" s="54">
        <f t="shared" si="3"/>
        <v>110</v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112</v>
      </c>
      <c r="AK7" s="53">
        <f>'CALCULATOR SHEET'!J13</f>
        <v>54</v>
      </c>
      <c r="AL7" s="53">
        <f>IF(AJ7=0,"",MATCH(CEILING(AJ7,6),$D$4:$Z$4,0))</f>
        <v>16</v>
      </c>
      <c r="AM7" s="53">
        <f>IF(AK7=0,"",MATCH(CEILING(AK7,6),$C$7:$C$28,0))</f>
        <v>6</v>
      </c>
      <c r="AN7" s="54">
        <f>IF(AL7="","",INDEX($D$7:$Z$28,AM7,AL7))</f>
        <v>523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108</v>
      </c>
      <c r="AK8" s="53">
        <f>'CALCULATOR SHEET'!J14</f>
        <v>54</v>
      </c>
      <c r="AL8" s="53">
        <f t="shared" ref="AL8:AL71" si="17">IF(AJ8=0,"",MATCH(CEILING(AJ8,6),$D$4:$Z$4,0))</f>
        <v>15</v>
      </c>
      <c r="AM8" s="53">
        <f t="shared" ref="AM8:AM71" si="18">IF(AK8=0,"",MATCH(CEILING(AK8,6),$C$7:$C$28,0))</f>
        <v>6</v>
      </c>
      <c r="AN8" s="54">
        <f t="shared" ref="AN8:AN71" si="19">IF(AL8="","",INDEX($D$7:$Z$28,AM8,AL8))</f>
        <v>499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73</v>
      </c>
      <c r="AK9" s="53">
        <f>'CALCULATOR SHEET'!J15</f>
        <v>54</v>
      </c>
      <c r="AL9" s="53">
        <f t="shared" si="17"/>
        <v>10</v>
      </c>
      <c r="AM9" s="53">
        <f t="shared" si="18"/>
        <v>6</v>
      </c>
      <c r="AN9" s="54">
        <f t="shared" si="19"/>
        <v>356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69</v>
      </c>
      <c r="AK10" s="53">
        <f>'CALCULATOR SHEET'!J16</f>
        <v>54</v>
      </c>
      <c r="AL10" s="53">
        <f t="shared" si="17"/>
        <v>9</v>
      </c>
      <c r="AM10" s="53">
        <f t="shared" si="18"/>
        <v>6</v>
      </c>
      <c r="AN10" s="54">
        <f t="shared" si="19"/>
        <v>332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62.5</v>
      </c>
      <c r="AK11" s="53">
        <f>'CALCULATOR SHEET'!J17</f>
        <v>86</v>
      </c>
      <c r="AL11" s="53">
        <f t="shared" si="17"/>
        <v>8</v>
      </c>
      <c r="AM11" s="53">
        <f t="shared" si="18"/>
        <v>12</v>
      </c>
      <c r="AN11" s="54">
        <f t="shared" si="19"/>
        <v>436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41</v>
      </c>
      <c r="AK12" s="53">
        <f>'CALCULATOR SHEET'!J18</f>
        <v>86</v>
      </c>
      <c r="AL12" s="53">
        <f t="shared" si="17"/>
        <v>4</v>
      </c>
      <c r="AM12" s="53">
        <f t="shared" si="18"/>
        <v>12</v>
      </c>
      <c r="AN12" s="54">
        <f t="shared" si="19"/>
        <v>299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60.5</v>
      </c>
      <c r="AK13" s="53">
        <f>'CALCULATOR SHEET'!J19</f>
        <v>54</v>
      </c>
      <c r="AL13" s="53">
        <f t="shared" si="17"/>
        <v>8</v>
      </c>
      <c r="AM13" s="53">
        <f t="shared" si="18"/>
        <v>6</v>
      </c>
      <c r="AN13" s="54">
        <f t="shared" si="19"/>
        <v>310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56.5</v>
      </c>
      <c r="AK14" s="53">
        <f>'CALCULATOR SHEET'!J20</f>
        <v>54</v>
      </c>
      <c r="AL14" s="53">
        <f t="shared" si="17"/>
        <v>7</v>
      </c>
      <c r="AM14" s="53">
        <f t="shared" si="18"/>
        <v>6</v>
      </c>
      <c r="AN14" s="54">
        <f t="shared" si="19"/>
        <v>286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60.5</v>
      </c>
      <c r="AK15" s="53">
        <f>'CALCULATOR SHEET'!J21</f>
        <v>54</v>
      </c>
      <c r="AL15" s="53">
        <f t="shared" si="17"/>
        <v>8</v>
      </c>
      <c r="AM15" s="53">
        <f t="shared" si="18"/>
        <v>6</v>
      </c>
      <c r="AN15" s="54">
        <f t="shared" si="19"/>
        <v>310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56.75</v>
      </c>
      <c r="AK16" s="53">
        <f>'CALCULATOR SHEET'!J22</f>
        <v>54</v>
      </c>
      <c r="AL16" s="53">
        <f t="shared" si="17"/>
        <v>7</v>
      </c>
      <c r="AM16" s="53">
        <f t="shared" si="18"/>
        <v>6</v>
      </c>
      <c r="AN16" s="54">
        <f t="shared" si="19"/>
        <v>286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21.25</v>
      </c>
      <c r="AK17" s="53">
        <f>'CALCULATOR SHEET'!J23</f>
        <v>140</v>
      </c>
      <c r="AL17" s="53">
        <f t="shared" si="17"/>
        <v>1</v>
      </c>
      <c r="AM17" s="53">
        <f t="shared" si="18"/>
        <v>21</v>
      </c>
      <c r="AN17" s="54" t="str">
        <f t="shared" si="19"/>
        <v>RFQ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25.625</v>
      </c>
      <c r="AK18" s="53">
        <f>'CALCULATOR SHEET'!J24</f>
        <v>140</v>
      </c>
      <c r="AL18" s="53">
        <f t="shared" si="17"/>
        <v>2</v>
      </c>
      <c r="AM18" s="53">
        <f t="shared" si="18"/>
        <v>21</v>
      </c>
      <c r="AN18" s="54" t="str">
        <f t="shared" si="19"/>
        <v>RFQ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36</v>
      </c>
      <c r="AK19" s="53">
        <f>'CALCULATOR SHEET'!J25</f>
        <v>20</v>
      </c>
      <c r="AL19" s="53">
        <f t="shared" si="17"/>
        <v>3</v>
      </c>
      <c r="AM19" s="53">
        <f t="shared" si="18"/>
        <v>1</v>
      </c>
      <c r="AN19" s="54">
        <f t="shared" si="19"/>
        <v>133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6</v>
      </c>
      <c r="X7" s="1">
        <v>1</v>
      </c>
      <c r="Y7" s="7">
        <f>'CALCULATOR SHEET'!I13</f>
        <v>112</v>
      </c>
      <c r="Z7" s="7">
        <f>'CALCULATOR SHEET'!J13</f>
        <v>54</v>
      </c>
      <c r="AA7" s="7">
        <f>IF(Y7=0,"",MATCH(CEILING(Y7,6),$C$7:$R$7,0))</f>
        <v>15</v>
      </c>
      <c r="AB7" s="7">
        <f>IF(Z7=0,"",MATCH(CEILING(Z7,6),$B$10:$B$26,0))</f>
        <v>4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204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1</v>
      </c>
      <c r="X8" s="1">
        <f>+X7+1</f>
        <v>2</v>
      </c>
      <c r="Y8" s="7">
        <f>'CALCULATOR SHEET'!I14</f>
        <v>108</v>
      </c>
      <c r="Z8" s="7">
        <f>'CALCULATOR SHEET'!J14</f>
        <v>54</v>
      </c>
      <c r="AA8" s="7">
        <f t="shared" ref="AA8:AA28" si="1">IF(Y8=0,"",MATCH(CEILING(Y8,6),$C$7:$R$7,0))</f>
        <v>14</v>
      </c>
      <c r="AB8" s="7">
        <f t="shared" ref="AB8:AB28" si="2">IF(Z8=0,"",MATCH(CEILING(Z8,6),$B$10:$B$26,0))</f>
        <v>4</v>
      </c>
      <c r="AC8" s="146">
        <f t="shared" ref="AC8:AC71" si="3">IF(AA8="","",IF(W8="GROUP 1",INDEX($C$10:$R$26,AB8,AA8),IF(W8="GROUP 2",INDEX($C$39:$R$55,AB8,AA8),IF(W8="GROUP 3",INDEX($C$64:$R$80,AB8,AA8),""))))</f>
        <v>907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204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6</v>
      </c>
      <c r="X9" s="1">
        <f t="shared" ref="X9:X28" si="6">+X8+1</f>
        <v>3</v>
      </c>
      <c r="Y9" s="7">
        <f>'CALCULATOR SHEET'!I15</f>
        <v>73</v>
      </c>
      <c r="Z9" s="7">
        <f>'CALCULATOR SHEET'!J15</f>
        <v>54</v>
      </c>
      <c r="AA9" s="7">
        <f t="shared" si="1"/>
        <v>9</v>
      </c>
      <c r="AB9" s="7">
        <f t="shared" si="2"/>
        <v>4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204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1</v>
      </c>
      <c r="X10" s="1">
        <f t="shared" si="6"/>
        <v>4</v>
      </c>
      <c r="Y10" s="7">
        <f>'CALCULATOR SHEET'!I16</f>
        <v>69</v>
      </c>
      <c r="Z10" s="7">
        <f>'CALCULATOR SHEET'!J16</f>
        <v>54</v>
      </c>
      <c r="AA10" s="7">
        <f t="shared" si="1"/>
        <v>8</v>
      </c>
      <c r="AB10" s="7">
        <f t="shared" si="2"/>
        <v>4</v>
      </c>
      <c r="AC10" s="146">
        <f t="shared" si="3"/>
        <v>804</v>
      </c>
      <c r="AD10" s="13" t="str">
        <f>IF(AND('CALCULATOR SHEET'!P16="YES",'CALCULATOR SHEET'!Q16="YES"),HLOOKUP(CEILING(Y10,6),$C$28:$Q$31,3,FALSE),"")</f>
        <v/>
      </c>
      <c r="AE10" s="13">
        <f t="shared" si="4"/>
        <v>204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1</v>
      </c>
      <c r="X11" s="1">
        <f t="shared" si="6"/>
        <v>5</v>
      </c>
      <c r="Y11" s="7">
        <f>'CALCULATOR SHEET'!I17</f>
        <v>62.5</v>
      </c>
      <c r="Z11" s="7">
        <f>'CALCULATOR SHEET'!J17</f>
        <v>86</v>
      </c>
      <c r="AA11" s="7">
        <f t="shared" si="1"/>
        <v>7</v>
      </c>
      <c r="AB11" s="7">
        <f t="shared" si="2"/>
        <v>10</v>
      </c>
      <c r="AC11" s="146">
        <f t="shared" si="3"/>
        <v>820</v>
      </c>
      <c r="AD11" s="13" t="str">
        <f>IF(AND('CALCULATOR SHEET'!P17="YES",'CALCULATOR SHEET'!Q17="YES"),HLOOKUP(CEILING(Y11,6),$C$28:$Q$31,3,FALSE),"")</f>
        <v/>
      </c>
      <c r="AE11" s="13">
        <f t="shared" si="4"/>
        <v>211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1</v>
      </c>
      <c r="X12" s="1">
        <f t="shared" si="6"/>
        <v>6</v>
      </c>
      <c r="Y12" s="7">
        <f>'CALCULATOR SHEET'!I18</f>
        <v>41</v>
      </c>
      <c r="Z12" s="7">
        <f>'CALCULATOR SHEET'!J18</f>
        <v>86</v>
      </c>
      <c r="AA12" s="7">
        <f t="shared" si="1"/>
        <v>3</v>
      </c>
      <c r="AB12" s="7">
        <f t="shared" si="2"/>
        <v>10</v>
      </c>
      <c r="AC12" s="146">
        <f t="shared" si="3"/>
        <v>739</v>
      </c>
      <c r="AD12" s="13" t="str">
        <f>IF(AND('CALCULATOR SHEET'!P18="YES",'CALCULATOR SHEET'!Q18="YES"),HLOOKUP(CEILING(Y12,6),$C$28:$Q$31,3,FALSE),"")</f>
        <v/>
      </c>
      <c r="AE12" s="13">
        <f t="shared" si="4"/>
        <v>211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6</v>
      </c>
      <c r="X13" s="1">
        <f t="shared" si="6"/>
        <v>7</v>
      </c>
      <c r="Y13" s="7">
        <f>'CALCULATOR SHEET'!I19</f>
        <v>60.5</v>
      </c>
      <c r="Z13" s="7">
        <f>'CALCULATOR SHEET'!J19</f>
        <v>54</v>
      </c>
      <c r="AA13" s="7">
        <f t="shared" si="1"/>
        <v>7</v>
      </c>
      <c r="AB13" s="7">
        <f t="shared" si="2"/>
        <v>4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204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1</v>
      </c>
      <c r="X14" s="1">
        <f t="shared" si="6"/>
        <v>8</v>
      </c>
      <c r="Y14" s="7">
        <f>'CALCULATOR SHEET'!I20</f>
        <v>56.5</v>
      </c>
      <c r="Z14" s="7">
        <f>'CALCULATOR SHEET'!J20</f>
        <v>54</v>
      </c>
      <c r="AA14" s="7">
        <f t="shared" si="1"/>
        <v>6</v>
      </c>
      <c r="AB14" s="7">
        <f t="shared" si="2"/>
        <v>4</v>
      </c>
      <c r="AC14" s="146">
        <f t="shared" si="3"/>
        <v>770</v>
      </c>
      <c r="AD14" s="13" t="str">
        <f>IF(AND('CALCULATOR SHEET'!P20="YES",'CALCULATOR SHEET'!Q20="YES"),HLOOKUP(CEILING(Y14,6),$C$28:$Q$31,3,FALSE),"")</f>
        <v/>
      </c>
      <c r="AE14" s="13">
        <f t="shared" si="4"/>
        <v>204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6</v>
      </c>
      <c r="X15" s="1">
        <f t="shared" si="6"/>
        <v>9</v>
      </c>
      <c r="Y15" s="7">
        <f>'CALCULATOR SHEET'!I21</f>
        <v>60.5</v>
      </c>
      <c r="Z15" s="7">
        <f>'CALCULATOR SHEET'!J21</f>
        <v>54</v>
      </c>
      <c r="AA15" s="7">
        <f t="shared" si="1"/>
        <v>7</v>
      </c>
      <c r="AB15" s="7">
        <f t="shared" si="2"/>
        <v>4</v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>
        <f t="shared" si="4"/>
        <v>204</v>
      </c>
      <c r="AF15" s="13">
        <f t="shared" si="5"/>
        <v>0</v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1</v>
      </c>
      <c r="X16" s="1">
        <f t="shared" si="6"/>
        <v>10</v>
      </c>
      <c r="Y16" s="7">
        <f>'CALCULATOR SHEET'!I22</f>
        <v>56.75</v>
      </c>
      <c r="Z16" s="7">
        <f>'CALCULATOR SHEET'!J22</f>
        <v>54</v>
      </c>
      <c r="AA16" s="7">
        <f t="shared" si="1"/>
        <v>6</v>
      </c>
      <c r="AB16" s="7">
        <f t="shared" si="2"/>
        <v>4</v>
      </c>
      <c r="AC16" s="146">
        <f t="shared" si="3"/>
        <v>770</v>
      </c>
      <c r="AD16" s="13" t="str">
        <f>IF(AND('CALCULATOR SHEET'!P22="YES",'CALCULATOR SHEET'!Q22="YES"),HLOOKUP(CEILING(Y16,6),$C$28:$Q$31,3,FALSE),"")</f>
        <v/>
      </c>
      <c r="AE16" s="13">
        <f t="shared" si="4"/>
        <v>204</v>
      </c>
      <c r="AF16" s="13">
        <f t="shared" si="5"/>
        <v>0</v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6</v>
      </c>
      <c r="X17" s="1">
        <f t="shared" si="6"/>
        <v>11</v>
      </c>
      <c r="Y17" s="7">
        <f>'CALCULATOR SHEET'!I23</f>
        <v>21.25</v>
      </c>
      <c r="Z17" s="7">
        <f>'CALCULATOR SHEET'!J23</f>
        <v>140</v>
      </c>
      <c r="AA17" s="7" t="e">
        <f t="shared" si="1"/>
        <v>#N/A</v>
      </c>
      <c r="AB17" s="7" t="e">
        <f t="shared" si="2"/>
        <v>#N/A</v>
      </c>
      <c r="AC17" s="146" t="e">
        <f t="shared" si="3"/>
        <v>#N/A</v>
      </c>
      <c r="AD17" s="13" t="str">
        <f>IF(AND('CALCULATOR SHEET'!P23="YES",'CALCULATOR SHEET'!Q23="YES"),HLOOKUP(CEILING(Y17,6),$C$28:$Q$31,3,FALSE),"")</f>
        <v/>
      </c>
      <c r="AE17" s="13" t="e">
        <f t="shared" si="4"/>
        <v>#N/A</v>
      </c>
      <c r="AF17" s="13" t="e">
        <f t="shared" si="5"/>
        <v>#N/A</v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1</v>
      </c>
      <c r="X18" s="1">
        <f t="shared" si="6"/>
        <v>12</v>
      </c>
      <c r="Y18" s="7">
        <f>'CALCULATOR SHEET'!I24</f>
        <v>25.625</v>
      </c>
      <c r="Z18" s="7">
        <f>'CALCULATOR SHEET'!J24</f>
        <v>140</v>
      </c>
      <c r="AA18" s="7">
        <f t="shared" si="1"/>
        <v>1</v>
      </c>
      <c r="AB18" s="7" t="e">
        <f t="shared" si="2"/>
        <v>#N/A</v>
      </c>
      <c r="AC18" s="146" t="e">
        <f t="shared" si="3"/>
        <v>#N/A</v>
      </c>
      <c r="AD18" s="13" t="str">
        <f>IF(AND('CALCULATOR SHEET'!P24="YES",'CALCULATOR SHEET'!Q24="YES"),HLOOKUP(CEILING(Y18,6),$C$28:$Q$31,3,FALSE),"")</f>
        <v/>
      </c>
      <c r="AE18" s="13" t="e">
        <f t="shared" si="4"/>
        <v>#N/A</v>
      </c>
      <c r="AF18" s="13">
        <f t="shared" si="5"/>
        <v>0</v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 t="str">
        <f>'CALCULATOR SHEET'!E25</f>
        <v>GROUP 1</v>
      </c>
      <c r="X19" s="1">
        <f t="shared" si="6"/>
        <v>13</v>
      </c>
      <c r="Y19" s="7">
        <f>'CALCULATOR SHEET'!I25</f>
        <v>36</v>
      </c>
      <c r="Z19" s="7">
        <f>'CALCULATOR SHEET'!J25</f>
        <v>20</v>
      </c>
      <c r="AA19" s="7">
        <f t="shared" si="1"/>
        <v>2</v>
      </c>
      <c r="AB19" s="7" t="e">
        <f t="shared" si="2"/>
        <v>#N/A</v>
      </c>
      <c r="AC19" s="146" t="e">
        <f t="shared" si="3"/>
        <v>#N/A</v>
      </c>
      <c r="AD19" s="13" t="str">
        <f>IF(AND('CALCULATOR SHEET'!P25="YES",'CALCULATOR SHEET'!Q25="YES"),HLOOKUP(CEILING(Y19,6),$C$28:$Q$31,3,FALSE),"")</f>
        <v/>
      </c>
      <c r="AE19" s="13" t="e">
        <f t="shared" si="4"/>
        <v>#N/A</v>
      </c>
      <c r="AF19" s="13">
        <f t="shared" si="5"/>
        <v>0</v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 t="str">
        <f>'CALCULATOR SHEET'!E54</f>
        <v>SERVICIO DE DESMONTAJE Y MONTAJE DE PANELES DE TELA BLACK OUT Y SCREEN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112</v>
      </c>
      <c r="W7" s="7">
        <f>'CALCULATOR SHEET'!J13</f>
        <v>54</v>
      </c>
      <c r="X7" s="7" t="e">
        <f>IF(V7=0,"",MATCH(CEILING(V7,6),$C$8:$Q$8,0))</f>
        <v>#N/A</v>
      </c>
      <c r="Y7" s="7">
        <f>IF(W7=0,"",MATCH(CEILING(W7,6),$B$10:$B$26,0))</f>
        <v>6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108</v>
      </c>
      <c r="W8" s="7">
        <f>'CALCULATOR SHEET'!J14</f>
        <v>54</v>
      </c>
      <c r="X8" s="7">
        <f t="shared" ref="X8:X73" si="0">IF(V8=0,"",MATCH(CEILING(V8,6),$C$8:$Q$8,0))</f>
        <v>15</v>
      </c>
      <c r="Y8" s="7">
        <f t="shared" ref="Y8:Y71" si="1">IF(W8=0,"",MATCH(CEILING(W8,6),$B$10:$B$26,0))</f>
        <v>6</v>
      </c>
      <c r="Z8" s="146">
        <f>IF(X8="","",INDEX($C$12:$Q$26,Y8,X8))</f>
        <v>448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73</v>
      </c>
      <c r="W9" s="7">
        <f>'CALCULATOR SHEET'!J15</f>
        <v>54</v>
      </c>
      <c r="X9" s="7">
        <f t="shared" si="0"/>
        <v>10</v>
      </c>
      <c r="Y9" s="7">
        <f t="shared" si="1"/>
        <v>6</v>
      </c>
      <c r="Z9" s="146">
        <f>IF(X9="","",INDEX($C$12:$Q$26,Y9,X9))</f>
        <v>332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69</v>
      </c>
      <c r="W12" s="7">
        <f>'CALCULATOR SHEET'!J16</f>
        <v>54</v>
      </c>
      <c r="X12" s="7">
        <f t="shared" si="0"/>
        <v>9</v>
      </c>
      <c r="Y12" s="7">
        <f t="shared" si="1"/>
        <v>6</v>
      </c>
      <c r="Z12" s="146">
        <f t="shared" ref="Z12:Z43" si="3">IF(X12="","",INDEX($C$12:$Q$26,Y12,X12))</f>
        <v>302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62.5</v>
      </c>
      <c r="W13" s="7">
        <f>'CALCULATOR SHEET'!J17</f>
        <v>86</v>
      </c>
      <c r="X13" s="7">
        <f t="shared" si="0"/>
        <v>8</v>
      </c>
      <c r="Y13" s="7">
        <f t="shared" si="1"/>
        <v>12</v>
      </c>
      <c r="Z13" s="146">
        <f t="shared" si="3"/>
        <v>348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41</v>
      </c>
      <c r="W14" s="7">
        <f>'CALCULATOR SHEET'!J18</f>
        <v>86</v>
      </c>
      <c r="X14" s="7">
        <f t="shared" si="0"/>
        <v>4</v>
      </c>
      <c r="Y14" s="7">
        <f t="shared" si="1"/>
        <v>12</v>
      </c>
      <c r="Z14" s="146">
        <f t="shared" si="3"/>
        <v>241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60.5</v>
      </c>
      <c r="W15" s="7">
        <f>'CALCULATOR SHEET'!J19</f>
        <v>54</v>
      </c>
      <c r="X15" s="7">
        <f t="shared" si="0"/>
        <v>8</v>
      </c>
      <c r="Y15" s="7">
        <f t="shared" si="1"/>
        <v>6</v>
      </c>
      <c r="Z15" s="146">
        <f t="shared" si="3"/>
        <v>284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56.5</v>
      </c>
      <c r="W16" s="7">
        <f>'CALCULATOR SHEET'!J20</f>
        <v>54</v>
      </c>
      <c r="X16" s="7">
        <f t="shared" si="0"/>
        <v>7</v>
      </c>
      <c r="Y16" s="7">
        <f t="shared" si="1"/>
        <v>6</v>
      </c>
      <c r="Z16" s="146">
        <f t="shared" si="3"/>
        <v>264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60.5</v>
      </c>
      <c r="W17" s="7">
        <f>'CALCULATOR SHEET'!J21</f>
        <v>54</v>
      </c>
      <c r="X17" s="7">
        <f t="shared" si="0"/>
        <v>8</v>
      </c>
      <c r="Y17" s="7">
        <f t="shared" si="1"/>
        <v>6</v>
      </c>
      <c r="Z17" s="146">
        <f t="shared" si="3"/>
        <v>284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56.75</v>
      </c>
      <c r="W18" s="7">
        <f>'CALCULATOR SHEET'!J22</f>
        <v>54</v>
      </c>
      <c r="X18" s="7">
        <f t="shared" si="0"/>
        <v>7</v>
      </c>
      <c r="Y18" s="7">
        <f t="shared" si="1"/>
        <v>6</v>
      </c>
      <c r="Z18" s="146">
        <f t="shared" si="3"/>
        <v>264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21.25</v>
      </c>
      <c r="W19" s="7">
        <f>'CALCULATOR SHEET'!J23</f>
        <v>140</v>
      </c>
      <c r="X19" s="7">
        <f t="shared" si="0"/>
        <v>1</v>
      </c>
      <c r="Y19" s="7" t="e">
        <f t="shared" si="1"/>
        <v>#N/A</v>
      </c>
      <c r="Z19" s="146" t="e">
        <f t="shared" si="3"/>
        <v>#N/A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25.625</v>
      </c>
      <c r="W20" s="7">
        <f>'CALCULATOR SHEET'!J24</f>
        <v>140</v>
      </c>
      <c r="X20" s="7">
        <f t="shared" si="0"/>
        <v>2</v>
      </c>
      <c r="Y20" s="7" t="e">
        <f t="shared" si="1"/>
        <v>#N/A</v>
      </c>
      <c r="Z20" s="146" t="e">
        <f t="shared" si="3"/>
        <v>#N/A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36</v>
      </c>
      <c r="W21" s="7">
        <f>'CALCULATOR SHEET'!J25</f>
        <v>20</v>
      </c>
      <c r="X21" s="7">
        <f t="shared" si="0"/>
        <v>3</v>
      </c>
      <c r="Y21" s="7">
        <f t="shared" si="1"/>
        <v>1</v>
      </c>
      <c r="Z21" s="146">
        <f t="shared" si="3"/>
        <v>140</v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112</v>
      </c>
      <c r="X7" s="7">
        <f>'CALCULATOR SHEET'!J13</f>
        <v>54</v>
      </c>
      <c r="Y7" s="7" t="e">
        <f>IF(W7=0,"",MATCH(CEILING(W7,6),$C$7:$Q$7,0))</f>
        <v>#N/A</v>
      </c>
      <c r="Z7" s="7">
        <f>IF(X7=0,"",MATCH(CEILING(X7,6),$B$10:$B$26,0))</f>
        <v>6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108</v>
      </c>
      <c r="X8" s="7">
        <f>'CALCULATOR SHEET'!J14</f>
        <v>54</v>
      </c>
      <c r="Y8" s="7">
        <f t="shared" ref="Y8:Y71" si="1">IF(W8=0,"",MATCH(CEILING(W8,6),$C$7:$Q$7,0))</f>
        <v>15</v>
      </c>
      <c r="Z8" s="7">
        <f t="shared" ref="Z8:Z71" si="2">IF(X8=0,"",MATCH(CEILING(X8,6),$B$10:$B$26,0))</f>
        <v>6</v>
      </c>
      <c r="AA8" s="146" t="str">
        <f t="shared" ref="AA8:AA71" si="3">IF(Y8="","",INDEX($C$10:$Q$26,Z8,Y8))</f>
        <v>N/A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73</v>
      </c>
      <c r="X9" s="7">
        <f>'CALCULATOR SHEET'!J15</f>
        <v>54</v>
      </c>
      <c r="Y9" s="7">
        <f t="shared" si="1"/>
        <v>10</v>
      </c>
      <c r="Z9" s="7">
        <f t="shared" si="2"/>
        <v>6</v>
      </c>
      <c r="AA9" s="146">
        <f t="shared" si="3"/>
        <v>191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69</v>
      </c>
      <c r="X10" s="7">
        <f>'CALCULATOR SHEET'!J16</f>
        <v>54</v>
      </c>
      <c r="Y10" s="7">
        <f t="shared" si="1"/>
        <v>9</v>
      </c>
      <c r="Z10" s="7">
        <f t="shared" si="2"/>
        <v>6</v>
      </c>
      <c r="AA10" s="146">
        <f t="shared" si="3"/>
        <v>177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62.5</v>
      </c>
      <c r="X11" s="7">
        <f>'CALCULATOR SHEET'!J17</f>
        <v>86</v>
      </c>
      <c r="Y11" s="7">
        <f t="shared" si="1"/>
        <v>8</v>
      </c>
      <c r="Z11" s="7">
        <f t="shared" si="2"/>
        <v>12</v>
      </c>
      <c r="AA11" s="146">
        <f t="shared" si="3"/>
        <v>206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41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137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60.5</v>
      </c>
      <c r="X13" s="7">
        <f>'CALCULATOR SHEET'!J19</f>
        <v>54</v>
      </c>
      <c r="Y13" s="7">
        <f t="shared" si="1"/>
        <v>8</v>
      </c>
      <c r="Z13" s="7">
        <f t="shared" si="2"/>
        <v>6</v>
      </c>
      <c r="AA13" s="146">
        <f t="shared" si="3"/>
        <v>170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56.5</v>
      </c>
      <c r="X14" s="7">
        <f>'CALCULATOR SHEET'!J20</f>
        <v>54</v>
      </c>
      <c r="Y14" s="7">
        <f t="shared" si="1"/>
        <v>7</v>
      </c>
      <c r="Z14" s="7">
        <f t="shared" si="2"/>
        <v>6</v>
      </c>
      <c r="AA14" s="146">
        <f t="shared" si="3"/>
        <v>159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60.5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170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56.75</v>
      </c>
      <c r="X16" s="7">
        <f>'CALCULATOR SHEET'!J22</f>
        <v>54</v>
      </c>
      <c r="Y16" s="7">
        <f t="shared" si="1"/>
        <v>7</v>
      </c>
      <c r="Z16" s="7">
        <f t="shared" si="2"/>
        <v>6</v>
      </c>
      <c r="AA16" s="146">
        <f t="shared" si="3"/>
        <v>159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21.25</v>
      </c>
      <c r="X17" s="7">
        <f>'CALCULATOR SHEET'!J23</f>
        <v>140</v>
      </c>
      <c r="Y17" s="7">
        <f t="shared" si="1"/>
        <v>1</v>
      </c>
      <c r="Z17" s="7" t="e">
        <f t="shared" si="2"/>
        <v>#N/A</v>
      </c>
      <c r="AA17" s="146" t="e">
        <f t="shared" si="3"/>
        <v>#N/A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25.625</v>
      </c>
      <c r="X18" s="7">
        <f>'CALCULATOR SHEET'!J24</f>
        <v>140</v>
      </c>
      <c r="Y18" s="7">
        <f t="shared" si="1"/>
        <v>2</v>
      </c>
      <c r="Z18" s="7" t="e">
        <f t="shared" si="2"/>
        <v>#N/A</v>
      </c>
      <c r="AA18" s="146" t="e">
        <f t="shared" si="3"/>
        <v>#N/A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36</v>
      </c>
      <c r="X19" s="7">
        <f>'CALCULATOR SHEET'!J25</f>
        <v>20</v>
      </c>
      <c r="Y19" s="7">
        <f t="shared" si="1"/>
        <v>3</v>
      </c>
      <c r="Z19" s="7">
        <f t="shared" si="2"/>
        <v>1</v>
      </c>
      <c r="AA19" s="146">
        <f t="shared" si="3"/>
        <v>89</v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112</v>
      </c>
      <c r="X7" s="7">
        <f>'CALCULATOR SHEET'!J13</f>
        <v>54</v>
      </c>
      <c r="Y7" s="7" t="e">
        <f>IF(W7=0,"",MATCH(CEILING(W7,6),$C$7:$Q$7,0))</f>
        <v>#N/A</v>
      </c>
      <c r="Z7" s="7">
        <f>IF(X7=0,"",MATCH(CEILING(X7,6),$B$10:$B$26,0))</f>
        <v>6</v>
      </c>
      <c r="AA7" s="146" t="e">
        <f>IF(Y7="","",INDEX($C$10:$Q$26,Z7,Y7))</f>
        <v>#N/A</v>
      </c>
    </row>
    <row r="8" spans="2:27">
      <c r="T8" s="385"/>
      <c r="V8" s="1">
        <f>+V7+1</f>
        <v>2</v>
      </c>
      <c r="W8" s="7">
        <f>'CALCULATOR SHEET'!I14</f>
        <v>108</v>
      </c>
      <c r="X8" s="7">
        <f>'CALCULATOR SHEET'!J14</f>
        <v>54</v>
      </c>
      <c r="Y8" s="7">
        <f t="shared" ref="Y8:Y71" si="1">IF(W8=0,"",MATCH(CEILING(W8,6),$C$7:$Q$7,0))</f>
        <v>15</v>
      </c>
      <c r="Z8" s="7">
        <f t="shared" ref="Z8:Z71" si="2">IF(X8=0,"",MATCH(CEILING(X8,6),$B$10:$B$26,0))</f>
        <v>6</v>
      </c>
      <c r="AA8" s="146" t="str">
        <f t="shared" ref="AA8:AA71" si="3">IF(Y8="","",INDEX($C$10:$Q$26,Z8,Y8))</f>
        <v>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54</v>
      </c>
      <c r="Y9" s="7">
        <f t="shared" si="1"/>
        <v>10</v>
      </c>
      <c r="Z9" s="7">
        <f t="shared" si="2"/>
        <v>6</v>
      </c>
      <c r="AA9" s="146">
        <f t="shared" si="3"/>
        <v>272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69</v>
      </c>
      <c r="X10" s="7">
        <f>'CALCULATOR SHEET'!J16</f>
        <v>54</v>
      </c>
      <c r="Y10" s="7">
        <f t="shared" si="1"/>
        <v>9</v>
      </c>
      <c r="Z10" s="7">
        <f t="shared" si="2"/>
        <v>6</v>
      </c>
      <c r="AA10" s="146">
        <f t="shared" si="3"/>
        <v>256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62.5</v>
      </c>
      <c r="X11" s="7">
        <f>'CALCULATOR SHEET'!J17</f>
        <v>86</v>
      </c>
      <c r="Y11" s="7">
        <f t="shared" si="1"/>
        <v>8</v>
      </c>
      <c r="Z11" s="7">
        <f t="shared" si="2"/>
        <v>12</v>
      </c>
      <c r="AA11" s="146">
        <f t="shared" si="3"/>
        <v>322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41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200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60.5</v>
      </c>
      <c r="X13" s="7">
        <f>'CALCULATOR SHEET'!J19</f>
        <v>54</v>
      </c>
      <c r="Y13" s="7">
        <f t="shared" si="1"/>
        <v>8</v>
      </c>
      <c r="Z13" s="7">
        <f t="shared" si="2"/>
        <v>6</v>
      </c>
      <c r="AA13" s="146">
        <f t="shared" si="3"/>
        <v>248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56.5</v>
      </c>
      <c r="X14" s="7">
        <f>'CALCULATOR SHEET'!J20</f>
        <v>54</v>
      </c>
      <c r="Y14" s="7">
        <f t="shared" si="1"/>
        <v>7</v>
      </c>
      <c r="Z14" s="7">
        <f t="shared" si="2"/>
        <v>6</v>
      </c>
      <c r="AA14" s="146">
        <f t="shared" si="3"/>
        <v>237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60.5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248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56.75</v>
      </c>
      <c r="X16" s="7">
        <f>'CALCULATOR SHEET'!J22</f>
        <v>54</v>
      </c>
      <c r="Y16" s="7">
        <f t="shared" si="1"/>
        <v>7</v>
      </c>
      <c r="Z16" s="7">
        <f t="shared" si="2"/>
        <v>6</v>
      </c>
      <c r="AA16" s="146">
        <f t="shared" si="3"/>
        <v>237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21.25</v>
      </c>
      <c r="X17" s="7">
        <f>'CALCULATOR SHEET'!J23</f>
        <v>140</v>
      </c>
      <c r="Y17" s="7">
        <f t="shared" si="1"/>
        <v>1</v>
      </c>
      <c r="Z17" s="7" t="e">
        <f t="shared" si="2"/>
        <v>#N/A</v>
      </c>
      <c r="AA17" s="146" t="e">
        <f t="shared" si="3"/>
        <v>#N/A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25.625</v>
      </c>
      <c r="X18" s="7">
        <f>'CALCULATOR SHEET'!J24</f>
        <v>140</v>
      </c>
      <c r="Y18" s="7">
        <f t="shared" si="1"/>
        <v>2</v>
      </c>
      <c r="Z18" s="7" t="e">
        <f t="shared" si="2"/>
        <v>#N/A</v>
      </c>
      <c r="AA18" s="146" t="e">
        <f t="shared" si="3"/>
        <v>#N/A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36</v>
      </c>
      <c r="X19" s="7">
        <f>'CALCULATOR SHEET'!J25</f>
        <v>20</v>
      </c>
      <c r="Y19" s="7">
        <f t="shared" si="1"/>
        <v>3</v>
      </c>
      <c r="Z19" s="7">
        <f t="shared" si="2"/>
        <v>1</v>
      </c>
      <c r="AA19" s="146">
        <f t="shared" si="3"/>
        <v>109</v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D1" zoomScale="85" zoomScaleNormal="85" workbookViewId="0">
      <selection activeCell="T5" sqref="T5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/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6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/>
      <c r="Q5" s="285"/>
      <c r="R5" s="19"/>
      <c r="S5" s="19" t="s">
        <v>42</v>
      </c>
      <c r="T5" s="49" t="s">
        <v>480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467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479</v>
      </c>
      <c r="E9" s="39"/>
      <c r="F9" s="1"/>
      <c r="G9" s="38" t="s">
        <v>443</v>
      </c>
      <c r="H9" s="343" t="s">
        <v>464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f ca="1">TODAY()</f>
        <v>46007</v>
      </c>
      <c r="Z9" s="38" t="s">
        <v>304</v>
      </c>
      <c r="AA9" s="34">
        <f>SUMIF(C13:C52,"&gt;0")</f>
        <v>13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463</v>
      </c>
      <c r="E10" s="149"/>
      <c r="F10" s="1"/>
      <c r="G10" s="341" t="s">
        <v>444</v>
      </c>
      <c r="H10" s="343" t="s">
        <v>465</v>
      </c>
      <c r="I10" s="1"/>
      <c r="J10" s="3" t="s">
        <v>449</v>
      </c>
      <c r="K10" s="344" t="s">
        <v>468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466</v>
      </c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24</v>
      </c>
      <c r="F13" s="69" t="s">
        <v>45</v>
      </c>
      <c r="G13" s="68" t="s">
        <v>476</v>
      </c>
      <c r="H13" s="68" t="s">
        <v>475</v>
      </c>
      <c r="I13" s="81">
        <v>112</v>
      </c>
      <c r="J13" s="81">
        <v>54</v>
      </c>
      <c r="K13" s="254" t="s">
        <v>96</v>
      </c>
      <c r="L13" s="70" t="s">
        <v>45</v>
      </c>
      <c r="M13" s="284" t="s">
        <v>129</v>
      </c>
      <c r="N13" s="254" t="s">
        <v>212</v>
      </c>
      <c r="O13" s="254" t="s">
        <v>205</v>
      </c>
      <c r="P13" s="70" t="s">
        <v>45</v>
      </c>
      <c r="Q13" s="70" t="s">
        <v>45</v>
      </c>
      <c r="R13" s="70" t="s">
        <v>45</v>
      </c>
      <c r="S13" s="71">
        <v>130</v>
      </c>
      <c r="T13" s="316">
        <f t="shared" ref="T13:T52" si="0">IF(S13="","",S13*C13)</f>
        <v>130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386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379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7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7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19</v>
      </c>
      <c r="F14" s="69" t="s">
        <v>45</v>
      </c>
      <c r="G14" s="68" t="s">
        <v>337</v>
      </c>
      <c r="H14" s="68" t="s">
        <v>475</v>
      </c>
      <c r="I14" s="81">
        <v>108</v>
      </c>
      <c r="J14" s="81">
        <v>54</v>
      </c>
      <c r="K14" s="254" t="s">
        <v>96</v>
      </c>
      <c r="L14" s="70" t="s">
        <v>45</v>
      </c>
      <c r="M14" s="284" t="s">
        <v>129</v>
      </c>
      <c r="N14" s="254" t="s">
        <v>212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v>81</v>
      </c>
      <c r="T14" s="316">
        <f t="shared" si="0"/>
        <v>81</v>
      </c>
      <c r="U14" s="179" t="str">
        <f t="shared" ref="U14:U52" si="1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263</v>
      </c>
      <c r="X14" s="290">
        <v>0</v>
      </c>
      <c r="Y14" s="274">
        <f t="shared" ref="Y14:Y52" si="2">B14</f>
        <v>2</v>
      </c>
      <c r="Z14" s="128" t="s">
        <v>6</v>
      </c>
      <c r="AA14" s="310">
        <f t="shared" ref="AA14:AA52" si="3">IF(Z14&lt;&gt;"N/A",S14,0)</f>
        <v>0</v>
      </c>
      <c r="AB14" s="16" t="str">
        <f t="shared" ref="AB14:AB52" si="4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256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7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5">IF(K14="METAL CHAIN",AJ14,"")</f>
        <v>7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6">B14+1</f>
        <v>3</v>
      </c>
      <c r="C15" s="68">
        <v>1</v>
      </c>
      <c r="D15" s="152" t="s">
        <v>88</v>
      </c>
      <c r="E15" s="69" t="s">
        <v>24</v>
      </c>
      <c r="F15" s="69" t="s">
        <v>45</v>
      </c>
      <c r="G15" s="68" t="s">
        <v>476</v>
      </c>
      <c r="H15" s="68" t="s">
        <v>469</v>
      </c>
      <c r="I15" s="81">
        <v>73</v>
      </c>
      <c r="J15" s="81">
        <v>54</v>
      </c>
      <c r="K15" s="254" t="s">
        <v>96</v>
      </c>
      <c r="L15" s="70" t="s">
        <v>45</v>
      </c>
      <c r="M15" s="284" t="s">
        <v>129</v>
      </c>
      <c r="N15" s="254" t="s">
        <v>212</v>
      </c>
      <c r="O15" s="254" t="s">
        <v>205</v>
      </c>
      <c r="P15" s="70" t="s">
        <v>45</v>
      </c>
      <c r="Q15" s="70" t="s">
        <v>45</v>
      </c>
      <c r="R15" s="70" t="s">
        <v>45</v>
      </c>
      <c r="S15" s="71">
        <v>90</v>
      </c>
      <c r="T15" s="316">
        <f t="shared" si="0"/>
        <v>90</v>
      </c>
      <c r="U15" s="179" t="str">
        <f t="shared" si="1"/>
        <v/>
      </c>
      <c r="V15" s="120"/>
      <c r="W15" s="124">
        <f t="shared" ref="W15:W52" si="7">IF(D15="ROLLER",SUM(AD15:AJ15),IF(D15="VERTICAL D",SUM(AL15:AN15),IF(D15="ZEBRA",SUM(AP15:AR15),IF(D15="EXTERIOR ROLLER",SUM(AT15:AV15),IF(D15="CABLE GUIDES",AW15,0)))))</f>
        <v>236</v>
      </c>
      <c r="X15" s="290">
        <v>0</v>
      </c>
      <c r="Y15" s="274">
        <f t="shared" si="2"/>
        <v>3</v>
      </c>
      <c r="Z15" s="128" t="s">
        <v>6</v>
      </c>
      <c r="AA15" s="310">
        <f t="shared" si="3"/>
        <v>0</v>
      </c>
      <c r="AB15" s="16" t="str">
        <f t="shared" si="4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229</v>
      </c>
      <c r="AE15" s="120" t="str">
        <f t="shared" ref="AE15:AE52" si="8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7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5"/>
        <v>7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6"/>
        <v>4</v>
      </c>
      <c r="C16" s="68">
        <v>1</v>
      </c>
      <c r="D16" s="152" t="s">
        <v>88</v>
      </c>
      <c r="E16" s="69" t="s">
        <v>19</v>
      </c>
      <c r="F16" s="69" t="s">
        <v>45</v>
      </c>
      <c r="G16" s="68" t="s">
        <v>337</v>
      </c>
      <c r="H16" s="68" t="s">
        <v>469</v>
      </c>
      <c r="I16" s="81">
        <v>69</v>
      </c>
      <c r="J16" s="81">
        <v>54</v>
      </c>
      <c r="K16" s="254" t="s">
        <v>96</v>
      </c>
      <c r="L16" s="70" t="s">
        <v>45</v>
      </c>
      <c r="M16" s="284" t="s">
        <v>129</v>
      </c>
      <c r="N16" s="254" t="s">
        <v>212</v>
      </c>
      <c r="O16" s="254" t="s">
        <v>322</v>
      </c>
      <c r="P16" s="70" t="s">
        <v>45</v>
      </c>
      <c r="Q16" s="70" t="s">
        <v>45</v>
      </c>
      <c r="R16" s="70" t="s">
        <v>45</v>
      </c>
      <c r="S16" s="71">
        <v>55</v>
      </c>
      <c r="T16" s="316">
        <f t="shared" si="0"/>
        <v>55</v>
      </c>
      <c r="U16" s="179" t="str">
        <f t="shared" si="1"/>
        <v/>
      </c>
      <c r="V16" s="120"/>
      <c r="W16" s="124">
        <f t="shared" si="7"/>
        <v>135</v>
      </c>
      <c r="X16" s="290">
        <v>0</v>
      </c>
      <c r="Y16" s="274">
        <f t="shared" si="2"/>
        <v>4</v>
      </c>
      <c r="Z16" s="128" t="s">
        <v>6</v>
      </c>
      <c r="AA16" s="310">
        <f t="shared" si="3"/>
        <v>0</v>
      </c>
      <c r="AB16" s="16" t="str">
        <f t="shared" si="4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128</v>
      </c>
      <c r="AE16" s="120" t="str">
        <f t="shared" si="8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7</v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5"/>
        <v>7</v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6"/>
        <v>5</v>
      </c>
      <c r="C17" s="68">
        <v>1</v>
      </c>
      <c r="D17" s="152" t="s">
        <v>88</v>
      </c>
      <c r="E17" s="69" t="s">
        <v>19</v>
      </c>
      <c r="F17" s="69" t="s">
        <v>45</v>
      </c>
      <c r="G17" s="68" t="s">
        <v>337</v>
      </c>
      <c r="H17" s="68" t="s">
        <v>470</v>
      </c>
      <c r="I17" s="81">
        <v>62.5</v>
      </c>
      <c r="J17" s="81">
        <v>86</v>
      </c>
      <c r="K17" s="254" t="s">
        <v>96</v>
      </c>
      <c r="L17" s="70" t="s">
        <v>45</v>
      </c>
      <c r="M17" s="284" t="s">
        <v>129</v>
      </c>
      <c r="N17" s="254" t="s">
        <v>212</v>
      </c>
      <c r="O17" s="254" t="s">
        <v>205</v>
      </c>
      <c r="P17" s="70" t="s">
        <v>45</v>
      </c>
      <c r="Q17" s="70" t="s">
        <v>45</v>
      </c>
      <c r="R17" s="70" t="s">
        <v>45</v>
      </c>
      <c r="S17" s="71">
        <v>115</v>
      </c>
      <c r="T17" s="316">
        <f t="shared" si="0"/>
        <v>115</v>
      </c>
      <c r="U17" s="179" t="str">
        <f t="shared" si="1"/>
        <v/>
      </c>
      <c r="V17" s="120"/>
      <c r="W17" s="124">
        <f t="shared" si="7"/>
        <v>163</v>
      </c>
      <c r="X17" s="290">
        <v>0</v>
      </c>
      <c r="Y17" s="274">
        <f t="shared" si="2"/>
        <v>5</v>
      </c>
      <c r="Z17" s="128" t="s">
        <v>6</v>
      </c>
      <c r="AA17" s="310">
        <f t="shared" si="3"/>
        <v>0</v>
      </c>
      <c r="AB17" s="16" t="str">
        <f t="shared" si="4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153</v>
      </c>
      <c r="AE17" s="120" t="str">
        <f t="shared" si="8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10</v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5"/>
        <v>10</v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6"/>
        <v>6</v>
      </c>
      <c r="C18" s="68">
        <v>1</v>
      </c>
      <c r="D18" s="152" t="s">
        <v>88</v>
      </c>
      <c r="E18" s="69" t="s">
        <v>19</v>
      </c>
      <c r="F18" s="69" t="s">
        <v>45</v>
      </c>
      <c r="G18" s="68" t="s">
        <v>337</v>
      </c>
      <c r="H18" s="68" t="s">
        <v>471</v>
      </c>
      <c r="I18" s="81">
        <v>41</v>
      </c>
      <c r="J18" s="81">
        <v>86</v>
      </c>
      <c r="K18" s="254" t="s">
        <v>96</v>
      </c>
      <c r="L18" s="70" t="s">
        <v>45</v>
      </c>
      <c r="M18" s="284" t="s">
        <v>130</v>
      </c>
      <c r="N18" s="254" t="s">
        <v>212</v>
      </c>
      <c r="O18" s="254" t="s">
        <v>205</v>
      </c>
      <c r="P18" s="70" t="s">
        <v>45</v>
      </c>
      <c r="Q18" s="70" t="s">
        <v>45</v>
      </c>
      <c r="R18" s="70" t="s">
        <v>45</v>
      </c>
      <c r="S18" s="71">
        <v>73</v>
      </c>
      <c r="T18" s="316">
        <f t="shared" si="0"/>
        <v>73</v>
      </c>
      <c r="U18" s="179" t="str">
        <f t="shared" si="1"/>
        <v/>
      </c>
      <c r="V18" s="120"/>
      <c r="W18" s="124">
        <f t="shared" si="7"/>
        <v>126</v>
      </c>
      <c r="X18" s="290">
        <v>0</v>
      </c>
      <c r="Y18" s="274">
        <f t="shared" si="2"/>
        <v>6</v>
      </c>
      <c r="Z18" s="128" t="s">
        <v>6</v>
      </c>
      <c r="AA18" s="310">
        <f t="shared" si="3"/>
        <v>0</v>
      </c>
      <c r="AB18" s="16" t="str">
        <f t="shared" si="4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116</v>
      </c>
      <c r="AE18" s="120" t="str">
        <f t="shared" si="8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10</v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5"/>
        <v>10</v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6"/>
        <v>7</v>
      </c>
      <c r="C19" s="68">
        <v>1</v>
      </c>
      <c r="D19" s="152" t="s">
        <v>88</v>
      </c>
      <c r="E19" s="69" t="s">
        <v>24</v>
      </c>
      <c r="F19" s="69" t="s">
        <v>45</v>
      </c>
      <c r="G19" s="68" t="s">
        <v>476</v>
      </c>
      <c r="H19" s="68" t="s">
        <v>473</v>
      </c>
      <c r="I19" s="81">
        <v>60.5</v>
      </c>
      <c r="J19" s="81">
        <v>54</v>
      </c>
      <c r="K19" s="254" t="s">
        <v>96</v>
      </c>
      <c r="L19" s="70" t="s">
        <v>45</v>
      </c>
      <c r="M19" s="284" t="s">
        <v>129</v>
      </c>
      <c r="N19" s="254" t="s">
        <v>212</v>
      </c>
      <c r="O19" s="254" t="s">
        <v>205</v>
      </c>
      <c r="P19" s="70" t="s">
        <v>45</v>
      </c>
      <c r="Q19" s="70" t="s">
        <v>45</v>
      </c>
      <c r="R19" s="70" t="s">
        <v>45</v>
      </c>
      <c r="S19" s="71">
        <v>80</v>
      </c>
      <c r="T19" s="316">
        <f t="shared" si="0"/>
        <v>80</v>
      </c>
      <c r="U19" s="179" t="str">
        <f t="shared" si="1"/>
        <v/>
      </c>
      <c r="V19" s="120"/>
      <c r="W19" s="124">
        <f t="shared" si="7"/>
        <v>194</v>
      </c>
      <c r="X19" s="290">
        <v>0</v>
      </c>
      <c r="Y19" s="274">
        <f t="shared" si="2"/>
        <v>7</v>
      </c>
      <c r="Z19" s="128" t="s">
        <v>6</v>
      </c>
      <c r="AA19" s="310">
        <f t="shared" si="3"/>
        <v>0</v>
      </c>
      <c r="AB19" s="16" t="str">
        <f t="shared" si="4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187</v>
      </c>
      <c r="AE19" s="120" t="str">
        <f t="shared" si="8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7</v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5"/>
        <v>7</v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6"/>
        <v>8</v>
      </c>
      <c r="C20" s="68">
        <v>1</v>
      </c>
      <c r="D20" s="152" t="s">
        <v>88</v>
      </c>
      <c r="E20" s="69" t="s">
        <v>19</v>
      </c>
      <c r="F20" s="69" t="s">
        <v>45</v>
      </c>
      <c r="G20" s="68" t="s">
        <v>337</v>
      </c>
      <c r="H20" s="68" t="s">
        <v>473</v>
      </c>
      <c r="I20" s="81">
        <v>56.5</v>
      </c>
      <c r="J20" s="81">
        <v>54</v>
      </c>
      <c r="K20" s="254" t="s">
        <v>96</v>
      </c>
      <c r="L20" s="70" t="s">
        <v>45</v>
      </c>
      <c r="M20" s="284" t="s">
        <v>129</v>
      </c>
      <c r="N20" s="254" t="s">
        <v>212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v>60</v>
      </c>
      <c r="T20" s="316">
        <f t="shared" si="0"/>
        <v>60</v>
      </c>
      <c r="U20" s="179" t="str">
        <f t="shared" si="1"/>
        <v/>
      </c>
      <c r="V20" s="120"/>
      <c r="W20" s="124">
        <f t="shared" si="7"/>
        <v>122</v>
      </c>
      <c r="X20" s="290">
        <v>0</v>
      </c>
      <c r="Y20" s="274">
        <f t="shared" si="2"/>
        <v>8</v>
      </c>
      <c r="Z20" s="128" t="s">
        <v>6</v>
      </c>
      <c r="AA20" s="310">
        <f t="shared" si="3"/>
        <v>0</v>
      </c>
      <c r="AB20" s="16" t="str">
        <f t="shared" si="4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115</v>
      </c>
      <c r="AE20" s="120" t="str">
        <f t="shared" si="8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7</v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5"/>
        <v>7</v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6"/>
        <v>9</v>
      </c>
      <c r="C21" s="68">
        <v>1</v>
      </c>
      <c r="D21" s="152" t="s">
        <v>88</v>
      </c>
      <c r="E21" s="69" t="s">
        <v>24</v>
      </c>
      <c r="F21" s="69" t="s">
        <v>45</v>
      </c>
      <c r="G21" s="68" t="s">
        <v>476</v>
      </c>
      <c r="H21" s="68" t="s">
        <v>474</v>
      </c>
      <c r="I21" s="81">
        <v>60.5</v>
      </c>
      <c r="J21" s="81">
        <v>54</v>
      </c>
      <c r="K21" s="254" t="s">
        <v>96</v>
      </c>
      <c r="L21" s="70" t="s">
        <v>45</v>
      </c>
      <c r="M21" s="284" t="s">
        <v>130</v>
      </c>
      <c r="N21" s="254" t="s">
        <v>212</v>
      </c>
      <c r="O21" s="254" t="s">
        <v>205</v>
      </c>
      <c r="P21" s="70" t="s">
        <v>45</v>
      </c>
      <c r="Q21" s="70" t="s">
        <v>45</v>
      </c>
      <c r="R21" s="70" t="s">
        <v>45</v>
      </c>
      <c r="S21" s="71">
        <v>80</v>
      </c>
      <c r="T21" s="316">
        <f t="shared" si="0"/>
        <v>80</v>
      </c>
      <c r="U21" s="179" t="str">
        <f t="shared" si="1"/>
        <v/>
      </c>
      <c r="V21" s="120"/>
      <c r="W21" s="124">
        <f t="shared" si="7"/>
        <v>194</v>
      </c>
      <c r="X21" s="290">
        <v>0</v>
      </c>
      <c r="Y21" s="274">
        <f t="shared" si="2"/>
        <v>9</v>
      </c>
      <c r="Z21" s="128" t="s">
        <v>6</v>
      </c>
      <c r="AA21" s="310">
        <f t="shared" si="3"/>
        <v>0</v>
      </c>
      <c r="AB21" s="16" t="str">
        <f t="shared" si="4"/>
        <v>ROLLER</v>
      </c>
      <c r="AC21" s="271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187</v>
      </c>
      <c r="AE21" s="120" t="str">
        <f t="shared" si="8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>
        <f>IF(K21="METAL CHAIN",'ROLLER G1'!AU15,"")</f>
        <v>7</v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>
        <f t="shared" si="5"/>
        <v>7</v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6"/>
        <v>10</v>
      </c>
      <c r="C22" s="68">
        <v>1</v>
      </c>
      <c r="D22" s="152" t="s">
        <v>88</v>
      </c>
      <c r="E22" s="69" t="s">
        <v>19</v>
      </c>
      <c r="F22" s="69" t="s">
        <v>45</v>
      </c>
      <c r="G22" s="68" t="s">
        <v>337</v>
      </c>
      <c r="H22" s="68" t="s">
        <v>474</v>
      </c>
      <c r="I22" s="81">
        <v>56.75</v>
      </c>
      <c r="J22" s="81">
        <v>54</v>
      </c>
      <c r="K22" s="254" t="s">
        <v>96</v>
      </c>
      <c r="L22" s="70" t="s">
        <v>45</v>
      </c>
      <c r="M22" s="284" t="s">
        <v>130</v>
      </c>
      <c r="N22" s="254" t="s">
        <v>212</v>
      </c>
      <c r="O22" s="254" t="s">
        <v>322</v>
      </c>
      <c r="P22" s="70" t="s">
        <v>45</v>
      </c>
      <c r="Q22" s="70" t="s">
        <v>45</v>
      </c>
      <c r="R22" s="70" t="s">
        <v>45</v>
      </c>
      <c r="S22" s="71">
        <v>60</v>
      </c>
      <c r="T22" s="72">
        <f t="shared" si="0"/>
        <v>60</v>
      </c>
      <c r="U22" s="179" t="str">
        <f t="shared" si="1"/>
        <v/>
      </c>
      <c r="V22" s="67"/>
      <c r="W22" s="124">
        <f t="shared" si="7"/>
        <v>122</v>
      </c>
      <c r="X22" s="290">
        <v>0</v>
      </c>
      <c r="Y22" s="274">
        <f t="shared" si="2"/>
        <v>10</v>
      </c>
      <c r="Z22" s="128" t="s">
        <v>6</v>
      </c>
      <c r="AA22" s="310">
        <f t="shared" si="3"/>
        <v>0</v>
      </c>
      <c r="AB22" s="16" t="str">
        <f t="shared" si="4"/>
        <v>ROLLER</v>
      </c>
      <c r="AC22" s="271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115</v>
      </c>
      <c r="AE22" s="120" t="str">
        <f t="shared" si="8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>
        <f>IF(K22="METAL CHAIN",'ROLLER G1'!AU16,"")</f>
        <v>7</v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>
        <f t="shared" si="5"/>
        <v>7</v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6"/>
        <v>11</v>
      </c>
      <c r="C23" s="68">
        <v>1</v>
      </c>
      <c r="D23" s="152" t="s">
        <v>88</v>
      </c>
      <c r="E23" s="69" t="s">
        <v>24</v>
      </c>
      <c r="F23" s="69" t="s">
        <v>45</v>
      </c>
      <c r="G23" s="68" t="s">
        <v>476</v>
      </c>
      <c r="H23" s="68" t="s">
        <v>472</v>
      </c>
      <c r="I23" s="81">
        <v>21.25</v>
      </c>
      <c r="J23" s="81">
        <v>140</v>
      </c>
      <c r="K23" s="254" t="s">
        <v>96</v>
      </c>
      <c r="L23" s="70" t="s">
        <v>45</v>
      </c>
      <c r="M23" s="284" t="s">
        <v>130</v>
      </c>
      <c r="N23" s="254" t="s">
        <v>212</v>
      </c>
      <c r="O23" s="254" t="s">
        <v>205</v>
      </c>
      <c r="P23" s="70" t="s">
        <v>45</v>
      </c>
      <c r="Q23" s="70" t="s">
        <v>45</v>
      </c>
      <c r="R23" s="70" t="s">
        <v>45</v>
      </c>
      <c r="S23" s="71">
        <v>100</v>
      </c>
      <c r="T23" s="72">
        <f t="shared" si="0"/>
        <v>100</v>
      </c>
      <c r="U23" s="179" t="str">
        <f t="shared" si="1"/>
        <v/>
      </c>
      <c r="V23" s="67"/>
      <c r="W23" s="124">
        <f t="shared" si="7"/>
        <v>19</v>
      </c>
      <c r="X23" s="290">
        <v>0</v>
      </c>
      <c r="Y23" s="274">
        <f t="shared" si="2"/>
        <v>11</v>
      </c>
      <c r="Z23" s="128" t="s">
        <v>6</v>
      </c>
      <c r="AA23" s="310">
        <f t="shared" si="3"/>
        <v>0</v>
      </c>
      <c r="AB23" s="16" t="str">
        <f t="shared" si="4"/>
        <v>ROLLER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RFQ</v>
      </c>
      <c r="AE23" s="120" t="str">
        <f t="shared" si="8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>
        <f>IF(K23="METAL CHAIN",'ROLLER G1'!AU17,"")</f>
        <v>19</v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>
        <f t="shared" si="5"/>
        <v>19</v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6"/>
        <v>12</v>
      </c>
      <c r="C24" s="68">
        <v>1</v>
      </c>
      <c r="D24" s="152" t="s">
        <v>88</v>
      </c>
      <c r="E24" s="69" t="s">
        <v>19</v>
      </c>
      <c r="F24" s="69" t="s">
        <v>45</v>
      </c>
      <c r="G24" s="68" t="s">
        <v>337</v>
      </c>
      <c r="H24" s="68" t="s">
        <v>472</v>
      </c>
      <c r="I24" s="81">
        <v>25.625</v>
      </c>
      <c r="J24" s="81">
        <v>140</v>
      </c>
      <c r="K24" s="254" t="s">
        <v>96</v>
      </c>
      <c r="L24" s="70" t="s">
        <v>45</v>
      </c>
      <c r="M24" s="284" t="s">
        <v>130</v>
      </c>
      <c r="N24" s="254" t="s">
        <v>212</v>
      </c>
      <c r="O24" s="254" t="s">
        <v>322</v>
      </c>
      <c r="P24" s="70" t="s">
        <v>45</v>
      </c>
      <c r="Q24" s="70" t="s">
        <v>45</v>
      </c>
      <c r="R24" s="70" t="s">
        <v>45</v>
      </c>
      <c r="S24" s="71">
        <v>80</v>
      </c>
      <c r="T24" s="72">
        <f t="shared" si="0"/>
        <v>80</v>
      </c>
      <c r="U24" s="179" t="str">
        <f t="shared" si="1"/>
        <v/>
      </c>
      <c r="V24" s="67"/>
      <c r="W24" s="124">
        <f t="shared" si="7"/>
        <v>19</v>
      </c>
      <c r="X24" s="290">
        <v>0</v>
      </c>
      <c r="Y24" s="274">
        <f t="shared" si="2"/>
        <v>12</v>
      </c>
      <c r="Z24" s="128" t="s">
        <v>6</v>
      </c>
      <c r="AA24" s="310">
        <f t="shared" si="3"/>
        <v>0</v>
      </c>
      <c r="AB24" s="16" t="str">
        <f t="shared" si="4"/>
        <v>ROLLER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RFQ</v>
      </c>
      <c r="AE24" s="120" t="str">
        <f t="shared" si="8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>
        <f>IF(K24="METAL CHAIN",'ROLLER G1'!AU18,"")</f>
        <v>19</v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>
        <f t="shared" si="5"/>
        <v>19</v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6"/>
        <v>13</v>
      </c>
      <c r="C25" s="68">
        <v>1</v>
      </c>
      <c r="D25" s="152" t="s">
        <v>88</v>
      </c>
      <c r="E25" s="69" t="s">
        <v>19</v>
      </c>
      <c r="F25" s="69" t="s">
        <v>45</v>
      </c>
      <c r="G25" s="68" t="s">
        <v>337</v>
      </c>
      <c r="H25" s="68" t="s">
        <v>477</v>
      </c>
      <c r="I25" s="81">
        <v>36</v>
      </c>
      <c r="J25" s="81">
        <v>20</v>
      </c>
      <c r="K25" s="254" t="s">
        <v>96</v>
      </c>
      <c r="L25" s="70" t="s">
        <v>45</v>
      </c>
      <c r="M25" s="284" t="s">
        <v>129</v>
      </c>
      <c r="N25" s="254" t="s">
        <v>212</v>
      </c>
      <c r="O25" s="254" t="s">
        <v>205</v>
      </c>
      <c r="P25" s="70" t="s">
        <v>45</v>
      </c>
      <c r="Q25" s="70" t="s">
        <v>45</v>
      </c>
      <c r="R25" s="70" t="s">
        <v>45</v>
      </c>
      <c r="S25" s="71">
        <v>40</v>
      </c>
      <c r="T25" s="72">
        <f t="shared" si="0"/>
        <v>40</v>
      </c>
      <c r="U25" s="179" t="str">
        <f t="shared" si="1"/>
        <v/>
      </c>
      <c r="V25" s="67"/>
      <c r="W25" s="124">
        <f t="shared" si="7"/>
        <v>76</v>
      </c>
      <c r="X25" s="290">
        <v>0</v>
      </c>
      <c r="Y25" s="274">
        <f t="shared" si="2"/>
        <v>13</v>
      </c>
      <c r="Z25" s="128" t="s">
        <v>6</v>
      </c>
      <c r="AA25" s="310">
        <f t="shared" si="3"/>
        <v>0</v>
      </c>
      <c r="AB25" s="16" t="str">
        <f t="shared" si="4"/>
        <v>ROLLER</v>
      </c>
      <c r="AC25" s="271"/>
      <c r="AD25" s="120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71</v>
      </c>
      <c r="AE25" s="120" t="str">
        <f t="shared" si="8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>
        <f>IF(K25="METAL CHAIN",'ROLLER G1'!AU19,"")</f>
        <v>5</v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>
        <f t="shared" si="5"/>
        <v>5</v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6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ref="S14:S52" si="9">IF(U26="REVISAR MEDIDA","NO APLICA",W26+X26)</f>
        <v>0</v>
      </c>
      <c r="T26" s="72">
        <f t="shared" si="0"/>
        <v>0</v>
      </c>
      <c r="U26" s="179" t="str">
        <f t="shared" si="1"/>
        <v/>
      </c>
      <c r="V26" s="67"/>
      <c r="W26" s="124">
        <f t="shared" si="7"/>
        <v>0</v>
      </c>
      <c r="X26" s="290">
        <v>0</v>
      </c>
      <c r="Y26" s="274">
        <f t="shared" si="2"/>
        <v>14</v>
      </c>
      <c r="Z26" s="128" t="s">
        <v>6</v>
      </c>
      <c r="AA26" s="310">
        <f t="shared" si="3"/>
        <v>0</v>
      </c>
      <c r="AB26" s="16">
        <f t="shared" si="4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8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5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6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9"/>
        <v>0</v>
      </c>
      <c r="T27" s="72">
        <f t="shared" si="0"/>
        <v>0</v>
      </c>
      <c r="U27" s="179" t="str">
        <f t="shared" si="1"/>
        <v/>
      </c>
      <c r="V27" s="67"/>
      <c r="W27" s="124">
        <f t="shared" si="7"/>
        <v>0</v>
      </c>
      <c r="X27" s="290">
        <v>0</v>
      </c>
      <c r="Y27" s="274">
        <f t="shared" si="2"/>
        <v>15</v>
      </c>
      <c r="Z27" s="128" t="s">
        <v>6</v>
      </c>
      <c r="AA27" s="310">
        <f t="shared" si="3"/>
        <v>0</v>
      </c>
      <c r="AB27" s="16">
        <f t="shared" si="4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8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5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6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9"/>
        <v>0</v>
      </c>
      <c r="T28" s="72">
        <f t="shared" si="0"/>
        <v>0</v>
      </c>
      <c r="U28" s="179" t="str">
        <f t="shared" si="1"/>
        <v/>
      </c>
      <c r="V28" s="67"/>
      <c r="W28" s="124">
        <f t="shared" si="7"/>
        <v>0</v>
      </c>
      <c r="X28" s="290">
        <v>0</v>
      </c>
      <c r="Y28" s="274">
        <f t="shared" si="2"/>
        <v>16</v>
      </c>
      <c r="Z28" s="128" t="s">
        <v>6</v>
      </c>
      <c r="AA28" s="310">
        <f t="shared" si="3"/>
        <v>0</v>
      </c>
      <c r="AB28" s="16">
        <f t="shared" si="4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8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5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6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9"/>
        <v>0</v>
      </c>
      <c r="T29" s="72">
        <f t="shared" si="0"/>
        <v>0</v>
      </c>
      <c r="U29" s="179" t="str">
        <f t="shared" si="1"/>
        <v/>
      </c>
      <c r="V29" s="67"/>
      <c r="W29" s="124">
        <f t="shared" si="7"/>
        <v>0</v>
      </c>
      <c r="X29" s="290">
        <v>0</v>
      </c>
      <c r="Y29" s="274">
        <f t="shared" si="2"/>
        <v>17</v>
      </c>
      <c r="Z29" s="128" t="s">
        <v>6</v>
      </c>
      <c r="AA29" s="310">
        <f t="shared" si="3"/>
        <v>0</v>
      </c>
      <c r="AB29" s="16">
        <f t="shared" si="4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8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5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6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9"/>
        <v>0</v>
      </c>
      <c r="T30" s="72">
        <f t="shared" si="0"/>
        <v>0</v>
      </c>
      <c r="U30" s="179" t="str">
        <f t="shared" si="1"/>
        <v/>
      </c>
      <c r="V30" s="67"/>
      <c r="W30" s="124">
        <f t="shared" si="7"/>
        <v>0</v>
      </c>
      <c r="X30" s="290">
        <v>0</v>
      </c>
      <c r="Y30" s="274">
        <f t="shared" si="2"/>
        <v>18</v>
      </c>
      <c r="Z30" s="128" t="s">
        <v>6</v>
      </c>
      <c r="AA30" s="310">
        <f t="shared" si="3"/>
        <v>0</v>
      </c>
      <c r="AB30" s="16">
        <f t="shared" si="4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8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5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6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9"/>
        <v>0</v>
      </c>
      <c r="T31" s="72">
        <f t="shared" si="0"/>
        <v>0</v>
      </c>
      <c r="U31" s="179" t="str">
        <f t="shared" si="1"/>
        <v/>
      </c>
      <c r="V31" s="67"/>
      <c r="W31" s="124">
        <f t="shared" si="7"/>
        <v>0</v>
      </c>
      <c r="X31" s="290">
        <v>0</v>
      </c>
      <c r="Y31" s="274">
        <f t="shared" si="2"/>
        <v>19</v>
      </c>
      <c r="Z31" s="128" t="s">
        <v>6</v>
      </c>
      <c r="AA31" s="310">
        <f t="shared" si="3"/>
        <v>0</v>
      </c>
      <c r="AB31" s="16">
        <f t="shared" si="4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8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5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6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9"/>
        <v>0</v>
      </c>
      <c r="T32" s="72">
        <f t="shared" si="0"/>
        <v>0</v>
      </c>
      <c r="U32" s="179" t="str">
        <f t="shared" si="1"/>
        <v/>
      </c>
      <c r="V32" s="67"/>
      <c r="W32" s="124">
        <f t="shared" si="7"/>
        <v>0</v>
      </c>
      <c r="X32" s="290">
        <v>0</v>
      </c>
      <c r="Y32" s="274">
        <f t="shared" si="2"/>
        <v>20</v>
      </c>
      <c r="Z32" s="128" t="s">
        <v>6</v>
      </c>
      <c r="AA32" s="310">
        <f t="shared" si="3"/>
        <v>0</v>
      </c>
      <c r="AB32" s="16">
        <f t="shared" si="4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8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5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6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9"/>
        <v>0</v>
      </c>
      <c r="T33" s="72">
        <f t="shared" si="0"/>
        <v>0</v>
      </c>
      <c r="U33" s="179" t="str">
        <f t="shared" si="1"/>
        <v/>
      </c>
      <c r="V33" s="67"/>
      <c r="W33" s="124">
        <f t="shared" si="7"/>
        <v>0</v>
      </c>
      <c r="X33" s="290">
        <v>0</v>
      </c>
      <c r="Y33" s="274">
        <f t="shared" si="2"/>
        <v>21</v>
      </c>
      <c r="Z33" s="128" t="s">
        <v>6</v>
      </c>
      <c r="AA33" s="310">
        <f t="shared" si="3"/>
        <v>0</v>
      </c>
      <c r="AB33" s="16">
        <f t="shared" si="4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8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5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6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9"/>
        <v>0</v>
      </c>
      <c r="T34" s="72">
        <f t="shared" si="0"/>
        <v>0</v>
      </c>
      <c r="U34" s="179" t="str">
        <f t="shared" si="1"/>
        <v/>
      </c>
      <c r="V34" s="67"/>
      <c r="W34" s="124">
        <f t="shared" si="7"/>
        <v>0</v>
      </c>
      <c r="X34" s="290">
        <v>0</v>
      </c>
      <c r="Y34" s="274">
        <f t="shared" si="2"/>
        <v>22</v>
      </c>
      <c r="Z34" s="128" t="s">
        <v>6</v>
      </c>
      <c r="AA34" s="310">
        <f t="shared" si="3"/>
        <v>0</v>
      </c>
      <c r="AB34" s="16">
        <f t="shared" si="4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8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5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6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9"/>
        <v>0</v>
      </c>
      <c r="T35" s="72">
        <f t="shared" si="0"/>
        <v>0</v>
      </c>
      <c r="U35" s="179" t="str">
        <f t="shared" si="1"/>
        <v/>
      </c>
      <c r="V35" s="67"/>
      <c r="W35" s="124">
        <f t="shared" si="7"/>
        <v>0</v>
      </c>
      <c r="X35" s="290">
        <v>0</v>
      </c>
      <c r="Y35" s="274">
        <f t="shared" si="2"/>
        <v>23</v>
      </c>
      <c r="Z35" s="128" t="s">
        <v>6</v>
      </c>
      <c r="AA35" s="310">
        <f t="shared" si="3"/>
        <v>0</v>
      </c>
      <c r="AB35" s="16">
        <f t="shared" si="4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8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5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6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9"/>
        <v>0</v>
      </c>
      <c r="T36" s="72">
        <f t="shared" si="0"/>
        <v>0</v>
      </c>
      <c r="U36" s="179" t="str">
        <f t="shared" si="1"/>
        <v/>
      </c>
      <c r="V36" s="67"/>
      <c r="W36" s="124">
        <f t="shared" si="7"/>
        <v>0</v>
      </c>
      <c r="X36" s="290">
        <v>0</v>
      </c>
      <c r="Y36" s="274">
        <f t="shared" si="2"/>
        <v>24</v>
      </c>
      <c r="Z36" s="128" t="s">
        <v>6</v>
      </c>
      <c r="AA36" s="310">
        <f t="shared" si="3"/>
        <v>0</v>
      </c>
      <c r="AB36" s="16">
        <f t="shared" si="4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8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5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6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9"/>
        <v>0</v>
      </c>
      <c r="T37" s="72">
        <f t="shared" si="0"/>
        <v>0</v>
      </c>
      <c r="U37" s="179" t="str">
        <f t="shared" si="1"/>
        <v/>
      </c>
      <c r="V37" s="67"/>
      <c r="W37" s="124">
        <f t="shared" si="7"/>
        <v>0</v>
      </c>
      <c r="X37" s="290">
        <v>0</v>
      </c>
      <c r="Y37" s="274">
        <f t="shared" si="2"/>
        <v>25</v>
      </c>
      <c r="Z37" s="128" t="s">
        <v>6</v>
      </c>
      <c r="AA37" s="310">
        <f t="shared" si="3"/>
        <v>0</v>
      </c>
      <c r="AB37" s="16">
        <f t="shared" si="4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8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5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6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9"/>
        <v>0</v>
      </c>
      <c r="T38" s="72">
        <f t="shared" si="0"/>
        <v>0</v>
      </c>
      <c r="U38" s="179" t="str">
        <f t="shared" si="1"/>
        <v/>
      </c>
      <c r="V38" s="67"/>
      <c r="W38" s="124">
        <f t="shared" si="7"/>
        <v>0</v>
      </c>
      <c r="X38" s="290">
        <v>0</v>
      </c>
      <c r="Y38" s="274">
        <f t="shared" si="2"/>
        <v>26</v>
      </c>
      <c r="Z38" s="128" t="s">
        <v>6</v>
      </c>
      <c r="AA38" s="310">
        <f t="shared" si="3"/>
        <v>0</v>
      </c>
      <c r="AB38" s="16">
        <f t="shared" si="4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8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5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6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9"/>
        <v>0</v>
      </c>
      <c r="T39" s="72">
        <f t="shared" si="0"/>
        <v>0</v>
      </c>
      <c r="U39" s="179" t="str">
        <f t="shared" si="1"/>
        <v/>
      </c>
      <c r="V39" s="67"/>
      <c r="W39" s="124">
        <f t="shared" si="7"/>
        <v>0</v>
      </c>
      <c r="X39" s="290">
        <v>0</v>
      </c>
      <c r="Y39" s="274">
        <f t="shared" si="2"/>
        <v>27</v>
      </c>
      <c r="Z39" s="128" t="s">
        <v>6</v>
      </c>
      <c r="AA39" s="310">
        <f t="shared" si="3"/>
        <v>0</v>
      </c>
      <c r="AB39" s="16">
        <f t="shared" si="4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8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5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6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8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9"/>
        <v>0</v>
      </c>
      <c r="T40" s="72">
        <f t="shared" si="0"/>
        <v>0</v>
      </c>
      <c r="U40" s="179" t="str">
        <f t="shared" si="1"/>
        <v/>
      </c>
      <c r="V40" s="67"/>
      <c r="W40" s="124">
        <f t="shared" si="7"/>
        <v>0</v>
      </c>
      <c r="X40" s="290">
        <v>0</v>
      </c>
      <c r="Y40" s="274">
        <f t="shared" si="2"/>
        <v>28</v>
      </c>
      <c r="Z40" s="128" t="s">
        <v>6</v>
      </c>
      <c r="AA40" s="310">
        <f t="shared" si="3"/>
        <v>0</v>
      </c>
      <c r="AB40" s="16">
        <f t="shared" si="4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8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5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6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8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9"/>
        <v>0</v>
      </c>
      <c r="T41" s="72">
        <f t="shared" si="0"/>
        <v>0</v>
      </c>
      <c r="U41" s="179" t="str">
        <f t="shared" si="1"/>
        <v/>
      </c>
      <c r="V41" s="67"/>
      <c r="W41" s="124">
        <f t="shared" si="7"/>
        <v>0</v>
      </c>
      <c r="X41" s="290">
        <v>0</v>
      </c>
      <c r="Y41" s="274">
        <f t="shared" si="2"/>
        <v>29</v>
      </c>
      <c r="Z41" s="128" t="s">
        <v>6</v>
      </c>
      <c r="AA41" s="310">
        <f t="shared" si="3"/>
        <v>0</v>
      </c>
      <c r="AB41" s="16">
        <f t="shared" si="4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8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5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6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8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9"/>
        <v>0</v>
      </c>
      <c r="T42" s="72">
        <f t="shared" si="0"/>
        <v>0</v>
      </c>
      <c r="U42" s="179" t="str">
        <f t="shared" si="1"/>
        <v/>
      </c>
      <c r="V42" s="67"/>
      <c r="W42" s="124">
        <f t="shared" si="7"/>
        <v>0</v>
      </c>
      <c r="X42" s="290">
        <v>0</v>
      </c>
      <c r="Y42" s="274">
        <f t="shared" si="2"/>
        <v>30</v>
      </c>
      <c r="Z42" s="128" t="s">
        <v>6</v>
      </c>
      <c r="AA42" s="310">
        <f t="shared" si="3"/>
        <v>0</v>
      </c>
      <c r="AB42" s="16">
        <f t="shared" si="4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8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5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6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8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9"/>
        <v>0</v>
      </c>
      <c r="T43" s="72">
        <f t="shared" si="0"/>
        <v>0</v>
      </c>
      <c r="U43" s="179" t="str">
        <f t="shared" si="1"/>
        <v/>
      </c>
      <c r="V43" s="67"/>
      <c r="W43" s="124">
        <f t="shared" si="7"/>
        <v>0</v>
      </c>
      <c r="X43" s="290">
        <v>0</v>
      </c>
      <c r="Y43" s="274">
        <f t="shared" si="2"/>
        <v>31</v>
      </c>
      <c r="Z43" s="128" t="s">
        <v>6</v>
      </c>
      <c r="AA43" s="310">
        <f t="shared" si="3"/>
        <v>0</v>
      </c>
      <c r="AB43" s="16">
        <f t="shared" si="4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8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5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6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8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9"/>
        <v>0</v>
      </c>
      <c r="T44" s="72">
        <f t="shared" si="0"/>
        <v>0</v>
      </c>
      <c r="U44" s="179" t="str">
        <f t="shared" si="1"/>
        <v/>
      </c>
      <c r="V44" s="67"/>
      <c r="W44" s="124">
        <f t="shared" si="7"/>
        <v>0</v>
      </c>
      <c r="X44" s="290">
        <v>0</v>
      </c>
      <c r="Y44" s="274">
        <f t="shared" si="2"/>
        <v>32</v>
      </c>
      <c r="Z44" s="128" t="s">
        <v>6</v>
      </c>
      <c r="AA44" s="310">
        <f t="shared" si="3"/>
        <v>0</v>
      </c>
      <c r="AB44" s="16">
        <f t="shared" si="4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8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5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6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8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9"/>
        <v>0</v>
      </c>
      <c r="T45" s="72">
        <f t="shared" si="0"/>
        <v>0</v>
      </c>
      <c r="U45" s="179" t="str">
        <f t="shared" si="1"/>
        <v/>
      </c>
      <c r="V45" s="67"/>
      <c r="W45" s="124">
        <f t="shared" si="7"/>
        <v>0</v>
      </c>
      <c r="X45" s="290">
        <v>0</v>
      </c>
      <c r="Y45" s="274">
        <f t="shared" si="2"/>
        <v>33</v>
      </c>
      <c r="Z45" s="128" t="s">
        <v>6</v>
      </c>
      <c r="AA45" s="310">
        <f t="shared" si="3"/>
        <v>0</v>
      </c>
      <c r="AB45" s="16">
        <f t="shared" si="4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8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5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6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8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9"/>
        <v>0</v>
      </c>
      <c r="T46" s="72">
        <f t="shared" si="0"/>
        <v>0</v>
      </c>
      <c r="U46" s="179" t="str">
        <f t="shared" si="1"/>
        <v/>
      </c>
      <c r="V46" s="67"/>
      <c r="W46" s="124">
        <f t="shared" si="7"/>
        <v>0</v>
      </c>
      <c r="X46" s="290">
        <v>0</v>
      </c>
      <c r="Y46" s="274">
        <f t="shared" si="2"/>
        <v>34</v>
      </c>
      <c r="Z46" s="128" t="s">
        <v>6</v>
      </c>
      <c r="AA46" s="310">
        <f t="shared" si="3"/>
        <v>0</v>
      </c>
      <c r="AB46" s="16">
        <f t="shared" si="4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8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5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6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8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9"/>
        <v>0</v>
      </c>
      <c r="T47" s="72">
        <f t="shared" si="0"/>
        <v>0</v>
      </c>
      <c r="U47" s="179" t="str">
        <f t="shared" si="1"/>
        <v/>
      </c>
      <c r="V47" s="67"/>
      <c r="W47" s="124">
        <f t="shared" si="7"/>
        <v>0</v>
      </c>
      <c r="X47" s="290">
        <v>0</v>
      </c>
      <c r="Y47" s="274">
        <f t="shared" si="2"/>
        <v>35</v>
      </c>
      <c r="Z47" s="128" t="s">
        <v>6</v>
      </c>
      <c r="AA47" s="310">
        <f t="shared" si="3"/>
        <v>0</v>
      </c>
      <c r="AB47" s="16">
        <f t="shared" si="4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8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5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6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8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9"/>
        <v>0</v>
      </c>
      <c r="T48" s="72">
        <f t="shared" si="0"/>
        <v>0</v>
      </c>
      <c r="U48" s="179" t="str">
        <f t="shared" si="1"/>
        <v/>
      </c>
      <c r="V48" s="67"/>
      <c r="W48" s="124">
        <f t="shared" si="7"/>
        <v>0</v>
      </c>
      <c r="X48" s="290">
        <v>0</v>
      </c>
      <c r="Y48" s="274">
        <f t="shared" si="2"/>
        <v>36</v>
      </c>
      <c r="Z48" s="128" t="s">
        <v>6</v>
      </c>
      <c r="AA48" s="310">
        <f t="shared" si="3"/>
        <v>0</v>
      </c>
      <c r="AB48" s="16">
        <f t="shared" si="4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8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5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6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8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9"/>
        <v>0</v>
      </c>
      <c r="T49" s="72">
        <f t="shared" si="0"/>
        <v>0</v>
      </c>
      <c r="U49" s="179" t="str">
        <f t="shared" si="1"/>
        <v/>
      </c>
      <c r="V49" s="67"/>
      <c r="W49" s="124">
        <f t="shared" si="7"/>
        <v>0</v>
      </c>
      <c r="X49" s="290">
        <v>0</v>
      </c>
      <c r="Y49" s="274">
        <f t="shared" si="2"/>
        <v>37</v>
      </c>
      <c r="Z49" s="128" t="s">
        <v>6</v>
      </c>
      <c r="AA49" s="310">
        <f t="shared" si="3"/>
        <v>0</v>
      </c>
      <c r="AB49" s="16">
        <f t="shared" si="4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8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5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6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8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9"/>
        <v>0</v>
      </c>
      <c r="T50" s="72">
        <f t="shared" si="0"/>
        <v>0</v>
      </c>
      <c r="U50" s="179" t="str">
        <f t="shared" si="1"/>
        <v/>
      </c>
      <c r="V50" s="67"/>
      <c r="W50" s="124">
        <f t="shared" si="7"/>
        <v>0</v>
      </c>
      <c r="X50" s="290">
        <v>0</v>
      </c>
      <c r="Y50" s="274">
        <f t="shared" si="2"/>
        <v>38</v>
      </c>
      <c r="Z50" s="128" t="s">
        <v>6</v>
      </c>
      <c r="AA50" s="310">
        <f t="shared" si="3"/>
        <v>0</v>
      </c>
      <c r="AB50" s="16">
        <f t="shared" si="4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8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5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6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8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9"/>
        <v>0</v>
      </c>
      <c r="T51" s="72">
        <f t="shared" si="0"/>
        <v>0</v>
      </c>
      <c r="U51" s="179" t="str">
        <f t="shared" si="1"/>
        <v/>
      </c>
      <c r="V51" s="67"/>
      <c r="W51" s="124">
        <f t="shared" si="7"/>
        <v>0</v>
      </c>
      <c r="X51" s="290">
        <v>0</v>
      </c>
      <c r="Y51" s="274">
        <f t="shared" si="2"/>
        <v>39</v>
      </c>
      <c r="Z51" s="128" t="s">
        <v>6</v>
      </c>
      <c r="AA51" s="310">
        <f t="shared" si="3"/>
        <v>0</v>
      </c>
      <c r="AB51" s="16">
        <f t="shared" si="4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8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5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6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9"/>
        <v>0</v>
      </c>
      <c r="T52" s="72">
        <f t="shared" si="0"/>
        <v>0</v>
      </c>
      <c r="U52" s="179" t="str">
        <f t="shared" si="1"/>
        <v/>
      </c>
      <c r="V52" s="67"/>
      <c r="W52" s="124">
        <f t="shared" si="7"/>
        <v>0</v>
      </c>
      <c r="X52" s="290">
        <v>0</v>
      </c>
      <c r="Y52" s="274">
        <f t="shared" si="2"/>
        <v>40</v>
      </c>
      <c r="Z52" s="128" t="s">
        <v>6</v>
      </c>
      <c r="AA52" s="310">
        <f t="shared" si="3"/>
        <v>0</v>
      </c>
      <c r="AB52" s="16">
        <f t="shared" si="4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8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5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>
        <v>1</v>
      </c>
      <c r="D54" s="199"/>
      <c r="E54" s="206" t="s">
        <v>478</v>
      </c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150</v>
      </c>
      <c r="T54" s="114">
        <f>IF(S54="","",S54*C54)</f>
        <v>150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1044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0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150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1194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1194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112</v>
      </c>
      <c r="Y7" s="7">
        <f>'CALCULATOR SHEET'!J13</f>
        <v>54</v>
      </c>
      <c r="Z7" s="7">
        <f>IF(X7=0,"",MATCH(CEILING(X7,6),$C$7:$R$7,0))</f>
        <v>16</v>
      </c>
      <c r="AA7" s="7">
        <f>IF(Y7=0,"",MATCH(CEILING(Y7,6),$B$10:$B$26,0))</f>
        <v>6</v>
      </c>
      <c r="AB7" s="146" t="str">
        <f>IF(Z7="","",INDEX($C$10:$R$26,AA7,Z7))</f>
        <v>N/A</v>
      </c>
    </row>
    <row r="8" spans="2:28" ht="15.75">
      <c r="U8" s="385"/>
      <c r="V8" s="147"/>
      <c r="W8" s="1">
        <f>+W7+1</f>
        <v>2</v>
      </c>
      <c r="X8" s="7">
        <f>'CALCULATOR SHEET'!I14</f>
        <v>108</v>
      </c>
      <c r="Y8" s="7">
        <f>'CALCULATOR SHEET'!J14</f>
        <v>54</v>
      </c>
      <c r="Z8" s="7">
        <f t="shared" ref="Z8:Z71" si="0">IF(X8=0,"",MATCH(CEILING(X8,6),$C$7:$R$7,0))</f>
        <v>15</v>
      </c>
      <c r="AA8" s="7">
        <f t="shared" ref="AA8:AA71" si="1">IF(Y8=0,"",MATCH(CEILING(Y8,6),$B$10:$B$26,0))</f>
        <v>6</v>
      </c>
      <c r="AB8" s="146" t="str">
        <f t="shared" ref="AB8:AB71" si="2">IF(Z8="","",INDEX($C$10:$R$26,AA8,Z8))</f>
        <v>N/A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73</v>
      </c>
      <c r="Y9" s="7">
        <f>'CALCULATOR SHEET'!J15</f>
        <v>54</v>
      </c>
      <c r="Z9" s="7">
        <f t="shared" si="0"/>
        <v>10</v>
      </c>
      <c r="AA9" s="7">
        <f t="shared" si="1"/>
        <v>6</v>
      </c>
      <c r="AB9" s="146">
        <f t="shared" si="2"/>
        <v>304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69</v>
      </c>
      <c r="Y10" s="7">
        <f>'CALCULATOR SHEET'!J16</f>
        <v>54</v>
      </c>
      <c r="Z10" s="7">
        <f t="shared" si="0"/>
        <v>9</v>
      </c>
      <c r="AA10" s="7">
        <f t="shared" si="1"/>
        <v>6</v>
      </c>
      <c r="AB10" s="146">
        <f t="shared" si="2"/>
        <v>288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62.5</v>
      </c>
      <c r="Y11" s="7">
        <f>'CALCULATOR SHEET'!J17</f>
        <v>86</v>
      </c>
      <c r="Z11" s="7">
        <f t="shared" si="0"/>
        <v>8</v>
      </c>
      <c r="AA11" s="7">
        <f t="shared" si="1"/>
        <v>12</v>
      </c>
      <c r="AB11" s="146">
        <f t="shared" si="2"/>
        <v>373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41</v>
      </c>
      <c r="Y12" s="7">
        <f>'CALCULATOR SHEET'!J18</f>
        <v>86</v>
      </c>
      <c r="Z12" s="7">
        <f t="shared" si="0"/>
        <v>4</v>
      </c>
      <c r="AA12" s="7">
        <f t="shared" si="1"/>
        <v>12</v>
      </c>
      <c r="AB12" s="146">
        <f t="shared" si="2"/>
        <v>226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60.5</v>
      </c>
      <c r="Y13" s="7">
        <f>'CALCULATOR SHEET'!J19</f>
        <v>54</v>
      </c>
      <c r="Z13" s="7">
        <f t="shared" si="0"/>
        <v>8</v>
      </c>
      <c r="AA13" s="7">
        <f t="shared" si="1"/>
        <v>6</v>
      </c>
      <c r="AB13" s="146">
        <f t="shared" si="2"/>
        <v>279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56.5</v>
      </c>
      <c r="Y14" s="7">
        <f>'CALCULATOR SHEET'!J20</f>
        <v>54</v>
      </c>
      <c r="Z14" s="7">
        <f t="shared" si="0"/>
        <v>7</v>
      </c>
      <c r="AA14" s="7">
        <f t="shared" si="1"/>
        <v>6</v>
      </c>
      <c r="AB14" s="146">
        <f t="shared" si="2"/>
        <v>269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60.5</v>
      </c>
      <c r="Y15" s="7">
        <f>'CALCULATOR SHEET'!J21</f>
        <v>54</v>
      </c>
      <c r="Z15" s="7">
        <f t="shared" si="0"/>
        <v>8</v>
      </c>
      <c r="AA15" s="7">
        <f t="shared" si="1"/>
        <v>6</v>
      </c>
      <c r="AB15" s="146">
        <f t="shared" si="2"/>
        <v>279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56.75</v>
      </c>
      <c r="Y16" s="7">
        <f>'CALCULATOR SHEET'!J22</f>
        <v>54</v>
      </c>
      <c r="Z16" s="7">
        <f t="shared" si="0"/>
        <v>7</v>
      </c>
      <c r="AA16" s="7">
        <f t="shared" si="1"/>
        <v>6</v>
      </c>
      <c r="AB16" s="146">
        <f t="shared" si="2"/>
        <v>269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21.25</v>
      </c>
      <c r="Y17" s="7">
        <f>'CALCULATOR SHEET'!J23</f>
        <v>140</v>
      </c>
      <c r="Z17" s="7">
        <f t="shared" si="0"/>
        <v>1</v>
      </c>
      <c r="AA17" s="7" t="e">
        <f t="shared" si="1"/>
        <v>#N/A</v>
      </c>
      <c r="AB17" s="146" t="e">
        <f t="shared" si="2"/>
        <v>#N/A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25.625</v>
      </c>
      <c r="Y18" s="7">
        <f>'CALCULATOR SHEET'!J24</f>
        <v>140</v>
      </c>
      <c r="Z18" s="7">
        <f t="shared" si="0"/>
        <v>2</v>
      </c>
      <c r="AA18" s="7" t="e">
        <f t="shared" si="1"/>
        <v>#N/A</v>
      </c>
      <c r="AB18" s="146" t="e">
        <f t="shared" si="2"/>
        <v>#N/A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36</v>
      </c>
      <c r="Y19" s="7">
        <f>'CALCULATOR SHEET'!J25</f>
        <v>20</v>
      </c>
      <c r="Z19" s="7">
        <f t="shared" si="0"/>
        <v>3</v>
      </c>
      <c r="AA19" s="7">
        <f t="shared" si="1"/>
        <v>1</v>
      </c>
      <c r="AB19" s="146">
        <f t="shared" si="2"/>
        <v>113</v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112</v>
      </c>
      <c r="X7" s="7">
        <f>'CALCULATOR SHEET'!J13</f>
        <v>54</v>
      </c>
      <c r="Y7" s="7" t="e">
        <f>IF(W7=0,"",MATCH(CEILING(W7,6),$C$7:$Q$7,0))</f>
        <v>#N/A</v>
      </c>
      <c r="Z7" s="7">
        <f>IF(X7=0,"",MATCH(CEILING(X7,6),$B$10:$B$26,0))</f>
        <v>6</v>
      </c>
      <c r="AA7" s="146" t="e">
        <f>IF(Y7="","",INDEX($C$10:$Q$26,Z7,Y7))</f>
        <v>#N/A</v>
      </c>
    </row>
    <row r="8" spans="2:27">
      <c r="T8" s="385"/>
      <c r="V8" s="1">
        <f>+V7+1</f>
        <v>2</v>
      </c>
      <c r="W8" s="7">
        <f>'CALCULATOR SHEET'!I14</f>
        <v>108</v>
      </c>
      <c r="X8" s="7">
        <f>'CALCULATOR SHEET'!J14</f>
        <v>54</v>
      </c>
      <c r="Y8" s="7">
        <f t="shared" ref="Y8:Y71" si="1">IF(W8=0,"",MATCH(CEILING(W8,6),$C$7:$Q$7,0))</f>
        <v>15</v>
      </c>
      <c r="Z8" s="7">
        <f t="shared" ref="Z8:Z71" si="2">IF(X8=0,"",MATCH(CEILING(X8,6),$B$10:$B$26,0))</f>
        <v>6</v>
      </c>
      <c r="AA8" s="146" t="str">
        <f t="shared" ref="AA8:AA71" si="3">IF(Y8="","",INDEX($C$10:$Q$26,Z8,Y8))</f>
        <v>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54</v>
      </c>
      <c r="Y9" s="7">
        <f t="shared" si="1"/>
        <v>10</v>
      </c>
      <c r="Z9" s="7">
        <f t="shared" si="2"/>
        <v>6</v>
      </c>
      <c r="AA9" s="146">
        <f t="shared" si="3"/>
        <v>345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69</v>
      </c>
      <c r="X10" s="7">
        <f>'CALCULATOR SHEET'!J16</f>
        <v>54</v>
      </c>
      <c r="Y10" s="7">
        <f t="shared" si="1"/>
        <v>9</v>
      </c>
      <c r="Z10" s="7">
        <f t="shared" si="2"/>
        <v>6</v>
      </c>
      <c r="AA10" s="146">
        <f t="shared" si="3"/>
        <v>330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62.5</v>
      </c>
      <c r="X11" s="7">
        <f>'CALCULATOR SHEET'!J17</f>
        <v>86</v>
      </c>
      <c r="Y11" s="7">
        <f t="shared" si="1"/>
        <v>8</v>
      </c>
      <c r="Z11" s="7">
        <f t="shared" si="2"/>
        <v>12</v>
      </c>
      <c r="AA11" s="146">
        <f t="shared" si="3"/>
        <v>439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41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260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60.5</v>
      </c>
      <c r="X13" s="7">
        <f>'CALCULATOR SHEET'!J19</f>
        <v>54</v>
      </c>
      <c r="Y13" s="7">
        <f t="shared" si="1"/>
        <v>8</v>
      </c>
      <c r="Z13" s="7">
        <f t="shared" si="2"/>
        <v>6</v>
      </c>
      <c r="AA13" s="146">
        <f t="shared" si="3"/>
        <v>322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56.5</v>
      </c>
      <c r="X14" s="7">
        <f>'CALCULATOR SHEET'!J20</f>
        <v>54</v>
      </c>
      <c r="Y14" s="7">
        <f t="shared" si="1"/>
        <v>7</v>
      </c>
      <c r="Z14" s="7">
        <f t="shared" si="2"/>
        <v>6</v>
      </c>
      <c r="AA14" s="146">
        <f t="shared" si="3"/>
        <v>311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60.5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322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56.75</v>
      </c>
      <c r="X16" s="7">
        <f>'CALCULATOR SHEET'!J22</f>
        <v>54</v>
      </c>
      <c r="Y16" s="7">
        <f t="shared" si="1"/>
        <v>7</v>
      </c>
      <c r="Z16" s="7">
        <f t="shared" si="2"/>
        <v>6</v>
      </c>
      <c r="AA16" s="146">
        <f t="shared" si="3"/>
        <v>311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21.25</v>
      </c>
      <c r="X17" s="7">
        <f>'CALCULATOR SHEET'!J23</f>
        <v>140</v>
      </c>
      <c r="Y17" s="7">
        <f t="shared" si="1"/>
        <v>1</v>
      </c>
      <c r="Z17" s="7" t="e">
        <f t="shared" si="2"/>
        <v>#N/A</v>
      </c>
      <c r="AA17" s="146" t="e">
        <f t="shared" si="3"/>
        <v>#N/A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25.625</v>
      </c>
      <c r="X18" s="7">
        <f>'CALCULATOR SHEET'!J24</f>
        <v>140</v>
      </c>
      <c r="Y18" s="7">
        <f t="shared" si="1"/>
        <v>2</v>
      </c>
      <c r="Z18" s="7" t="e">
        <f t="shared" si="2"/>
        <v>#N/A</v>
      </c>
      <c r="AA18" s="146" t="e">
        <f t="shared" si="3"/>
        <v>#N/A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36</v>
      </c>
      <c r="X19" s="7">
        <f>'CALCULATOR SHEET'!J25</f>
        <v>20</v>
      </c>
      <c r="Y19" s="7">
        <f t="shared" si="1"/>
        <v>3</v>
      </c>
      <c r="Z19" s="7">
        <f t="shared" si="2"/>
        <v>1</v>
      </c>
      <c r="AA19" s="146">
        <f t="shared" si="3"/>
        <v>120</v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112</v>
      </c>
      <c r="X7" s="7">
        <f>'CALCULATOR SHEET'!J13</f>
        <v>54</v>
      </c>
      <c r="Y7" s="7" t="e">
        <f>IF(W7=0,"",MATCH(CEILING(W7,6),$C$7:$Q$7,0))</f>
        <v>#N/A</v>
      </c>
      <c r="Z7" s="7">
        <f>IF(X7=0,"",MATCH(CEILING(X7,6),$B$10:$B$26,0))</f>
        <v>6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108</v>
      </c>
      <c r="X8" s="7">
        <f>'CALCULATOR SHEET'!J14</f>
        <v>54</v>
      </c>
      <c r="Y8" s="7">
        <f t="shared" ref="Y8:Y71" si="1">IF(W8=0,"",MATCH(CEILING(W8,6),$C$7:$Q$7,0))</f>
        <v>15</v>
      </c>
      <c r="Z8" s="7">
        <f t="shared" ref="Z8:Z71" si="2">IF(X8=0,"",MATCH(CEILING(X8,6),$B$10:$B$26,0))</f>
        <v>6</v>
      </c>
      <c r="AA8" s="146">
        <f t="shared" ref="AA8:AA71" si="3">IF(Y8="","",INDEX($C$10:$Q$26,Z8,Y8))</f>
        <v>389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54</v>
      </c>
      <c r="Y9" s="7">
        <f t="shared" si="1"/>
        <v>10</v>
      </c>
      <c r="Z9" s="7">
        <f t="shared" si="2"/>
        <v>6</v>
      </c>
      <c r="AA9" s="146">
        <f t="shared" si="3"/>
        <v>334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69</v>
      </c>
      <c r="X10" s="7">
        <f>'CALCULATOR SHEET'!J16</f>
        <v>54</v>
      </c>
      <c r="Y10" s="7">
        <f t="shared" si="1"/>
        <v>9</v>
      </c>
      <c r="Z10" s="7">
        <f t="shared" si="2"/>
        <v>6</v>
      </c>
      <c r="AA10" s="146">
        <f t="shared" si="3"/>
        <v>318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62.5</v>
      </c>
      <c r="X11" s="7">
        <f>'CALCULATOR SHEET'!J17</f>
        <v>86</v>
      </c>
      <c r="Y11" s="7">
        <f t="shared" si="1"/>
        <v>8</v>
      </c>
      <c r="Z11" s="7">
        <f t="shared" si="2"/>
        <v>12</v>
      </c>
      <c r="AA11" s="146">
        <f t="shared" si="3"/>
        <v>427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41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252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60.5</v>
      </c>
      <c r="X13" s="7">
        <f>'CALCULATOR SHEET'!J19</f>
        <v>54</v>
      </c>
      <c r="Y13" s="7">
        <f t="shared" si="1"/>
        <v>8</v>
      </c>
      <c r="Z13" s="7">
        <f t="shared" si="2"/>
        <v>6</v>
      </c>
      <c r="AA13" s="146">
        <f t="shared" si="3"/>
        <v>310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56.5</v>
      </c>
      <c r="X14" s="7">
        <f>'CALCULATOR SHEET'!J20</f>
        <v>54</v>
      </c>
      <c r="Y14" s="7">
        <f t="shared" si="1"/>
        <v>7</v>
      </c>
      <c r="Z14" s="7">
        <f t="shared" si="2"/>
        <v>6</v>
      </c>
      <c r="AA14" s="146">
        <f t="shared" si="3"/>
        <v>300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60.5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310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56.75</v>
      </c>
      <c r="X16" s="7">
        <f>'CALCULATOR SHEET'!J22</f>
        <v>54</v>
      </c>
      <c r="Y16" s="7">
        <f t="shared" si="1"/>
        <v>7</v>
      </c>
      <c r="Z16" s="7">
        <f t="shared" si="2"/>
        <v>6</v>
      </c>
      <c r="AA16" s="146">
        <f t="shared" si="3"/>
        <v>300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21.25</v>
      </c>
      <c r="X17" s="7">
        <f>'CALCULATOR SHEET'!J23</f>
        <v>140</v>
      </c>
      <c r="Y17" s="7">
        <f t="shared" si="1"/>
        <v>1</v>
      </c>
      <c r="Z17" s="7" t="e">
        <f t="shared" si="2"/>
        <v>#N/A</v>
      </c>
      <c r="AA17" s="146" t="e">
        <f t="shared" si="3"/>
        <v>#N/A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25.625</v>
      </c>
      <c r="X18" s="7">
        <f>'CALCULATOR SHEET'!J24</f>
        <v>140</v>
      </c>
      <c r="Y18" s="7">
        <f t="shared" si="1"/>
        <v>2</v>
      </c>
      <c r="Z18" s="7" t="e">
        <f t="shared" si="2"/>
        <v>#N/A</v>
      </c>
      <c r="AA18" s="146" t="e">
        <f t="shared" si="3"/>
        <v>#N/A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36</v>
      </c>
      <c r="X19" s="7">
        <f>'CALCULATOR SHEET'!J25</f>
        <v>20</v>
      </c>
      <c r="Y19" s="7">
        <f t="shared" si="1"/>
        <v>3</v>
      </c>
      <c r="Z19" s="7">
        <f t="shared" si="2"/>
        <v>1</v>
      </c>
      <c r="AA19" s="146">
        <f t="shared" si="3"/>
        <v>115</v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112</v>
      </c>
      <c r="X7" s="7">
        <f>'CALCULATOR SHEET'!J13</f>
        <v>54</v>
      </c>
      <c r="Y7" s="7" t="e">
        <f>IF(W7=0,"",MATCH(CEILING(W7,6),$C$7:$Q$7,0))</f>
        <v>#N/A</v>
      </c>
      <c r="Z7" s="7">
        <f>IF(X7=0,"",MATCH(CEILING(X7,6),$B$10:$B$26,0))</f>
        <v>6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108</v>
      </c>
      <c r="X8" s="7">
        <f>'CALCULATOR SHEET'!J14</f>
        <v>54</v>
      </c>
      <c r="Y8" s="7">
        <f t="shared" ref="Y8:Y71" si="1">IF(W8=0,"",MATCH(CEILING(W8,6),$C$7:$Q$7,0))</f>
        <v>15</v>
      </c>
      <c r="Z8" s="7">
        <f t="shared" ref="Z8:Z71" si="2">IF(X8=0,"",MATCH(CEILING(X8,6),$B$10:$B$26,0))</f>
        <v>6</v>
      </c>
      <c r="AA8" s="146" t="str">
        <f t="shared" ref="AA8:AA71" si="3">IF(Y8="","",INDEX($C$10:$Q$26,Z8,Y8))</f>
        <v>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54</v>
      </c>
      <c r="Y9" s="7">
        <f t="shared" si="1"/>
        <v>10</v>
      </c>
      <c r="Z9" s="7">
        <f t="shared" si="2"/>
        <v>6</v>
      </c>
      <c r="AA9" s="146">
        <f t="shared" si="3"/>
        <v>435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69</v>
      </c>
      <c r="X10" s="7">
        <f>'CALCULATOR SHEET'!J16</f>
        <v>54</v>
      </c>
      <c r="Y10" s="7">
        <f t="shared" si="1"/>
        <v>9</v>
      </c>
      <c r="Z10" s="7">
        <f t="shared" si="2"/>
        <v>6</v>
      </c>
      <c r="AA10" s="146">
        <f t="shared" si="3"/>
        <v>419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62.5</v>
      </c>
      <c r="X11" s="7">
        <f>'CALCULATOR SHEET'!J17</f>
        <v>86</v>
      </c>
      <c r="Y11" s="7">
        <f t="shared" si="1"/>
        <v>8</v>
      </c>
      <c r="Z11" s="7">
        <f t="shared" si="2"/>
        <v>12</v>
      </c>
      <c r="AA11" s="146">
        <f t="shared" si="3"/>
        <v>583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41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333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60.5</v>
      </c>
      <c r="X13" s="7">
        <f>'CALCULATOR SHEET'!J19</f>
        <v>54</v>
      </c>
      <c r="Y13" s="7">
        <f t="shared" si="1"/>
        <v>8</v>
      </c>
      <c r="Z13" s="7">
        <f t="shared" si="2"/>
        <v>6</v>
      </c>
      <c r="AA13" s="146">
        <f t="shared" si="3"/>
        <v>411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56.5</v>
      </c>
      <c r="X14" s="7">
        <f>'CALCULATOR SHEET'!J20</f>
        <v>54</v>
      </c>
      <c r="Y14" s="7">
        <f t="shared" si="1"/>
        <v>7</v>
      </c>
      <c r="Z14" s="7">
        <f t="shared" si="2"/>
        <v>6</v>
      </c>
      <c r="AA14" s="146">
        <f t="shared" si="3"/>
        <v>400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60.5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411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56.75</v>
      </c>
      <c r="X16" s="7">
        <f>'CALCULATOR SHEET'!J22</f>
        <v>54</v>
      </c>
      <c r="Y16" s="7">
        <f t="shared" si="1"/>
        <v>7</v>
      </c>
      <c r="Z16" s="7">
        <f t="shared" si="2"/>
        <v>6</v>
      </c>
      <c r="AA16" s="146">
        <f t="shared" si="3"/>
        <v>400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21.25</v>
      </c>
      <c r="X17" s="7">
        <f>'CALCULATOR SHEET'!J23</f>
        <v>140</v>
      </c>
      <c r="Y17" s="7">
        <f t="shared" si="1"/>
        <v>1</v>
      </c>
      <c r="Z17" s="7" t="e">
        <f t="shared" si="2"/>
        <v>#N/A</v>
      </c>
      <c r="AA17" s="146" t="e">
        <f t="shared" si="3"/>
        <v>#N/A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25.625</v>
      </c>
      <c r="X18" s="7">
        <f>'CALCULATOR SHEET'!J24</f>
        <v>140</v>
      </c>
      <c r="Y18" s="7">
        <f t="shared" si="1"/>
        <v>2</v>
      </c>
      <c r="Z18" s="7" t="e">
        <f t="shared" si="2"/>
        <v>#N/A</v>
      </c>
      <c r="AA18" s="146" t="e">
        <f t="shared" si="3"/>
        <v>#N/A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36</v>
      </c>
      <c r="X19" s="7">
        <f>'CALCULATOR SHEET'!J25</f>
        <v>20</v>
      </c>
      <c r="Y19" s="7">
        <f t="shared" si="1"/>
        <v>3</v>
      </c>
      <c r="Z19" s="7">
        <f t="shared" si="2"/>
        <v>1</v>
      </c>
      <c r="AA19" s="146">
        <f t="shared" si="3"/>
        <v>135</v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112</v>
      </c>
      <c r="X7" s="7">
        <f>'CALCULATOR SHEET'!J13</f>
        <v>54</v>
      </c>
      <c r="Y7" s="7" t="e">
        <f>IF(W7=0,"",MATCH(CEILING(W7,6),$C$7:$Q$7,0))</f>
        <v>#N/A</v>
      </c>
      <c r="Z7" s="7">
        <f>IF(X7=0,"",MATCH(CEILING(X7,6),$B$10:$B$26,0))</f>
        <v>6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108</v>
      </c>
      <c r="X8" s="7">
        <f>'CALCULATOR SHEET'!J14</f>
        <v>54</v>
      </c>
      <c r="Y8" s="7">
        <f t="shared" ref="Y8:Y71" si="1">IF(W8=0,"",MATCH(CEILING(W8,6),$C$7:$Q$7,0))</f>
        <v>15</v>
      </c>
      <c r="Z8" s="7">
        <f t="shared" ref="Z8:Z71" si="2">IF(X8=0,"",MATCH(CEILING(X8,6),$B$10:$B$26,0))</f>
        <v>6</v>
      </c>
      <c r="AA8" s="146" t="str">
        <f t="shared" ref="AA8:AA71" si="3">IF(Y8="","",INDEX($C$10:$Q$26,Z8,Y8))</f>
        <v>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54</v>
      </c>
      <c r="Y9" s="7">
        <f t="shared" si="1"/>
        <v>10</v>
      </c>
      <c r="Z9" s="7">
        <f t="shared" si="2"/>
        <v>6</v>
      </c>
      <c r="AA9" s="146">
        <f t="shared" si="3"/>
        <v>457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69</v>
      </c>
      <c r="X10" s="7">
        <f>'CALCULATOR SHEET'!J16</f>
        <v>54</v>
      </c>
      <c r="Y10" s="7">
        <f t="shared" si="1"/>
        <v>9</v>
      </c>
      <c r="Z10" s="7">
        <f t="shared" si="2"/>
        <v>6</v>
      </c>
      <c r="AA10" s="146">
        <f t="shared" si="3"/>
        <v>440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62.5</v>
      </c>
      <c r="X11" s="7">
        <f>'CALCULATOR SHEET'!J17</f>
        <v>86</v>
      </c>
      <c r="Y11" s="7">
        <f t="shared" si="1"/>
        <v>8</v>
      </c>
      <c r="Z11" s="7">
        <f t="shared" si="2"/>
        <v>12</v>
      </c>
      <c r="AA11" s="146">
        <f t="shared" si="3"/>
        <v>617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41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350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60.5</v>
      </c>
      <c r="X13" s="7">
        <f>'CALCULATOR SHEET'!J19</f>
        <v>54</v>
      </c>
      <c r="Y13" s="7">
        <f t="shared" si="1"/>
        <v>8</v>
      </c>
      <c r="Z13" s="7">
        <f t="shared" si="2"/>
        <v>6</v>
      </c>
      <c r="AA13" s="146">
        <f t="shared" si="3"/>
        <v>432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56.5</v>
      </c>
      <c r="X14" s="7">
        <f>'CALCULATOR SHEET'!J20</f>
        <v>54</v>
      </c>
      <c r="Y14" s="7">
        <f t="shared" si="1"/>
        <v>7</v>
      </c>
      <c r="Z14" s="7">
        <f t="shared" si="2"/>
        <v>6</v>
      </c>
      <c r="AA14" s="146">
        <f t="shared" si="3"/>
        <v>422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60.5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432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56.75</v>
      </c>
      <c r="X16" s="7">
        <f>'CALCULATOR SHEET'!J22</f>
        <v>54</v>
      </c>
      <c r="Y16" s="7">
        <f t="shared" si="1"/>
        <v>7</v>
      </c>
      <c r="Z16" s="7">
        <f t="shared" si="2"/>
        <v>6</v>
      </c>
      <c r="AA16" s="146">
        <f t="shared" si="3"/>
        <v>422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21.25</v>
      </c>
      <c r="X17" s="7">
        <f>'CALCULATOR SHEET'!J23</f>
        <v>140</v>
      </c>
      <c r="Y17" s="7">
        <f t="shared" si="1"/>
        <v>1</v>
      </c>
      <c r="Z17" s="7" t="e">
        <f t="shared" si="2"/>
        <v>#N/A</v>
      </c>
      <c r="AA17" s="146" t="e">
        <f t="shared" si="3"/>
        <v>#N/A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25.625</v>
      </c>
      <c r="X18" s="7">
        <f>'CALCULATOR SHEET'!J24</f>
        <v>140</v>
      </c>
      <c r="Y18" s="7">
        <f t="shared" si="1"/>
        <v>2</v>
      </c>
      <c r="Z18" s="7" t="e">
        <f t="shared" si="2"/>
        <v>#N/A</v>
      </c>
      <c r="AA18" s="146" t="e">
        <f t="shared" si="3"/>
        <v>#N/A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36</v>
      </c>
      <c r="X19" s="7">
        <f>'CALCULATOR SHEET'!J25</f>
        <v>20</v>
      </c>
      <c r="Y19" s="7">
        <f t="shared" si="1"/>
        <v>3</v>
      </c>
      <c r="Z19" s="7">
        <f t="shared" si="2"/>
        <v>1</v>
      </c>
      <c r="AA19" s="146">
        <f t="shared" si="3"/>
        <v>138</v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112</v>
      </c>
      <c r="X7" s="7">
        <f>'CALCULATOR SHEET'!J13</f>
        <v>54</v>
      </c>
      <c r="Y7" s="7" t="e">
        <f>IF(W7=0,"",MATCH(CEILING(W7,6),$C$7:$Q$7,0))</f>
        <v>#N/A</v>
      </c>
      <c r="Z7" s="7">
        <f>IF(X7=0,"",MATCH(CEILING(X7,6),$B$10:$B$26,0))</f>
        <v>6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108</v>
      </c>
      <c r="X8" s="7">
        <f>'CALCULATOR SHEET'!J14</f>
        <v>54</v>
      </c>
      <c r="Y8" s="7">
        <f t="shared" ref="Y8:Y71" si="1">IF(W8=0,"",MATCH(CEILING(W8,6),$C$7:$Q$7,0))</f>
        <v>15</v>
      </c>
      <c r="Z8" s="7">
        <f t="shared" ref="Z8:Z71" si="2">IF(X8=0,"",MATCH(CEILING(X8,6),$B$10:$B$26,0))</f>
        <v>6</v>
      </c>
      <c r="AA8" s="146" t="str">
        <f t="shared" ref="AA8:AA71" si="3">IF(Y8="","",INDEX($C$10:$Q$26,Z8,Y8))</f>
        <v>N/A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73</v>
      </c>
      <c r="X9" s="7">
        <f>'CALCULATOR SHEET'!J15</f>
        <v>54</v>
      </c>
      <c r="Y9" s="7">
        <f t="shared" si="1"/>
        <v>10</v>
      </c>
      <c r="Z9" s="7">
        <f t="shared" si="2"/>
        <v>6</v>
      </c>
      <c r="AA9" s="146">
        <f t="shared" si="3"/>
        <v>446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69</v>
      </c>
      <c r="X10" s="7">
        <f>'CALCULATOR SHEET'!J16</f>
        <v>54</v>
      </c>
      <c r="Y10" s="7">
        <f t="shared" si="1"/>
        <v>9</v>
      </c>
      <c r="Z10" s="7">
        <f t="shared" si="2"/>
        <v>6</v>
      </c>
      <c r="AA10" s="146">
        <f t="shared" si="3"/>
        <v>432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62.5</v>
      </c>
      <c r="X11" s="7">
        <f>'CALCULATOR SHEET'!J17</f>
        <v>86</v>
      </c>
      <c r="Y11" s="7">
        <f t="shared" si="1"/>
        <v>8</v>
      </c>
      <c r="Z11" s="7">
        <f t="shared" si="2"/>
        <v>12</v>
      </c>
      <c r="AA11" s="146">
        <f t="shared" si="3"/>
        <v>617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41</v>
      </c>
      <c r="X12" s="7">
        <f>'CALCULATOR SHEET'!J18</f>
        <v>86</v>
      </c>
      <c r="Y12" s="7">
        <f t="shared" si="1"/>
        <v>4</v>
      </c>
      <c r="Z12" s="7">
        <f t="shared" si="2"/>
        <v>12</v>
      </c>
      <c r="AA12" s="146">
        <f t="shared" si="3"/>
        <v>345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60.5</v>
      </c>
      <c r="X13" s="7">
        <f>'CALCULATOR SHEET'!J19</f>
        <v>54</v>
      </c>
      <c r="Y13" s="7">
        <f t="shared" si="1"/>
        <v>8</v>
      </c>
      <c r="Z13" s="7">
        <f t="shared" si="2"/>
        <v>6</v>
      </c>
      <c r="AA13" s="146">
        <f t="shared" si="3"/>
        <v>426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56.5</v>
      </c>
      <c r="X14" s="7">
        <f>'CALCULATOR SHEET'!J20</f>
        <v>54</v>
      </c>
      <c r="Y14" s="7">
        <f t="shared" si="1"/>
        <v>7</v>
      </c>
      <c r="Z14" s="7">
        <f t="shared" si="2"/>
        <v>6</v>
      </c>
      <c r="AA14" s="146">
        <f t="shared" si="3"/>
        <v>416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60.5</v>
      </c>
      <c r="X15" s="7">
        <f>'CALCULATOR SHEET'!J21</f>
        <v>54</v>
      </c>
      <c r="Y15" s="7">
        <f t="shared" si="1"/>
        <v>8</v>
      </c>
      <c r="Z15" s="7">
        <f t="shared" si="2"/>
        <v>6</v>
      </c>
      <c r="AA15" s="146">
        <f t="shared" si="3"/>
        <v>426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56.75</v>
      </c>
      <c r="X16" s="7">
        <f>'CALCULATOR SHEET'!J22</f>
        <v>54</v>
      </c>
      <c r="Y16" s="7">
        <f t="shared" si="1"/>
        <v>7</v>
      </c>
      <c r="Z16" s="7">
        <f t="shared" si="2"/>
        <v>6</v>
      </c>
      <c r="AA16" s="146">
        <f t="shared" si="3"/>
        <v>416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21.25</v>
      </c>
      <c r="X17" s="7">
        <f>'CALCULATOR SHEET'!J23</f>
        <v>140</v>
      </c>
      <c r="Y17" s="7">
        <f t="shared" si="1"/>
        <v>1</v>
      </c>
      <c r="Z17" s="7" t="e">
        <f t="shared" si="2"/>
        <v>#N/A</v>
      </c>
      <c r="AA17" s="146" t="e">
        <f t="shared" si="3"/>
        <v>#N/A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25.625</v>
      </c>
      <c r="X18" s="7">
        <f>'CALCULATOR SHEET'!J24</f>
        <v>140</v>
      </c>
      <c r="Y18" s="7">
        <f t="shared" si="1"/>
        <v>2</v>
      </c>
      <c r="Z18" s="7" t="e">
        <f t="shared" si="2"/>
        <v>#N/A</v>
      </c>
      <c r="AA18" s="146" t="e">
        <f t="shared" si="3"/>
        <v>#N/A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36</v>
      </c>
      <c r="X19" s="7">
        <f>'CALCULATOR SHEET'!J25</f>
        <v>20</v>
      </c>
      <c r="Y19" s="7">
        <f t="shared" si="1"/>
        <v>3</v>
      </c>
      <c r="Z19" s="7">
        <f t="shared" si="2"/>
        <v>1</v>
      </c>
      <c r="AA19" s="146">
        <f t="shared" si="3"/>
        <v>127</v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 ca="1">'PM-ORDER'!O5</f>
        <v>112</v>
      </c>
      <c r="Y5" s="7">
        <f ca="1">'PM-ORDER'!P5</f>
        <v>54</v>
      </c>
      <c r="Z5" s="7">
        <f ca="1">IF(X5&lt;&gt;"",MATCH(CEILING(X5,6),$C$4:$S$4,0),"")</f>
        <v>16</v>
      </c>
      <c r="AA5" s="7">
        <f ca="1">IF(X5&lt;&gt;"",MATCH(CEILING(Y5,6),$B$7:$B$26,0),"")</f>
        <v>6</v>
      </c>
      <c r="AB5" s="7"/>
      <c r="AC5" s="7" t="str">
        <f ca="1">IF('PM-ORDER'!G5="ROLLER",INDEX($C$7:$S$26,AA5,Z5),"")</f>
        <v>RL-MAN-BSGD</v>
      </c>
      <c r="AF5" s="7" t="str">
        <f>IF('PM-ORDER'!G5="ZEBRA",INDEX($C$35:$S$54,AA5,Z5),"")</f>
        <v/>
      </c>
      <c r="AG5" s="1" t="str">
        <f ca="1">CONCATENATE(AC5,AF5)</f>
        <v>RL-MAN-BSGD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 ca="1">'PM-ORDER'!O6</f>
        <v>108</v>
      </c>
      <c r="Y6" s="7">
        <f ca="1">'PM-ORDER'!P6</f>
        <v>54</v>
      </c>
      <c r="Z6" s="7">
        <f t="shared" ref="Z6:Z44" ca="1" si="0">IF(X6&lt;&gt;"",MATCH(CEILING(X6,6),$C$4:$S$4,0),"")</f>
        <v>15</v>
      </c>
      <c r="AA6" s="7">
        <f t="shared" ref="AA6:AA44" ca="1" si="1">IF(X6&lt;&gt;"",MATCH(CEILING(Y6,6),$B$7:$B$26,0),"")</f>
        <v>6</v>
      </c>
      <c r="AC6" s="7" t="str">
        <f ca="1">IF('PM-ORDER'!G6="ROLLER",INDEX($C$7:$S$26,AA6,Z6),"")</f>
        <v>RL-MAN-BSGD</v>
      </c>
      <c r="AF6" s="7" t="str">
        <f>IF('PM-ORDER'!G6="ZEBRA",INDEX($C$35:$S$54,AA6,Z6),"")</f>
        <v/>
      </c>
      <c r="AG6" s="1" t="str">
        <f t="shared" ref="AG6:AG44" ca="1" si="2">CONCATENATE(AC6,AF6)</f>
        <v>RL-MAN-BSGD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 ca="1">'PM-ORDER'!O7</f>
        <v>73</v>
      </c>
      <c r="Y7" s="7">
        <f ca="1">'PM-ORDER'!P7</f>
        <v>54</v>
      </c>
      <c r="Z7" s="7">
        <f t="shared" ca="1" si="0"/>
        <v>10</v>
      </c>
      <c r="AA7" s="7">
        <f t="shared" ca="1" si="1"/>
        <v>6</v>
      </c>
      <c r="AC7" s="7" t="str">
        <f ca="1">IF('PM-ORDER'!G7="ROLLER",INDEX($C$7:$S$26,AA7,Z7),"")</f>
        <v>RL-MAN-BSMD</v>
      </c>
      <c r="AF7" s="7" t="str">
        <f>IF('PM-ORDER'!G7="ZEBRA",INDEX($C$35:$S$54,AA7,Z7),"")</f>
        <v/>
      </c>
      <c r="AG7" s="1" t="str">
        <f t="shared" ca="1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 ca="1">'PM-ORDER'!O8</f>
        <v>69</v>
      </c>
      <c r="Y8" s="7">
        <f ca="1">'PM-ORDER'!P8</f>
        <v>54</v>
      </c>
      <c r="Z8" s="7">
        <f t="shared" ca="1" si="0"/>
        <v>9</v>
      </c>
      <c r="AA8" s="7">
        <f t="shared" ca="1" si="1"/>
        <v>6</v>
      </c>
      <c r="AC8" s="7" t="str">
        <f ca="1">IF('PM-ORDER'!G8="ROLLER",INDEX($C$7:$S$26,AA8,Z8),"")</f>
        <v>RL-MAN -BSCH</v>
      </c>
      <c r="AF8" s="7" t="str">
        <f>IF('PM-ORDER'!G8="ZEBRA",INDEX($C$35:$S$54,AA8,Z8),"")</f>
        <v/>
      </c>
      <c r="AG8" s="1" t="str">
        <f t="shared" ca="1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 ca="1">'PM-ORDER'!O9</f>
        <v>62.5</v>
      </c>
      <c r="Y9" s="7">
        <f ca="1">'PM-ORDER'!P9</f>
        <v>86</v>
      </c>
      <c r="Z9" s="7">
        <f t="shared" ca="1" si="0"/>
        <v>8</v>
      </c>
      <c r="AA9" s="7">
        <f t="shared" ca="1" si="1"/>
        <v>12</v>
      </c>
      <c r="AC9" s="7" t="str">
        <f ca="1">IF('PM-ORDER'!G9="ROLLER",INDEX($C$7:$S$26,AA9,Z9),"")</f>
        <v>RL-MAN -BSCH</v>
      </c>
      <c r="AF9" s="7" t="str">
        <f>IF('PM-ORDER'!G9="ZEBRA",INDEX($C$35:$S$54,AA9,Z9),"")</f>
        <v/>
      </c>
      <c r="AG9" s="1" t="str">
        <f t="shared" ca="1" si="2"/>
        <v>RL-MAN -BSCH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 ca="1">'PM-ORDER'!O10</f>
        <v>41</v>
      </c>
      <c r="Y10" s="7">
        <f ca="1">'PM-ORDER'!P10</f>
        <v>86</v>
      </c>
      <c r="Z10" s="7">
        <f t="shared" ca="1" si="0"/>
        <v>4</v>
      </c>
      <c r="AA10" s="7">
        <f t="shared" ca="1" si="1"/>
        <v>12</v>
      </c>
      <c r="AC10" s="7" t="str">
        <f ca="1">IF('PM-ORDER'!G10="ROLLER",INDEX($C$7:$S$26,AA10,Z10),"")</f>
        <v>RL-MAN -BSCH</v>
      </c>
      <c r="AF10" s="7" t="str">
        <f>IF('PM-ORDER'!G10="ZEBRA",INDEX($C$35:$S$54,AA10,Z10),"")</f>
        <v/>
      </c>
      <c r="AG10" s="1" t="str">
        <f t="shared" ca="1" si="2"/>
        <v>RL-MAN -BSCH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 ca="1">'PM-ORDER'!O11</f>
        <v>60.5</v>
      </c>
      <c r="Y11" s="7">
        <f ca="1">'PM-ORDER'!P11</f>
        <v>54</v>
      </c>
      <c r="Z11" s="7">
        <f t="shared" ca="1" si="0"/>
        <v>8</v>
      </c>
      <c r="AA11" s="7">
        <f t="shared" ca="1" si="1"/>
        <v>6</v>
      </c>
      <c r="AC11" s="7" t="str">
        <f ca="1">IF('PM-ORDER'!G11="ROLLER",INDEX($C$7:$S$26,AA11,Z11),"")</f>
        <v>RL-MAN -BSCH</v>
      </c>
      <c r="AF11" s="7" t="str">
        <f>IF('PM-ORDER'!G11="ZEBRA",INDEX($C$35:$S$54,AA11,Z11),"")</f>
        <v/>
      </c>
      <c r="AG11" s="1" t="str">
        <f t="shared" ca="1" si="2"/>
        <v>RL-MAN -BSCH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 ca="1">'PM-ORDER'!O12</f>
        <v>56.5</v>
      </c>
      <c r="Y12" s="7">
        <f ca="1">'PM-ORDER'!P12</f>
        <v>54</v>
      </c>
      <c r="Z12" s="7">
        <f t="shared" ca="1" si="0"/>
        <v>7</v>
      </c>
      <c r="AA12" s="7">
        <f t="shared" ca="1" si="1"/>
        <v>6</v>
      </c>
      <c r="AC12" s="7" t="str">
        <f ca="1">IF('PM-ORDER'!G12="ROLLER",INDEX($C$7:$S$26,AA12,Z12),"")</f>
        <v>RL-MAN -BSCH</v>
      </c>
      <c r="AF12" s="7" t="str">
        <f>IF('PM-ORDER'!G12="ZEBRA",INDEX($C$35:$S$54,AA12,Z12),"")</f>
        <v/>
      </c>
      <c r="AG12" s="1" t="str">
        <f t="shared" ca="1" si="2"/>
        <v>RL-MAN -BSCH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 ca="1">'PM-ORDER'!O13</f>
        <v>60.5</v>
      </c>
      <c r="Y13" s="7">
        <f ca="1">'PM-ORDER'!P13</f>
        <v>54</v>
      </c>
      <c r="Z13" s="7">
        <f t="shared" ca="1" si="0"/>
        <v>8</v>
      </c>
      <c r="AA13" s="7">
        <f t="shared" ca="1" si="1"/>
        <v>6</v>
      </c>
      <c r="AC13" s="7" t="str">
        <f ca="1">IF('PM-ORDER'!G13="ROLLER",INDEX($C$7:$S$26,AA13,Z13),"")</f>
        <v>RL-MAN -BSCH</v>
      </c>
      <c r="AF13" s="7" t="str">
        <f>IF('PM-ORDER'!G13="ZEBRA",INDEX($C$35:$S$54,AA13,Z13),"")</f>
        <v/>
      </c>
      <c r="AG13" s="1" t="str">
        <f t="shared" ca="1" si="2"/>
        <v>RL-MAN -BSCH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 ca="1">'PM-ORDER'!O14</f>
        <v>56.75</v>
      </c>
      <c r="Y14" s="7">
        <f ca="1">'PM-ORDER'!P14</f>
        <v>54</v>
      </c>
      <c r="Z14" s="7">
        <f t="shared" ca="1" si="0"/>
        <v>7</v>
      </c>
      <c r="AA14" s="7">
        <f t="shared" ca="1" si="1"/>
        <v>6</v>
      </c>
      <c r="AC14" s="7" t="str">
        <f ca="1">IF('PM-ORDER'!G14="ROLLER",INDEX($C$7:$S$26,AA14,Z14),"")</f>
        <v>RL-MAN -BSCH</v>
      </c>
      <c r="AF14" s="7" t="str">
        <f>IF('PM-ORDER'!G14="ZEBRA",INDEX($C$35:$S$54,AA14,Z14),"")</f>
        <v/>
      </c>
      <c r="AG14" s="1" t="str">
        <f t="shared" ca="1" si="2"/>
        <v>RL-MAN -BSCH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 ca="1">'PM-ORDER'!O15</f>
        <v>21.25</v>
      </c>
      <c r="Y15" s="7">
        <f ca="1">'PM-ORDER'!P15</f>
        <v>140</v>
      </c>
      <c r="Z15" s="7">
        <f t="shared" ca="1" si="0"/>
        <v>1</v>
      </c>
      <c r="AA15" s="7" t="e">
        <f t="shared" ca="1" si="1"/>
        <v>#N/A</v>
      </c>
      <c r="AC15" s="7" t="e">
        <f ca="1">IF('PM-ORDER'!G15="ROLLER",INDEX($C$7:$S$26,AA15,Z15),"")</f>
        <v>#N/A</v>
      </c>
      <c r="AF15" s="7" t="str">
        <f>IF('PM-ORDER'!G15="ZEBRA",INDEX($C$35:$S$54,AA15,Z15),"")</f>
        <v/>
      </c>
      <c r="AG15" s="1" t="e">
        <f t="shared" ca="1" si="2"/>
        <v>#N/A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>
        <f ca="1">'PM-ORDER'!O16</f>
        <v>25.625</v>
      </c>
      <c r="Y16" s="7">
        <f ca="1">'PM-ORDER'!P16</f>
        <v>140</v>
      </c>
      <c r="Z16" s="7">
        <f t="shared" ca="1" si="0"/>
        <v>2</v>
      </c>
      <c r="AA16" s="7" t="e">
        <f t="shared" ca="1" si="1"/>
        <v>#N/A</v>
      </c>
      <c r="AC16" s="7" t="e">
        <f ca="1">IF('PM-ORDER'!G16="ROLLER",INDEX($C$7:$S$26,AA16,Z16),"")</f>
        <v>#N/A</v>
      </c>
      <c r="AF16" s="7" t="str">
        <f>IF('PM-ORDER'!G16="ZEBRA",INDEX($C$35:$S$54,AA16,Z16),"")</f>
        <v/>
      </c>
      <c r="AG16" s="1" t="e">
        <f t="shared" ca="1" si="2"/>
        <v>#N/A</v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>
        <f ca="1">'PM-ORDER'!O17</f>
        <v>36</v>
      </c>
      <c r="Y17" s="7">
        <f ca="1">'PM-ORDER'!P17</f>
        <v>20</v>
      </c>
      <c r="Z17" s="7">
        <f t="shared" ca="1" si="0"/>
        <v>3</v>
      </c>
      <c r="AA17" s="7">
        <f t="shared" ca="1" si="1"/>
        <v>1</v>
      </c>
      <c r="AC17" s="7" t="str">
        <f ca="1">IF('PM-ORDER'!G17="ROLLER",INDEX($C$7:$S$26,AA17,Z17),"")</f>
        <v>RL-MAN -BSCH</v>
      </c>
      <c r="AF17" s="7" t="str">
        <f>IF('PM-ORDER'!G17="ZEBRA",INDEX($C$35:$S$54,AA17,Z17),"")</f>
        <v/>
      </c>
      <c r="AG17" s="1" t="str">
        <f t="shared" ca="1" si="2"/>
        <v>RL-MAN -BSCH</v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46007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BS 121625EG-2</v>
      </c>
      <c r="D5" s="229">
        <f ca="1">IF('CALCULATOR SHEET'!D13&lt;&gt;"",'CALCULATOR SHEET'!$T$9,"")</f>
        <v>46007</v>
      </c>
      <c r="E5" s="230" t="str">
        <f ca="1">IF(D5&lt;&gt;"","BAJA SHADES","")</f>
        <v>BAJA SHADES</v>
      </c>
      <c r="F5" s="231" t="str">
        <f>IF(C5&lt;&gt;"",'CALCULATOR SHEET'!$D$9,"")</f>
        <v>PANELES DE TELA</v>
      </c>
      <c r="G5" s="231" t="str">
        <f>IF('CALCULATOR SHEET'!D13&lt;&gt;"",'CALCULATOR SHEET'!D13,"")</f>
        <v>ROLLER</v>
      </c>
      <c r="H5" s="231" t="str">
        <f ca="1">IF(Q5="CCL",BOMS!AG5,"")</f>
        <v>RL-MAN-BSGD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BO SIDNEY GRIS</v>
      </c>
      <c r="M5" s="231" t="str">
        <f>IF(C5&lt;&gt;"",'CALCULATOR SHEET'!O13,"")</f>
        <v>REVERSE ROLL</v>
      </c>
      <c r="N5" s="231" t="str">
        <f>IF(C5&lt;&gt;"",'CALCULATOR SHEET'!H13,"")</f>
        <v>PRINCIPAL</v>
      </c>
      <c r="O5" s="233">
        <f ca="1">IF(D5&lt;&gt;"",'CALCULATOR SHEET'!I13,"")</f>
        <v>112</v>
      </c>
      <c r="P5" s="233">
        <f ca="1">IF(E5&lt;&gt;"",'CALCULATOR SHEET'!J13,"")</f>
        <v>54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 ca="1"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RIVERHOUSE LIVING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BS 121625EG-2</v>
      </c>
      <c r="D6" s="229">
        <f ca="1">IF('CALCULATOR SHEET'!D14&lt;&gt;"",'CALCULATOR SHEET'!$T$9,"")</f>
        <v>46007</v>
      </c>
      <c r="E6" s="230" t="str">
        <f t="shared" ref="E6:E69" ca="1" si="0">IF(D6&lt;&gt;"","BAJA SHADES","")</f>
        <v>BAJA SHADES</v>
      </c>
      <c r="F6" s="231" t="str">
        <f>IF(C6&lt;&gt;"",'CALCULATOR SHEET'!$D$9,"")</f>
        <v>PANELES DE TELA</v>
      </c>
      <c r="G6" s="231" t="str">
        <f>IF('CALCULATOR SHEET'!D14&lt;&gt;"",'CALCULATOR SHEET'!D14,"")</f>
        <v>ROLLER</v>
      </c>
      <c r="H6" s="231" t="str">
        <f ca="1">IF(Q6="CCL",BOMS!AG6,"")</f>
        <v>RL-MAN-BSGD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SCREEN BASIC</v>
      </c>
      <c r="M6" s="231" t="str">
        <f>IF(C6&lt;&gt;"",'CALCULATOR SHEET'!O14,"")</f>
        <v>STANDARD ROLL</v>
      </c>
      <c r="N6" s="231" t="str">
        <f>IF(C6&lt;&gt;"",'CALCULATOR SHEET'!H14,"")</f>
        <v>PRINCIPAL</v>
      </c>
      <c r="O6" s="233">
        <f ca="1">IF(D6&lt;&gt;"",'CALCULATOR SHEET'!I14,"")</f>
        <v>108</v>
      </c>
      <c r="P6" s="233">
        <f ca="1">IF(E6&lt;&gt;"",'CALCULATOR SHEET'!J14,"")</f>
        <v>54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 ca="1"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RIVERHOUSE LIVING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BS 121625EG-2</v>
      </c>
      <c r="D7" s="229">
        <f ca="1">IF('CALCULATOR SHEET'!D15&lt;&gt;"",'CALCULATOR SHEET'!$T$9,"")</f>
        <v>46007</v>
      </c>
      <c r="E7" s="230" t="str">
        <f t="shared" ca="1" si="0"/>
        <v>BAJA SHADES</v>
      </c>
      <c r="F7" s="231" t="str">
        <f>IF(C7&lt;&gt;"",'CALCULATOR SHEET'!$D$9,"")</f>
        <v>PANELES DE TELA</v>
      </c>
      <c r="G7" s="231" t="str">
        <f>IF('CALCULATOR SHEET'!D15&lt;&gt;"",'CALCULATOR SHEET'!D15,"")</f>
        <v>ROLLER</v>
      </c>
      <c r="H7" s="231" t="str">
        <f ca="1">IF(Q7="CCL",BOMS!AG7,"")</f>
        <v>RL-MAN-BSMD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>BO SIDNEY GRIS</v>
      </c>
      <c r="M7" s="231" t="str">
        <f>IF(C7&lt;&gt;"",'CALCULATOR SHEET'!O15,"")</f>
        <v>REVERSE ROLL</v>
      </c>
      <c r="N7" s="231" t="str">
        <f>IF(C7&lt;&gt;"",'CALCULATOR SHEET'!H15,"")</f>
        <v>SALA</v>
      </c>
      <c r="O7" s="233">
        <f ca="1">IF(D7&lt;&gt;"",'CALCULATOR SHEET'!I15,"")</f>
        <v>73</v>
      </c>
      <c r="P7" s="233">
        <f ca="1">IF(E7&lt;&gt;"",'CALCULATOR SHEET'!J15,"")</f>
        <v>54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 ca="1"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>RIVERHOUSE LIVING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BS 121625EG-2</v>
      </c>
      <c r="D8" s="229">
        <f ca="1">IF('CALCULATOR SHEET'!D16&lt;&gt;"",'CALCULATOR SHEET'!$T$9,"")</f>
        <v>46007</v>
      </c>
      <c r="E8" s="230" t="str">
        <f t="shared" ca="1" si="0"/>
        <v>BAJA SHADES</v>
      </c>
      <c r="F8" s="231" t="str">
        <f>IF(C8&lt;&gt;"",'CALCULATOR SHEET'!$D$9,"")</f>
        <v>PANELES DE TELA</v>
      </c>
      <c r="G8" s="231" t="str">
        <f>IF('CALCULATOR SHEET'!D16&lt;&gt;"",'CALCULATOR SHEET'!D16,"")</f>
        <v>ROLLER</v>
      </c>
      <c r="H8" s="231" t="str">
        <f ca="1">IF(Q8="CCL",BOMS!AG8,"")</f>
        <v>RL-MAN -BSCH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>SCREEN BASIC</v>
      </c>
      <c r="M8" s="231" t="str">
        <f>IF(C8&lt;&gt;"",'CALCULATOR SHEET'!O16,"")</f>
        <v>STANDARD ROLL</v>
      </c>
      <c r="N8" s="231" t="str">
        <f>IF(C8&lt;&gt;"",'CALCULATOR SHEET'!H16,"")</f>
        <v>SALA</v>
      </c>
      <c r="O8" s="233">
        <f ca="1">IF(D8&lt;&gt;"",'CALCULATOR SHEET'!I16,"")</f>
        <v>69</v>
      </c>
      <c r="P8" s="233">
        <f ca="1">IF(E8&lt;&gt;"",'CALCULATOR SHEET'!J16,"")</f>
        <v>54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L</v>
      </c>
      <c r="S8" s="230" t="str">
        <f ca="1"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>RIVERHOUSE LIVING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BS 121625EG-2</v>
      </c>
      <c r="D9" s="229">
        <f ca="1">IF('CALCULATOR SHEET'!D17&lt;&gt;"",'CALCULATOR SHEET'!$T$9,"")</f>
        <v>46007</v>
      </c>
      <c r="E9" s="230" t="str">
        <f t="shared" ca="1" si="0"/>
        <v>BAJA SHADES</v>
      </c>
      <c r="F9" s="231" t="str">
        <f>IF(C9&lt;&gt;"",'CALCULATOR SHEET'!$D$9,"")</f>
        <v>PANELES DE TELA</v>
      </c>
      <c r="G9" s="231" t="str">
        <f>IF('CALCULATOR SHEET'!D17&lt;&gt;"",'CALCULATOR SHEET'!D17,"")</f>
        <v>ROLLER</v>
      </c>
      <c r="H9" s="231" t="str">
        <f ca="1">IF(Q9="CCL",BOMS!AG9,"")</f>
        <v>RL-MAN -BSCH</v>
      </c>
      <c r="I9" s="230">
        <v>1</v>
      </c>
      <c r="J9" s="231" t="str">
        <f>IF(C9&lt;&gt;"",'CALCULATOR SHEET'!K17,"")</f>
        <v>METAL CHAIN</v>
      </c>
      <c r="K9" s="231" t="str">
        <f>IF(J9=GENERAL!$H$6,GENERAL!$H$6,IF(J9=GENERAL!$H$7,GENERAL!$H$7,IF('PM-ORDER'!J9=GENERAL!$H$8,GENERAL!$H$8,"")))</f>
        <v>METAL CHAIN</v>
      </c>
      <c r="L9" s="231" t="str">
        <f>IF(C9&lt;&gt;"",'CALCULATOR SHEET'!G17,"")</f>
        <v>SCREEN BASIC</v>
      </c>
      <c r="M9" s="231" t="str">
        <f>IF(C9&lt;&gt;"",'CALCULATOR SHEET'!O17,"")</f>
        <v>REVERSE ROLL</v>
      </c>
      <c r="N9" s="231" t="str">
        <f>IF(C9&lt;&gt;"",'CALCULATOR SHEET'!H17,"")</f>
        <v>COMEDOR A</v>
      </c>
      <c r="O9" s="233">
        <f ca="1">IF(D9&lt;&gt;"",'CALCULATOR SHEET'!I17,"")</f>
        <v>62.5</v>
      </c>
      <c r="P9" s="233">
        <f ca="1">IF(E9&lt;&gt;"",'CALCULATOR SHEET'!J17,"")</f>
        <v>86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L</v>
      </c>
      <c r="S9" s="230" t="str">
        <f ca="1"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>RIVERHOUSE LIVING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>BS 121625EG-2</v>
      </c>
      <c r="D10" s="229">
        <f ca="1">IF('CALCULATOR SHEET'!D18&lt;&gt;"",'CALCULATOR SHEET'!$T$9,"")</f>
        <v>46007</v>
      </c>
      <c r="E10" s="230" t="str">
        <f t="shared" ca="1" si="0"/>
        <v>BAJA SHADES</v>
      </c>
      <c r="F10" s="231" t="str">
        <f>IF(C10&lt;&gt;"",'CALCULATOR SHEET'!$D$9,"")</f>
        <v>PANELES DE TELA</v>
      </c>
      <c r="G10" s="231" t="str">
        <f>IF('CALCULATOR SHEET'!D18&lt;&gt;"",'CALCULATOR SHEET'!D18,"")</f>
        <v>ROLLER</v>
      </c>
      <c r="H10" s="231" t="str">
        <f ca="1">IF(Q10="CCL",BOMS!AG10,"")</f>
        <v>RL-MAN -BSCH</v>
      </c>
      <c r="I10" s="230">
        <v>1</v>
      </c>
      <c r="J10" s="231" t="str">
        <f>IF(C10&lt;&gt;"",'CALCULATOR SHEET'!K18,"")</f>
        <v>METAL CHAIN</v>
      </c>
      <c r="K10" s="231" t="str">
        <f>IF(J10=GENERAL!$H$6,GENERAL!$H$6,IF(J10=GENERAL!$H$7,GENERAL!$H$7,IF('PM-ORDER'!J10=GENERAL!$H$8,GENERAL!$H$8,"")))</f>
        <v>METAL CHAIN</v>
      </c>
      <c r="L10" s="231" t="str">
        <f>IF(C10&lt;&gt;"",'CALCULATOR SHEET'!G18,"")</f>
        <v>SCREEN BASIC</v>
      </c>
      <c r="M10" s="231" t="str">
        <f>IF(C10&lt;&gt;"",'CALCULATOR SHEET'!O18,"")</f>
        <v>REVERSE ROLL</v>
      </c>
      <c r="N10" s="231" t="str">
        <f>IF(C10&lt;&gt;"",'CALCULATOR SHEET'!H18,"")</f>
        <v>COMEDOR B</v>
      </c>
      <c r="O10" s="233">
        <f ca="1">IF(D10&lt;&gt;"",'CALCULATOR SHEET'!I18,"")</f>
        <v>41</v>
      </c>
      <c r="P10" s="233">
        <f ca="1">IF(E10&lt;&gt;"",'CALCULATOR SHEET'!J18,"")</f>
        <v>86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R</v>
      </c>
      <c r="S10" s="230" t="str">
        <f ca="1">IF(D10&lt;&gt;"",'CALCULATOR SHEET'!N18,"")</f>
        <v>INSIDE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>RIVERHOUSE LIVING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>BS 121625EG-2</v>
      </c>
      <c r="D11" s="229">
        <f ca="1">IF('CALCULATOR SHEET'!D19&lt;&gt;"",'CALCULATOR SHEET'!$T$9,"")</f>
        <v>46007</v>
      </c>
      <c r="E11" s="230" t="str">
        <f t="shared" ca="1" si="0"/>
        <v>BAJA SHADES</v>
      </c>
      <c r="F11" s="231" t="str">
        <f>IF(C11&lt;&gt;"",'CALCULATOR SHEET'!$D$9,"")</f>
        <v>PANELES DE TELA</v>
      </c>
      <c r="G11" s="231" t="str">
        <f>IF('CALCULATOR SHEET'!D19&lt;&gt;"",'CALCULATOR SHEET'!D19,"")</f>
        <v>ROLLER</v>
      </c>
      <c r="H11" s="231" t="str">
        <f ca="1">IF(Q11="CCL",BOMS!AG11,"")</f>
        <v>RL-MAN -BSCH</v>
      </c>
      <c r="I11" s="230">
        <v>1</v>
      </c>
      <c r="J11" s="231" t="str">
        <f>IF(C11&lt;&gt;"",'CALCULATOR SHEET'!K19,"")</f>
        <v>METAL CHAIN</v>
      </c>
      <c r="K11" s="231" t="str">
        <f>IF(J11=GENERAL!$H$6,GENERAL!$H$6,IF(J11=GENERAL!$H$7,GENERAL!$H$7,IF('PM-ORDER'!J11=GENERAL!$H$8,GENERAL!$H$8,"")))</f>
        <v>METAL CHAIN</v>
      </c>
      <c r="L11" s="231" t="str">
        <f>IF(C11&lt;&gt;"",'CALCULATOR SHEET'!G19,"")</f>
        <v>BO SIDNEY GRIS</v>
      </c>
      <c r="M11" s="231" t="str">
        <f>IF(C11&lt;&gt;"",'CALCULATOR SHEET'!O19,"")</f>
        <v>REVERSE ROLL</v>
      </c>
      <c r="N11" s="231" t="str">
        <f>IF(C11&lt;&gt;"",'CALCULATOR SHEET'!H19,"")</f>
        <v>REC 1</v>
      </c>
      <c r="O11" s="233">
        <f ca="1">IF(D11&lt;&gt;"",'CALCULATOR SHEET'!I19,"")</f>
        <v>60.5</v>
      </c>
      <c r="P11" s="233">
        <f ca="1">IF(E11&lt;&gt;"",'CALCULATOR SHEET'!J19,"")</f>
        <v>54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L</v>
      </c>
      <c r="S11" s="230" t="str">
        <f ca="1"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>RIVERHOUSE LIVING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>BS 121625EG-2</v>
      </c>
      <c r="D12" s="229">
        <f ca="1">IF('CALCULATOR SHEET'!D20&lt;&gt;"",'CALCULATOR SHEET'!$T$9,"")</f>
        <v>46007</v>
      </c>
      <c r="E12" s="230" t="str">
        <f t="shared" ca="1" si="0"/>
        <v>BAJA SHADES</v>
      </c>
      <c r="F12" s="231" t="str">
        <f>IF(C12&lt;&gt;"",'CALCULATOR SHEET'!$D$9,"")</f>
        <v>PANELES DE TELA</v>
      </c>
      <c r="G12" s="231" t="str">
        <f>IF('CALCULATOR SHEET'!D20&lt;&gt;"",'CALCULATOR SHEET'!D20,"")</f>
        <v>ROLLER</v>
      </c>
      <c r="H12" s="231" t="str">
        <f ca="1">IF(Q12="CCL",BOMS!AG12,"")</f>
        <v>RL-MAN -BSCH</v>
      </c>
      <c r="I12" s="230">
        <v>1</v>
      </c>
      <c r="J12" s="231" t="str">
        <f>IF(C12&lt;&gt;"",'CALCULATOR SHEET'!K20,"")</f>
        <v>METAL CHAIN</v>
      </c>
      <c r="K12" s="231" t="str">
        <f>IF(J12=GENERAL!$H$6,GENERAL!$H$6,IF(J12=GENERAL!$H$7,GENERAL!$H$7,IF('PM-ORDER'!J12=GENERAL!$H$8,GENERAL!$H$8,"")))</f>
        <v>METAL CHAIN</v>
      </c>
      <c r="L12" s="231" t="str">
        <f>IF(C12&lt;&gt;"",'CALCULATOR SHEET'!G20,"")</f>
        <v>SCREEN BASIC</v>
      </c>
      <c r="M12" s="231" t="str">
        <f>IF(C12&lt;&gt;"",'CALCULATOR SHEET'!O20,"")</f>
        <v>STANDARD ROLL</v>
      </c>
      <c r="N12" s="231" t="str">
        <f>IF(C12&lt;&gt;"",'CALCULATOR SHEET'!H20,"")</f>
        <v>REC 1</v>
      </c>
      <c r="O12" s="233">
        <f ca="1">IF(D12&lt;&gt;"",'CALCULATOR SHEET'!I20,"")</f>
        <v>56.5</v>
      </c>
      <c r="P12" s="233">
        <f ca="1">IF(E12&lt;&gt;"",'CALCULATOR SHEET'!J20,"")</f>
        <v>54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 ca="1">IF(D12&lt;&gt;"",'CALCULATOR SHEET'!N20,"")</f>
        <v>INSIDE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>RIVERHOUSE LIVING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>BS 121625EG-2</v>
      </c>
      <c r="D13" s="229">
        <f ca="1">IF('CALCULATOR SHEET'!D21&lt;&gt;"",'CALCULATOR SHEET'!$T$9,"")</f>
        <v>46007</v>
      </c>
      <c r="E13" s="230" t="str">
        <f t="shared" ca="1" si="0"/>
        <v>BAJA SHADES</v>
      </c>
      <c r="F13" s="231" t="str">
        <f>IF(C13&lt;&gt;"",'CALCULATOR SHEET'!$D$9,"")</f>
        <v>PANELES DE TELA</v>
      </c>
      <c r="G13" s="231" t="str">
        <f>IF('CALCULATOR SHEET'!D21&lt;&gt;"",'CALCULATOR SHEET'!D21,"")</f>
        <v>ROLLER</v>
      </c>
      <c r="H13" s="231" t="str">
        <f ca="1">IF(Q13="CCL",BOMS!AG13,"")</f>
        <v>RL-MAN -BSCH</v>
      </c>
      <c r="I13" s="230">
        <v>1</v>
      </c>
      <c r="J13" s="231" t="str">
        <f>IF(C13&lt;&gt;"",'CALCULATOR SHEET'!K21,"")</f>
        <v>METAL CHAIN</v>
      </c>
      <c r="K13" s="231" t="str">
        <f>IF(J13=GENERAL!$H$6,GENERAL!$H$6,IF(J13=GENERAL!$H$7,GENERAL!$H$7,IF('PM-ORDER'!J13=GENERAL!$H$8,GENERAL!$H$8,"")))</f>
        <v>METAL CHAIN</v>
      </c>
      <c r="L13" s="231" t="str">
        <f>IF(C13&lt;&gt;"",'CALCULATOR SHEET'!G21,"")</f>
        <v>BO SIDNEY GRIS</v>
      </c>
      <c r="M13" s="231" t="str">
        <f>IF(C13&lt;&gt;"",'CALCULATOR SHEET'!O21,"")</f>
        <v>REVERSE ROLL</v>
      </c>
      <c r="N13" s="231" t="str">
        <f>IF(C13&lt;&gt;"",'CALCULATOR SHEET'!H21,"")</f>
        <v>REC 2</v>
      </c>
      <c r="O13" s="233">
        <f ca="1">IF(D13&lt;&gt;"",'CALCULATOR SHEET'!I21,"")</f>
        <v>60.5</v>
      </c>
      <c r="P13" s="233">
        <f ca="1">IF(E13&lt;&gt;"",'CALCULATOR SHEET'!J21,"")</f>
        <v>54</v>
      </c>
      <c r="Q13" s="230" t="str">
        <f>IF('CALCULATOR SHEET'!K21=GENERAL!$H$9,GENERAL!$H$9,IF(OR('CALCULATOR SHEET'!K21=GENERAL!$H$6,'CALCULATOR SHEET'!K21=GENERAL!$H$7,'CALCULATOR SHEET'!K21=GENERAL!$H$8),"CCL",""))</f>
        <v>CCL</v>
      </c>
      <c r="R13" s="230" t="str">
        <f>IF(C13&lt;&gt;"",'CALCULATOR SHEET'!M21,"")</f>
        <v>R</v>
      </c>
      <c r="S13" s="230" t="str">
        <f ca="1">IF(D13&lt;&gt;"",'CALCULATOR SHEET'!N21,"")</f>
        <v>INSIDE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>RIVERHOUSE LIVING</v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>BS 121625EG-2</v>
      </c>
      <c r="D14" s="229">
        <f ca="1">IF('CALCULATOR SHEET'!D22&lt;&gt;"",'CALCULATOR SHEET'!$T$9,"")</f>
        <v>46007</v>
      </c>
      <c r="E14" s="230" t="str">
        <f t="shared" ca="1" si="0"/>
        <v>BAJA SHADES</v>
      </c>
      <c r="F14" s="231" t="str">
        <f>IF(C14&lt;&gt;"",'CALCULATOR SHEET'!$D$9,"")</f>
        <v>PANELES DE TELA</v>
      </c>
      <c r="G14" s="231" t="str">
        <f>IF('CALCULATOR SHEET'!D22&lt;&gt;"",'CALCULATOR SHEET'!D22,"")</f>
        <v>ROLLER</v>
      </c>
      <c r="H14" s="231" t="str">
        <f ca="1">IF(Q14="CCL",BOMS!AG14,"")</f>
        <v>RL-MAN -BSCH</v>
      </c>
      <c r="I14" s="230">
        <v>1</v>
      </c>
      <c r="J14" s="231" t="str">
        <f>IF(C14&lt;&gt;"",'CALCULATOR SHEET'!K22,"")</f>
        <v>METAL CHAIN</v>
      </c>
      <c r="K14" s="231" t="str">
        <f>IF(J14=GENERAL!$H$6,GENERAL!$H$6,IF(J14=GENERAL!$H$7,GENERAL!$H$7,IF('PM-ORDER'!J14=GENERAL!$H$8,GENERAL!$H$8,"")))</f>
        <v>METAL CHAIN</v>
      </c>
      <c r="L14" s="231" t="str">
        <f>IF(C14&lt;&gt;"",'CALCULATOR SHEET'!G22,"")</f>
        <v>SCREEN BASIC</v>
      </c>
      <c r="M14" s="231" t="str">
        <f>IF(C14&lt;&gt;"",'CALCULATOR SHEET'!O22,"")</f>
        <v>STANDARD ROLL</v>
      </c>
      <c r="N14" s="231" t="str">
        <f>IF(C14&lt;&gt;"",'CALCULATOR SHEET'!H22,"")</f>
        <v>REC 2</v>
      </c>
      <c r="O14" s="233">
        <f ca="1">IF(D14&lt;&gt;"",'CALCULATOR SHEET'!I22,"")</f>
        <v>56.75</v>
      </c>
      <c r="P14" s="233">
        <f ca="1">IF(E14&lt;&gt;"",'CALCULATOR SHEET'!J22,"")</f>
        <v>54</v>
      </c>
      <c r="Q14" s="230" t="str">
        <f>IF('CALCULATOR SHEET'!K22=GENERAL!$H$9,GENERAL!$H$9,IF(OR('CALCULATOR SHEET'!K22=GENERAL!$H$6,'CALCULATOR SHEET'!K22=GENERAL!$H$7,'CALCULATOR SHEET'!K22=GENERAL!$H$8),"CCL",""))</f>
        <v>CCL</v>
      </c>
      <c r="R14" s="230" t="str">
        <f>IF(C14&lt;&gt;"",'CALCULATOR SHEET'!M22,"")</f>
        <v>R</v>
      </c>
      <c r="S14" s="230" t="str">
        <f ca="1">IF(D14&lt;&gt;"",'CALCULATOR SHEET'!N22,"")</f>
        <v>INSIDE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>RIVERHOUSE LIVING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>BS 121625EG-2</v>
      </c>
      <c r="D15" s="229">
        <f ca="1">IF('CALCULATOR SHEET'!D23&lt;&gt;"",'CALCULATOR SHEET'!$T$9,"")</f>
        <v>46007</v>
      </c>
      <c r="E15" s="230" t="str">
        <f t="shared" ca="1" si="0"/>
        <v>BAJA SHADES</v>
      </c>
      <c r="F15" s="231" t="str">
        <f>IF(C15&lt;&gt;"",'CALCULATOR SHEET'!$D$9,"")</f>
        <v>PANELES DE TELA</v>
      </c>
      <c r="G15" s="231" t="str">
        <f>IF('CALCULATOR SHEET'!D23&lt;&gt;"",'CALCULATOR SHEET'!D23,"")</f>
        <v>ROLLER</v>
      </c>
      <c r="H15" s="231" t="e">
        <f ca="1">IF(Q15="CCL",BOMS!AG15,"")</f>
        <v>#N/A</v>
      </c>
      <c r="I15" s="230">
        <v>1</v>
      </c>
      <c r="J15" s="231" t="str">
        <f>IF(C15&lt;&gt;"",'CALCULATOR SHEET'!K23,"")</f>
        <v>METAL CHAIN</v>
      </c>
      <c r="K15" s="231" t="str">
        <f>IF(J15=GENERAL!$H$6,GENERAL!$H$6,IF(J15=GENERAL!$H$7,GENERAL!$H$7,IF('PM-ORDER'!J15=GENERAL!$H$8,GENERAL!$H$8,"")))</f>
        <v>METAL CHAIN</v>
      </c>
      <c r="L15" s="231" t="str">
        <f>IF(C15&lt;&gt;"",'CALCULATOR SHEET'!G23,"")</f>
        <v>BO SIDNEY GRIS</v>
      </c>
      <c r="M15" s="231" t="str">
        <f>IF(C15&lt;&gt;"",'CALCULATOR SHEET'!O23,"")</f>
        <v>REVERSE ROLL</v>
      </c>
      <c r="N15" s="231" t="str">
        <f>IF(C15&lt;&gt;"",'CALCULATOR SHEET'!H23,"")</f>
        <v>ESCALERA</v>
      </c>
      <c r="O15" s="233">
        <f ca="1">IF(D15&lt;&gt;"",'CALCULATOR SHEET'!I23,"")</f>
        <v>21.25</v>
      </c>
      <c r="P15" s="233">
        <f ca="1">IF(E15&lt;&gt;"",'CALCULATOR SHEET'!J23,"")</f>
        <v>140</v>
      </c>
      <c r="Q15" s="230" t="str">
        <f>IF('CALCULATOR SHEET'!K23=GENERAL!$H$9,GENERAL!$H$9,IF(OR('CALCULATOR SHEET'!K23=GENERAL!$H$6,'CALCULATOR SHEET'!K23=GENERAL!$H$7,'CALCULATOR SHEET'!K23=GENERAL!$H$8),"CCL",""))</f>
        <v>CCL</v>
      </c>
      <c r="R15" s="230" t="str">
        <f>IF(C15&lt;&gt;"",'CALCULATOR SHEET'!M23,"")</f>
        <v>R</v>
      </c>
      <c r="S15" s="230" t="str">
        <f ca="1">IF(D15&lt;&gt;"",'CALCULATOR SHEET'!N23,"")</f>
        <v>INSIDE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>RIVERHOUSE LIVING</v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>BS 121625EG-2</v>
      </c>
      <c r="D16" s="229">
        <f ca="1">IF('CALCULATOR SHEET'!D24&lt;&gt;"",'CALCULATOR SHEET'!$T$9,"")</f>
        <v>46007</v>
      </c>
      <c r="E16" s="230" t="str">
        <f t="shared" ca="1" si="0"/>
        <v>BAJA SHADES</v>
      </c>
      <c r="F16" s="231" t="str">
        <f>IF(C16&lt;&gt;"",'CALCULATOR SHEET'!$D$9,"")</f>
        <v>PANELES DE TELA</v>
      </c>
      <c r="G16" s="231" t="str">
        <f>IF('CALCULATOR SHEET'!D24&lt;&gt;"",'CALCULATOR SHEET'!D24,"")</f>
        <v>ROLLER</v>
      </c>
      <c r="H16" s="231" t="e">
        <f ca="1">IF(Q16="CCL",BOMS!AG16,"")</f>
        <v>#N/A</v>
      </c>
      <c r="I16" s="230">
        <v>1</v>
      </c>
      <c r="J16" s="231" t="str">
        <f>IF(C16&lt;&gt;"",'CALCULATOR SHEET'!K24,"")</f>
        <v>METAL CHAIN</v>
      </c>
      <c r="K16" s="231" t="str">
        <f>IF(J16=GENERAL!$H$6,GENERAL!$H$6,IF(J16=GENERAL!$H$7,GENERAL!$H$7,IF('PM-ORDER'!J16=GENERAL!$H$8,GENERAL!$H$8,"")))</f>
        <v>METAL CHAIN</v>
      </c>
      <c r="L16" s="231" t="str">
        <f>IF(C16&lt;&gt;"",'CALCULATOR SHEET'!G24,"")</f>
        <v>SCREEN BASIC</v>
      </c>
      <c r="M16" s="231" t="str">
        <f>IF(C16&lt;&gt;"",'CALCULATOR SHEET'!O24,"")</f>
        <v>STANDARD ROLL</v>
      </c>
      <c r="N16" s="231" t="str">
        <f>IF(C16&lt;&gt;"",'CALCULATOR SHEET'!H24,"")</f>
        <v>ESCALERA</v>
      </c>
      <c r="O16" s="233">
        <f ca="1">IF(D16&lt;&gt;"",'CALCULATOR SHEET'!I24,"")</f>
        <v>25.625</v>
      </c>
      <c r="P16" s="233">
        <f ca="1">IF(E16&lt;&gt;"",'CALCULATOR SHEET'!J24,"")</f>
        <v>140</v>
      </c>
      <c r="Q16" s="230" t="str">
        <f>IF('CALCULATOR SHEET'!K24=GENERAL!$H$9,GENERAL!$H$9,IF(OR('CALCULATOR SHEET'!K24=GENERAL!$H$6,'CALCULATOR SHEET'!K24=GENERAL!$H$7,'CALCULATOR SHEET'!K24=GENERAL!$H$8),"CCL",""))</f>
        <v>CCL</v>
      </c>
      <c r="R16" s="230" t="str">
        <f>IF(C16&lt;&gt;"",'CALCULATOR SHEET'!M24,"")</f>
        <v>R</v>
      </c>
      <c r="S16" s="230" t="str">
        <f ca="1">IF(D16&lt;&gt;"",'CALCULATOR SHEET'!N24,"")</f>
        <v>INSIDE</v>
      </c>
      <c r="T16" s="232"/>
      <c r="U16" s="246"/>
      <c r="V16" s="246"/>
      <c r="W16" s="230" t="str">
        <f>IF(C16&lt;&gt;"",'CALCULATOR SHEET'!R24,"")</f>
        <v>NO</v>
      </c>
      <c r="X16" s="230"/>
      <c r="Y16" s="230">
        <v>1</v>
      </c>
      <c r="Z16" s="232"/>
      <c r="AA16" s="232" t="str">
        <f>IF(C16&lt;&gt;"",'CALCULATOR SHEET'!$H$9,"")</f>
        <v>RIVERHOUSE LIVING</v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>BS 121625EG-2</v>
      </c>
      <c r="D17" s="229">
        <f ca="1">IF('CALCULATOR SHEET'!D25&lt;&gt;"",'CALCULATOR SHEET'!$T$9,"")</f>
        <v>46007</v>
      </c>
      <c r="E17" s="230" t="str">
        <f t="shared" ca="1" si="0"/>
        <v>BAJA SHADES</v>
      </c>
      <c r="F17" s="231" t="str">
        <f>IF(C17&lt;&gt;"",'CALCULATOR SHEET'!$D$9,"")</f>
        <v>PANELES DE TELA</v>
      </c>
      <c r="G17" s="231" t="str">
        <f>IF('CALCULATOR SHEET'!D25&lt;&gt;"",'CALCULATOR SHEET'!D25,"")</f>
        <v>ROLLER</v>
      </c>
      <c r="H17" s="231" t="str">
        <f ca="1">IF(Q17="CCL",BOMS!AG17,"")</f>
        <v>RL-MAN -BSCH</v>
      </c>
      <c r="I17" s="230">
        <v>1</v>
      </c>
      <c r="J17" s="231" t="str">
        <f>IF(C17&lt;&gt;"",'CALCULATOR SHEET'!K25,"")</f>
        <v>METAL CHAIN</v>
      </c>
      <c r="K17" s="231" t="str">
        <f>IF(J17=GENERAL!$H$6,GENERAL!$H$6,IF(J17=GENERAL!$H$7,GENERAL!$H$7,IF('PM-ORDER'!J17=GENERAL!$H$8,GENERAL!$H$8,"")))</f>
        <v>METAL CHAIN</v>
      </c>
      <c r="L17" s="231" t="str">
        <f>IF(C17&lt;&gt;"",'CALCULATOR SHEET'!G25,"")</f>
        <v>SCREEN BASIC</v>
      </c>
      <c r="M17" s="231" t="str">
        <f>IF(C17&lt;&gt;"",'CALCULATOR SHEET'!O25,"")</f>
        <v>REVERSE ROLL</v>
      </c>
      <c r="N17" s="231" t="str">
        <f>IF(C17&lt;&gt;"",'CALCULATOR SHEET'!H25,"")</f>
        <v>COCINA</v>
      </c>
      <c r="O17" s="233">
        <f ca="1">IF(D17&lt;&gt;"",'CALCULATOR SHEET'!I25,"")</f>
        <v>36</v>
      </c>
      <c r="P17" s="233">
        <f ca="1">IF(E17&lt;&gt;"",'CALCULATOR SHEET'!J25,"")</f>
        <v>20</v>
      </c>
      <c r="Q17" s="230" t="str">
        <f>IF('CALCULATOR SHEET'!K25=GENERAL!$H$9,GENERAL!$H$9,IF(OR('CALCULATOR SHEET'!K25=GENERAL!$H$6,'CALCULATOR SHEET'!K25=GENERAL!$H$7,'CALCULATOR SHEET'!K25=GENERAL!$H$8),"CCL",""))</f>
        <v>CCL</v>
      </c>
      <c r="R17" s="230" t="str">
        <f>IF(C17&lt;&gt;"",'CALCULATOR SHEET'!M25,"")</f>
        <v>L</v>
      </c>
      <c r="S17" s="230" t="str">
        <f ca="1">IF(D17&lt;&gt;"",'CALCULATOR SHEET'!N25,"")</f>
        <v>INSIDE</v>
      </c>
      <c r="T17" s="232"/>
      <c r="U17" s="246"/>
      <c r="V17" s="246"/>
      <c r="W17" s="230" t="str">
        <f>IF(C17&lt;&gt;"",'CALCULATOR SHEET'!R25,"")</f>
        <v>NO</v>
      </c>
      <c r="X17" s="230"/>
      <c r="Y17" s="230">
        <v>1</v>
      </c>
      <c r="Z17" s="232"/>
      <c r="AA17" s="232" t="str">
        <f>IF(C17&lt;&gt;"",'CALCULATOR SHEET'!$H$9,"")</f>
        <v>RIVERHOUSE LIVING</v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112</v>
      </c>
      <c r="AK7" s="36">
        <f>'CALCULATOR SHEET'!J13</f>
        <v>54</v>
      </c>
      <c r="AL7" s="36">
        <f>IF(AJ7=0,"",MATCH(CEILING(AJ7,6),$D$4:$Z$4,0))</f>
        <v>16</v>
      </c>
      <c r="AM7" s="36">
        <f>IF(AK7=0,"",MATCH(CEILING(AK7,6),$C$7:$C$28,0))</f>
        <v>6</v>
      </c>
      <c r="AN7" s="57">
        <f>IF(AL7="","",INDEX($D$7:$Z$28,AM7,AL7))</f>
        <v>266</v>
      </c>
      <c r="AO7" s="58"/>
      <c r="AP7" s="57">
        <f>IF(AJ7&gt;0,HLOOKUP(CEILING(AJ7,6),$D$30:$Z$31,2,0),"")</f>
        <v>95</v>
      </c>
      <c r="AQ7" s="57">
        <f>IF(AJ7&gt;0,HLOOKUP(CEILING(AJ7,6),$D$33:$Z$34,2,0),"")</f>
        <v>126</v>
      </c>
      <c r="AR7" s="59">
        <f>IF(AJ7&gt;0,HLOOKUP(CEILING(AJ7,6),$D$36:$Z$37,2,0))</f>
        <v>70</v>
      </c>
      <c r="AS7" s="57">
        <f>IF(AL7="","",INDEX($AX$6:$BT$27,AM7,AL7))</f>
        <v>550</v>
      </c>
      <c r="AT7" s="37">
        <f>IF(AK7&gt;0,VLOOKUP(CEILING(AK7,6),$AA$7:$AB$28,2,0),"")</f>
        <v>45</v>
      </c>
      <c r="AU7" s="109">
        <f>IF(AK7&gt;0,VLOOKUP(CEILING(AK7,6),$AA$7:$AC$28,3,0),"")</f>
        <v>7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108</v>
      </c>
      <c r="AK8" s="36">
        <f>'CALCULATOR SHEET'!J14</f>
        <v>54</v>
      </c>
      <c r="AL8" s="36">
        <f t="shared" ref="AL8:AL71" si="0">IF(AJ8=0,"",MATCH(CEILING(AJ8,6),$D$4:$Z$4,0))</f>
        <v>15</v>
      </c>
      <c r="AM8" s="36">
        <f t="shared" ref="AM8:AM71" si="1">IF(AK8=0,"",MATCH(CEILING(AK8,6),$C$7:$C$28,0))</f>
        <v>6</v>
      </c>
      <c r="AN8" s="57">
        <f t="shared" ref="AN8:AN71" si="2">IF(AL8="","",INDEX($D$7:$Z$28,AM8,AL8))</f>
        <v>256</v>
      </c>
      <c r="AO8" s="58"/>
      <c r="AP8" s="57">
        <f t="shared" ref="AP8:AP71" si="3">IF(AJ8&gt;0,HLOOKUP(CEILING(AJ8,6),$D$30:$Z$31,2,0),"")</f>
        <v>92</v>
      </c>
      <c r="AQ8" s="57">
        <f t="shared" ref="AQ8:AQ71" si="4">IF(AJ8&gt;0,HLOOKUP(CEILING(AJ8,6),$D$33:$Z$34,2,0),"")</f>
        <v>121</v>
      </c>
      <c r="AR8" s="59">
        <f t="shared" ref="AR8:AR71" si="5">IF(AJ8&gt;0,HLOOKUP(CEILING(AJ8,6),$D$36:$Z$37,2,0))</f>
        <v>66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45</v>
      </c>
      <c r="AU8" s="109">
        <f t="shared" ref="AU8:AU71" si="8">IF(AK8&gt;0,VLOOKUP(CEILING(AK8,6),$AA$7:$AC$28,3,0),"")</f>
        <v>7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73</v>
      </c>
      <c r="AK9" s="36">
        <f>'CALCULATOR SHEET'!J15</f>
        <v>54</v>
      </c>
      <c r="AL9" s="36">
        <f t="shared" si="0"/>
        <v>10</v>
      </c>
      <c r="AM9" s="36">
        <f t="shared" si="1"/>
        <v>6</v>
      </c>
      <c r="AN9" s="57">
        <f t="shared" si="2"/>
        <v>151</v>
      </c>
      <c r="AO9" s="58"/>
      <c r="AP9" s="57">
        <f t="shared" si="3"/>
        <v>77</v>
      </c>
      <c r="AQ9" s="57">
        <f t="shared" si="4"/>
        <v>90</v>
      </c>
      <c r="AR9" s="59">
        <f t="shared" si="5"/>
        <v>48</v>
      </c>
      <c r="AS9" s="57">
        <f t="shared" si="6"/>
        <v>471</v>
      </c>
      <c r="AT9" s="37">
        <f t="shared" si="7"/>
        <v>45</v>
      </c>
      <c r="AU9" s="109">
        <f t="shared" si="8"/>
        <v>7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69</v>
      </c>
      <c r="AK10" s="36">
        <f>'CALCULATOR SHEET'!J16</f>
        <v>54</v>
      </c>
      <c r="AL10" s="36">
        <f t="shared" si="0"/>
        <v>9</v>
      </c>
      <c r="AM10" s="36">
        <f t="shared" si="1"/>
        <v>6</v>
      </c>
      <c r="AN10" s="57">
        <f t="shared" si="2"/>
        <v>128</v>
      </c>
      <c r="AO10" s="58"/>
      <c r="AP10" s="57">
        <f t="shared" si="3"/>
        <v>74</v>
      </c>
      <c r="AQ10" s="57">
        <f t="shared" si="4"/>
        <v>81</v>
      </c>
      <c r="AR10" s="59">
        <f t="shared" si="5"/>
        <v>44</v>
      </c>
      <c r="AS10" s="57">
        <f t="shared" si="6"/>
        <v>471</v>
      </c>
      <c r="AT10" s="37">
        <f t="shared" si="7"/>
        <v>45</v>
      </c>
      <c r="AU10" s="109">
        <f t="shared" si="8"/>
        <v>7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62.5</v>
      </c>
      <c r="AK11" s="36">
        <f>'CALCULATOR SHEET'!J17</f>
        <v>86</v>
      </c>
      <c r="AL11" s="36">
        <f t="shared" si="0"/>
        <v>8</v>
      </c>
      <c r="AM11" s="36">
        <f t="shared" si="1"/>
        <v>12</v>
      </c>
      <c r="AN11" s="57">
        <f t="shared" si="2"/>
        <v>153</v>
      </c>
      <c r="AO11" s="58"/>
      <c r="AP11" s="57">
        <f t="shared" si="3"/>
        <v>71</v>
      </c>
      <c r="AQ11" s="57">
        <f t="shared" si="4"/>
        <v>76</v>
      </c>
      <c r="AR11" s="59">
        <f t="shared" si="5"/>
        <v>41</v>
      </c>
      <c r="AS11" s="57">
        <f t="shared" si="6"/>
        <v>471</v>
      </c>
      <c r="AT11" s="37">
        <f t="shared" si="7"/>
        <v>75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41</v>
      </c>
      <c r="AK12" s="36">
        <f>'CALCULATOR SHEET'!J18</f>
        <v>86</v>
      </c>
      <c r="AL12" s="36">
        <f t="shared" si="0"/>
        <v>4</v>
      </c>
      <c r="AM12" s="36">
        <f t="shared" si="1"/>
        <v>12</v>
      </c>
      <c r="AN12" s="57">
        <f t="shared" si="2"/>
        <v>116</v>
      </c>
      <c r="AO12" s="58"/>
      <c r="AP12" s="57">
        <f t="shared" si="3"/>
        <v>59</v>
      </c>
      <c r="AQ12" s="57">
        <f t="shared" si="4"/>
        <v>50</v>
      </c>
      <c r="AR12" s="59">
        <f t="shared" si="5"/>
        <v>26</v>
      </c>
      <c r="AS12" s="57">
        <f t="shared" si="6"/>
        <v>471</v>
      </c>
      <c r="AT12" s="37">
        <f t="shared" si="7"/>
        <v>75</v>
      </c>
      <c r="AU12" s="109">
        <f t="shared" si="8"/>
        <v>10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60.5</v>
      </c>
      <c r="AK13" s="36">
        <f>'CALCULATOR SHEET'!J19</f>
        <v>54</v>
      </c>
      <c r="AL13" s="36">
        <f t="shared" si="0"/>
        <v>8</v>
      </c>
      <c r="AM13" s="36">
        <f t="shared" si="1"/>
        <v>6</v>
      </c>
      <c r="AN13" s="57">
        <f t="shared" si="2"/>
        <v>121</v>
      </c>
      <c r="AO13" s="58"/>
      <c r="AP13" s="57">
        <f t="shared" si="3"/>
        <v>71</v>
      </c>
      <c r="AQ13" s="57">
        <f t="shared" si="4"/>
        <v>76</v>
      </c>
      <c r="AR13" s="59">
        <f t="shared" si="5"/>
        <v>41</v>
      </c>
      <c r="AS13" s="57">
        <f t="shared" si="6"/>
        <v>471</v>
      </c>
      <c r="AT13" s="37">
        <f t="shared" si="7"/>
        <v>45</v>
      </c>
      <c r="AU13" s="109">
        <f t="shared" si="8"/>
        <v>7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56.5</v>
      </c>
      <c r="AK14" s="36">
        <f>'CALCULATOR SHEET'!J20</f>
        <v>54</v>
      </c>
      <c r="AL14" s="36">
        <f t="shared" si="0"/>
        <v>7</v>
      </c>
      <c r="AM14" s="36">
        <f t="shared" si="1"/>
        <v>6</v>
      </c>
      <c r="AN14" s="57">
        <f t="shared" si="2"/>
        <v>115</v>
      </c>
      <c r="AO14" s="58"/>
      <c r="AP14" s="57">
        <f t="shared" si="3"/>
        <v>68</v>
      </c>
      <c r="AQ14" s="57">
        <f t="shared" si="4"/>
        <v>70</v>
      </c>
      <c r="AR14" s="59">
        <f t="shared" si="5"/>
        <v>37</v>
      </c>
      <c r="AS14" s="57">
        <f t="shared" si="6"/>
        <v>471</v>
      </c>
      <c r="AT14" s="37">
        <f t="shared" si="7"/>
        <v>45</v>
      </c>
      <c r="AU14" s="109">
        <f t="shared" si="8"/>
        <v>7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60.5</v>
      </c>
      <c r="AK15" s="36">
        <f>'CALCULATOR SHEET'!J21</f>
        <v>54</v>
      </c>
      <c r="AL15" s="36">
        <f t="shared" si="0"/>
        <v>8</v>
      </c>
      <c r="AM15" s="36">
        <f t="shared" si="1"/>
        <v>6</v>
      </c>
      <c r="AN15" s="57">
        <f t="shared" si="2"/>
        <v>121</v>
      </c>
      <c r="AO15" s="58"/>
      <c r="AP15" s="57">
        <f t="shared" si="3"/>
        <v>71</v>
      </c>
      <c r="AQ15" s="57">
        <f t="shared" si="4"/>
        <v>76</v>
      </c>
      <c r="AR15" s="59">
        <f t="shared" si="5"/>
        <v>41</v>
      </c>
      <c r="AS15" s="57">
        <f t="shared" si="6"/>
        <v>471</v>
      </c>
      <c r="AT15" s="37">
        <f t="shared" si="7"/>
        <v>45</v>
      </c>
      <c r="AU15" s="109">
        <f t="shared" si="8"/>
        <v>7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56.75</v>
      </c>
      <c r="AK16" s="36">
        <f>'CALCULATOR SHEET'!J22</f>
        <v>54</v>
      </c>
      <c r="AL16" s="36">
        <f t="shared" si="0"/>
        <v>7</v>
      </c>
      <c r="AM16" s="36">
        <f t="shared" si="1"/>
        <v>6</v>
      </c>
      <c r="AN16" s="57">
        <f t="shared" si="2"/>
        <v>115</v>
      </c>
      <c r="AO16" s="58"/>
      <c r="AP16" s="57">
        <f t="shared" si="3"/>
        <v>68</v>
      </c>
      <c r="AQ16" s="57">
        <f t="shared" si="4"/>
        <v>70</v>
      </c>
      <c r="AR16" s="59">
        <f t="shared" si="5"/>
        <v>37</v>
      </c>
      <c r="AS16" s="57">
        <f t="shared" si="6"/>
        <v>471</v>
      </c>
      <c r="AT16" s="37">
        <f t="shared" si="7"/>
        <v>45</v>
      </c>
      <c r="AU16" s="109">
        <f t="shared" si="8"/>
        <v>7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21.25</v>
      </c>
      <c r="AK17" s="36">
        <f>'CALCULATOR SHEET'!J23</f>
        <v>140</v>
      </c>
      <c r="AL17" s="36">
        <f t="shared" si="0"/>
        <v>1</v>
      </c>
      <c r="AM17" s="36">
        <f t="shared" si="1"/>
        <v>21</v>
      </c>
      <c r="AN17" s="57" t="str">
        <f t="shared" si="2"/>
        <v>RFQ</v>
      </c>
      <c r="AO17" s="58"/>
      <c r="AP17" s="57">
        <f t="shared" si="3"/>
        <v>51</v>
      </c>
      <c r="AQ17" s="57">
        <f t="shared" si="4"/>
        <v>34</v>
      </c>
      <c r="AR17" s="59">
        <f t="shared" si="5"/>
        <v>15</v>
      </c>
      <c r="AS17" s="57">
        <f t="shared" si="6"/>
        <v>601</v>
      </c>
      <c r="AT17" s="37">
        <f t="shared" si="7"/>
        <v>120</v>
      </c>
      <c r="AU17" s="109">
        <f t="shared" si="8"/>
        <v>19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25.625</v>
      </c>
      <c r="AK18" s="36">
        <f>'CALCULATOR SHEET'!J24</f>
        <v>140</v>
      </c>
      <c r="AL18" s="36">
        <f t="shared" si="0"/>
        <v>2</v>
      </c>
      <c r="AM18" s="36">
        <f t="shared" si="1"/>
        <v>21</v>
      </c>
      <c r="AN18" s="57" t="str">
        <f t="shared" si="2"/>
        <v>RFQ</v>
      </c>
      <c r="AO18" s="58"/>
      <c r="AP18" s="57">
        <f t="shared" si="3"/>
        <v>54</v>
      </c>
      <c r="AQ18" s="57">
        <f t="shared" si="4"/>
        <v>40</v>
      </c>
      <c r="AR18" s="59">
        <f t="shared" si="5"/>
        <v>19</v>
      </c>
      <c r="AS18" s="57">
        <f t="shared" si="6"/>
        <v>601</v>
      </c>
      <c r="AT18" s="37">
        <f t="shared" si="7"/>
        <v>120</v>
      </c>
      <c r="AU18" s="109">
        <f t="shared" si="8"/>
        <v>19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36</v>
      </c>
      <c r="AK19" s="36">
        <f>'CALCULATOR SHEET'!J25</f>
        <v>20</v>
      </c>
      <c r="AL19" s="36">
        <f t="shared" si="0"/>
        <v>3</v>
      </c>
      <c r="AM19" s="36">
        <f t="shared" si="1"/>
        <v>1</v>
      </c>
      <c r="AN19" s="57">
        <f t="shared" si="2"/>
        <v>71</v>
      </c>
      <c r="AO19" s="58"/>
      <c r="AP19" s="57">
        <f t="shared" si="3"/>
        <v>57</v>
      </c>
      <c r="AQ19" s="57">
        <f t="shared" si="4"/>
        <v>45</v>
      </c>
      <c r="AR19" s="59">
        <f t="shared" si="5"/>
        <v>22</v>
      </c>
      <c r="AS19" s="57">
        <f t="shared" si="6"/>
        <v>471</v>
      </c>
      <c r="AT19" s="37">
        <f t="shared" si="7"/>
        <v>20</v>
      </c>
      <c r="AU19" s="109">
        <f t="shared" si="8"/>
        <v>5</v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112</v>
      </c>
      <c r="AK7" s="53">
        <f>'CALCULATOR SHEET'!J13</f>
        <v>54</v>
      </c>
      <c r="AL7" s="53">
        <f>IF(AJ7=0,"",MATCH(CEILING(AJ7,6),$D$4:$Z$4,0))</f>
        <v>16</v>
      </c>
      <c r="AM7" s="53">
        <f>IF(AK7=0,"",MATCH(CEILING(AK7,6),$C$7:$C$28,0))</f>
        <v>6</v>
      </c>
      <c r="AN7" s="54">
        <f>IF(AL7="","",INDEX($D$7:$Z$28,AM7,AL7))</f>
        <v>280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108</v>
      </c>
      <c r="AK8" s="53">
        <f>'CALCULATOR SHEET'!J14</f>
        <v>54</v>
      </c>
      <c r="AL8" s="53">
        <f t="shared" ref="AL8:AL71" si="0">IF(AJ8=0,"",MATCH(CEILING(AJ8,6),$D$4:$Z$4,0))</f>
        <v>15</v>
      </c>
      <c r="AM8" s="53">
        <f t="shared" ref="AM8:AM71" si="1">IF(AK8=0,"",MATCH(CEILING(AK8,6),$C$7:$C$28,0))</f>
        <v>6</v>
      </c>
      <c r="AN8" s="54">
        <f t="shared" ref="AN8:AN71" si="2">IF(AL8="","",INDEX($D$7:$Z$28,AM8,AL8))</f>
        <v>269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73</v>
      </c>
      <c r="AK9" s="53">
        <f>'CALCULATOR SHEET'!J15</f>
        <v>54</v>
      </c>
      <c r="AL9" s="53">
        <f t="shared" si="0"/>
        <v>10</v>
      </c>
      <c r="AM9" s="53">
        <f t="shared" si="1"/>
        <v>6</v>
      </c>
      <c r="AN9" s="54">
        <f t="shared" si="2"/>
        <v>161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69</v>
      </c>
      <c r="AK10" s="53">
        <f>'CALCULATOR SHEET'!J16</f>
        <v>54</v>
      </c>
      <c r="AL10" s="53">
        <f t="shared" si="0"/>
        <v>9</v>
      </c>
      <c r="AM10" s="53">
        <f t="shared" si="1"/>
        <v>6</v>
      </c>
      <c r="AN10" s="54">
        <f t="shared" si="2"/>
        <v>137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62.5</v>
      </c>
      <c r="AK11" s="53">
        <f>'CALCULATOR SHEET'!J17</f>
        <v>86</v>
      </c>
      <c r="AL11" s="53">
        <f t="shared" si="0"/>
        <v>8</v>
      </c>
      <c r="AM11" s="53">
        <f t="shared" si="1"/>
        <v>12</v>
      </c>
      <c r="AN11" s="54">
        <f t="shared" si="2"/>
        <v>165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41</v>
      </c>
      <c r="AK12" s="53">
        <f>'CALCULATOR SHEET'!J18</f>
        <v>86</v>
      </c>
      <c r="AL12" s="53">
        <f t="shared" si="0"/>
        <v>4</v>
      </c>
      <c r="AM12" s="53">
        <f t="shared" si="1"/>
        <v>12</v>
      </c>
      <c r="AN12" s="54">
        <f t="shared" si="2"/>
        <v>124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60.5</v>
      </c>
      <c r="AK13" s="53">
        <f>'CALCULATOR SHEET'!J19</f>
        <v>54</v>
      </c>
      <c r="AL13" s="53">
        <f t="shared" si="0"/>
        <v>8</v>
      </c>
      <c r="AM13" s="53">
        <f t="shared" si="1"/>
        <v>6</v>
      </c>
      <c r="AN13" s="54">
        <f t="shared" si="2"/>
        <v>129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54</v>
      </c>
      <c r="AL14" s="53">
        <f t="shared" si="0"/>
        <v>7</v>
      </c>
      <c r="AM14" s="53">
        <f t="shared" si="1"/>
        <v>6</v>
      </c>
      <c r="AN14" s="54">
        <f t="shared" si="2"/>
        <v>122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60.5</v>
      </c>
      <c r="AK15" s="53">
        <f>'CALCULATOR SHEET'!J21</f>
        <v>54</v>
      </c>
      <c r="AL15" s="53">
        <f t="shared" si="0"/>
        <v>8</v>
      </c>
      <c r="AM15" s="53">
        <f t="shared" si="1"/>
        <v>6</v>
      </c>
      <c r="AN15" s="54">
        <f t="shared" si="2"/>
        <v>129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56.75</v>
      </c>
      <c r="AK16" s="53">
        <f>'CALCULATOR SHEET'!J22</f>
        <v>54</v>
      </c>
      <c r="AL16" s="53">
        <f t="shared" si="0"/>
        <v>7</v>
      </c>
      <c r="AM16" s="53">
        <f t="shared" si="1"/>
        <v>6</v>
      </c>
      <c r="AN16" s="54">
        <f t="shared" si="2"/>
        <v>122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21.25</v>
      </c>
      <c r="AK17" s="53">
        <f>'CALCULATOR SHEET'!J23</f>
        <v>140</v>
      </c>
      <c r="AL17" s="53">
        <f t="shared" si="0"/>
        <v>1</v>
      </c>
      <c r="AM17" s="53">
        <f t="shared" si="1"/>
        <v>21</v>
      </c>
      <c r="AN17" s="54" t="str">
        <f t="shared" si="2"/>
        <v>RFQ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25.625</v>
      </c>
      <c r="AK18" s="53">
        <f>'CALCULATOR SHEET'!J24</f>
        <v>140</v>
      </c>
      <c r="AL18" s="53">
        <f t="shared" si="0"/>
        <v>2</v>
      </c>
      <c r="AM18" s="53">
        <f t="shared" si="1"/>
        <v>21</v>
      </c>
      <c r="AN18" s="54" t="str">
        <f t="shared" si="2"/>
        <v>RFQ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36</v>
      </c>
      <c r="AK19" s="53">
        <f>'CALCULATOR SHEET'!J25</f>
        <v>20</v>
      </c>
      <c r="AL19" s="53">
        <f t="shared" si="0"/>
        <v>3</v>
      </c>
      <c r="AM19" s="53">
        <f t="shared" si="1"/>
        <v>1</v>
      </c>
      <c r="AN19" s="54">
        <f t="shared" si="2"/>
        <v>73</v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112</v>
      </c>
      <c r="AK7" s="53">
        <f>'CALCULATOR SHEET'!J13</f>
        <v>54</v>
      </c>
      <c r="AL7" s="53">
        <f t="shared" ref="AL7:AL70" si="0">IF(AJ7=0,"",MATCH(CEILING(AJ7,6),$D$4:$Z$4,0))</f>
        <v>16</v>
      </c>
      <c r="AM7" s="53">
        <f>IF(AK7=0,"",MATCH(CEILING(AK7,6),$C$7:$C$28,0))</f>
        <v>6</v>
      </c>
      <c r="AN7" s="54">
        <f t="shared" ref="AN7:AN70" si="1">IF(AL7="","",INDEX($D$7:$Z$28,AM7,AL7))</f>
        <v>310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108</v>
      </c>
      <c r="AK8" s="53">
        <f>'CALCULATOR SHEET'!J14</f>
        <v>54</v>
      </c>
      <c r="AL8" s="53">
        <f t="shared" si="0"/>
        <v>15</v>
      </c>
      <c r="AM8" s="53">
        <f t="shared" ref="AM8:AM71" si="2">IF(AK8=0,"",MATCH(CEILING(AK8,6),$C$7:$C$28,0))</f>
        <v>6</v>
      </c>
      <c r="AN8" s="54">
        <f t="shared" si="1"/>
        <v>298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73</v>
      </c>
      <c r="AK9" s="53">
        <f>'CALCULATOR SHEET'!J15</f>
        <v>54</v>
      </c>
      <c r="AL9" s="53">
        <f t="shared" si="0"/>
        <v>10</v>
      </c>
      <c r="AM9" s="53">
        <f t="shared" si="2"/>
        <v>6</v>
      </c>
      <c r="AN9" s="54">
        <f t="shared" si="1"/>
        <v>181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69</v>
      </c>
      <c r="AK10" s="53">
        <f>'CALCULATOR SHEET'!J16</f>
        <v>54</v>
      </c>
      <c r="AL10" s="53">
        <f t="shared" si="0"/>
        <v>9</v>
      </c>
      <c r="AM10" s="53">
        <f t="shared" si="2"/>
        <v>6</v>
      </c>
      <c r="AN10" s="54">
        <f t="shared" si="1"/>
        <v>156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62.5</v>
      </c>
      <c r="AK11" s="53">
        <f>'CALCULATOR SHEET'!J17</f>
        <v>86</v>
      </c>
      <c r="AL11" s="53">
        <f t="shared" si="0"/>
        <v>8</v>
      </c>
      <c r="AM11" s="53">
        <f t="shared" si="2"/>
        <v>12</v>
      </c>
      <c r="AN11" s="54">
        <f t="shared" si="1"/>
        <v>192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41</v>
      </c>
      <c r="AK12" s="53">
        <f>'CALCULATOR SHEET'!J18</f>
        <v>86</v>
      </c>
      <c r="AL12" s="53">
        <f t="shared" si="0"/>
        <v>4</v>
      </c>
      <c r="AM12" s="53">
        <f t="shared" si="2"/>
        <v>12</v>
      </c>
      <c r="AN12" s="54">
        <f t="shared" si="1"/>
        <v>141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60.5</v>
      </c>
      <c r="AK13" s="53">
        <f>'CALCULATOR SHEET'!J19</f>
        <v>54</v>
      </c>
      <c r="AL13" s="53">
        <f t="shared" si="0"/>
        <v>8</v>
      </c>
      <c r="AM13" s="53">
        <f t="shared" si="2"/>
        <v>6</v>
      </c>
      <c r="AN13" s="54">
        <f t="shared" si="1"/>
        <v>147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56.5</v>
      </c>
      <c r="AK14" s="53">
        <f>'CALCULATOR SHEET'!J20</f>
        <v>54</v>
      </c>
      <c r="AL14" s="53">
        <f t="shared" si="0"/>
        <v>7</v>
      </c>
      <c r="AM14" s="53">
        <f t="shared" si="2"/>
        <v>6</v>
      </c>
      <c r="AN14" s="54">
        <f t="shared" si="1"/>
        <v>138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60.5</v>
      </c>
      <c r="AK15" s="53">
        <f>'CALCULATOR SHEET'!J21</f>
        <v>54</v>
      </c>
      <c r="AL15" s="53">
        <f t="shared" si="0"/>
        <v>8</v>
      </c>
      <c r="AM15" s="53">
        <f t="shared" si="2"/>
        <v>6</v>
      </c>
      <c r="AN15" s="54">
        <f t="shared" si="1"/>
        <v>147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56.75</v>
      </c>
      <c r="AK16" s="53">
        <f>'CALCULATOR SHEET'!J22</f>
        <v>54</v>
      </c>
      <c r="AL16" s="53">
        <f t="shared" si="0"/>
        <v>7</v>
      </c>
      <c r="AM16" s="53">
        <f t="shared" si="2"/>
        <v>6</v>
      </c>
      <c r="AN16" s="54">
        <f t="shared" si="1"/>
        <v>138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21.25</v>
      </c>
      <c r="AK17" s="53">
        <f>'CALCULATOR SHEET'!J23</f>
        <v>140</v>
      </c>
      <c r="AL17" s="53">
        <f t="shared" si="0"/>
        <v>1</v>
      </c>
      <c r="AM17" s="53">
        <f t="shared" si="2"/>
        <v>21</v>
      </c>
      <c r="AN17" s="54" t="str">
        <f t="shared" si="1"/>
        <v>RFQ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25.625</v>
      </c>
      <c r="AK18" s="53">
        <f>'CALCULATOR SHEET'!J24</f>
        <v>140</v>
      </c>
      <c r="AL18" s="53">
        <f t="shared" si="0"/>
        <v>2</v>
      </c>
      <c r="AM18" s="53">
        <f t="shared" si="2"/>
        <v>21</v>
      </c>
      <c r="AN18" s="54" t="str">
        <f t="shared" si="1"/>
        <v>RFQ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36</v>
      </c>
      <c r="AK19" s="53">
        <f>'CALCULATOR SHEET'!J25</f>
        <v>20</v>
      </c>
      <c r="AL19" s="53">
        <f t="shared" si="0"/>
        <v>3</v>
      </c>
      <c r="AM19" s="53">
        <f t="shared" si="2"/>
        <v>1</v>
      </c>
      <c r="AN19" s="54">
        <f t="shared" si="1"/>
        <v>79</v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2025-12-16T21:50:48Z</cp:lastPrinted>
  <dcterms:created xsi:type="dcterms:W3CDTF">2016-09-27T19:33:28Z</dcterms:created>
  <dcterms:modified xsi:type="dcterms:W3CDTF">2025-12-16T21:51:35Z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