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825EG-2 ABRAHAM PORRAS\"/>
    </mc:Choice>
  </mc:AlternateContent>
  <xr:revisionPtr revIDLastSave="0" documentId="8_{E653BA89-540E-4E77-B042-DD64FB2CD303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2" i="46" l="1"/>
  <c r="T9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45" i="59" l="1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44" i="58" l="1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45" i="55" l="1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43" i="52" l="1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26" i="38"/>
  <c r="AR26" i="38" s="1"/>
  <c r="AJ25" i="38"/>
  <c r="AR25" i="38" s="1"/>
  <c r="AJ24" i="38"/>
  <c r="AR24" i="38" s="1"/>
  <c r="AJ21" i="38"/>
  <c r="AR21" i="38" s="1"/>
  <c r="AJ20" i="38"/>
  <c r="AR20" i="38" s="1"/>
  <c r="AC39" i="50" l="1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C42" i="50" l="1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45" i="36" l="1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D25" i="38"/>
  <c r="U25" i="38" s="1"/>
  <c r="AN31" i="37"/>
  <c r="AN25" i="32"/>
  <c r="AD31" i="38" s="1"/>
  <c r="AN26" i="35"/>
  <c r="Z24" i="41"/>
  <c r="AB23" i="44"/>
  <c r="AN23" i="32"/>
  <c r="AD29" i="38" s="1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D33" i="38" s="1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D21" i="38" s="1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D15" i="38" s="1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7" i="38" l="1"/>
  <c r="U44" i="38"/>
  <c r="U31" i="38"/>
  <c r="AD23" i="38"/>
  <c r="U23" i="38" s="1"/>
  <c r="AS54" i="7"/>
  <c r="U38" i="38"/>
  <c r="AN29" i="7"/>
  <c r="AD35" i="38" s="1"/>
  <c r="U35" i="38" s="1"/>
  <c r="U21" i="38"/>
  <c r="U20" i="38"/>
  <c r="U42" i="38"/>
  <c r="U40" i="38"/>
  <c r="U33" i="38"/>
  <c r="AS31" i="7"/>
  <c r="AN30" i="7"/>
  <c r="AD36" i="38" s="1"/>
  <c r="U36" i="38" s="1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S15" i="38" s="1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l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<sst xmlns="http://schemas.openxmlformats.org/spreadsheetml/2006/main" count="3372" uniqueCount="479">
  <si>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</si>
  <si>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</si>
  <si>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</si>
  <si>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</si>
  <si>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</si>
  <si>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</si>
  <si>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</si>
  <si>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</si>
  <si>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</si>
  <si>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</si>
  <si>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</si>
  <si>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</si>
  <si>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</si>
  <si>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</si>
  <si>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</si>
  <si>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</si>
  <si>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</si>
  <si>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</si>
  <si>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</si>
  <si>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</si>
  <si>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</si>
  <si>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</si>
  <si>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</si>
  <si>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</si>
  <si>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</si>
  <si>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</si>
  <si>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</si>
  <si>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</si>
  <si>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</si>
  <si>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</si>
  <si>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</si>
  <si>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</si>
  <si>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</si>
  <si>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</si>
  <si>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</si>
  <si>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</si>
  <si>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</si>
  <si>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</si>
  <si>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</si>
  <si>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</si>
  <si>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</si>
  <si>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</si>
  <si>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</si>
  <si>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</si>
  <si>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</si>
  <si>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</si>
  <si>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</si>
  <si>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</si>
  <si>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</si>
  <si>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</si>
  <si>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</si>
  <si>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</si>
  <si>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</si>
  <si>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</si>
  <si>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</si>
  <si>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</si>
  <si>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</si>
  <si>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</si>
  <si>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</si>
  <si>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</si>
  <si>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</si>
  <si>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</si>
  <si>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</si>
  <si>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</si>
  <si>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</si>
  <si>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</si>
  <si>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</si>
  <si>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</si>
  <si>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</si>
  <si>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</si>
  <si>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</si>
  <si>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</si>
  <si>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</si>
  <si>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</si>
  <si>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</si>
  <si>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</si>
  <si>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</si>
  <si>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</si>
  <si>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</si>
  <si>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</si>
  <si>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</si>
  <si>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</si>
  <si>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</si>
  <si>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</si>
  <si>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</si>
  <si>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</si>
  <si>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</si>
  <si>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</si>
  <si>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</si>
  <si>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</si>
  <si>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</si>
  <si>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</si>
  <si>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</si>
  <si>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</si>
  <si>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</si>
  <si>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</si>
  <si>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</si>
  <si>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</si>
  <si>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</si>
  <si>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</si>
  <si>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</si>
  <si>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</si>
  <si>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</si>
  <si>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</si>
  <si>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</si>
  <si>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</si>
  <si>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</si>
  <si>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</si>
  <si>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</si>
  <si>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</si>
  <si>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</si>
  <si>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</si>
  <si>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</si>
  <si>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</si>
  <si>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</si>
  <si>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</si>
  <si>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</si>
  <si>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</si>
  <si>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</si>
  <si>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</si>
  <si>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</si>
  <si>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</si>
  <si>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</si>
  <si>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</si>
  <si>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</si>
  <si>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</si>
  <si>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</si>
  <si>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</si>
  <si>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</si>
  <si>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</si>
  <si>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</si>
  <si>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</si>
  <si>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</si>
  <si>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</si>
  <si>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</si>
  <si>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</si>
  <si>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</si>
  <si>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</si>
  <si>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</si>
  <si>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</si>
  <si>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</si>
  <si>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</si>
  <si>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</si>
  <si>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</si>
  <si>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</si>
  <si>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</si>
  <si>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</si>
  <si>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</si>
  <si>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</si>
  <si>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</si>
  <si>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</si>
  <si>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</si>
  <si>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</si>
  <si>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</si>
  <si>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</si>
  <si>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</si>
  <si>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</si>
  <si>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</si>
  <si>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</si>
  <si>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</si>
  <si>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</si>
  <si>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</si>
  <si>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</si>
  <si>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</si>
  <si>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</si>
  <si>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</si>
  <si>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</si>
  <si>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</si>
  <si>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</si>
  <si>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</si>
  <si>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</si>
  <si>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</si>
  <si>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</si>
  <si>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</si>
  <si>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</si>
  <si>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</si>
  <si>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</si>
  <si>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</si>
  <si>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</si>
  <si>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</si>
  <si>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</si>
  <si>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</si>
  <si>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</si>
  <si>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</si>
  <si>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</si>
  <si>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</si>
  <si>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</si>
  <si>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</si>
  <si>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</si>
  <si>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</si>
  <si>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</si>
  <si>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</si>
  <si>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</si>
  <si>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</si>
  <si>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</si>
  <si>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</si>
  <si>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</si>
  <si>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</si>
  <si>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</si>
  <si>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</si>
  <si>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</si>
  <si>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</si>
  <si>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</si>
  <si>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</si>
  <si>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</si>
  <si>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</si>
  <si>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</si>
  <si>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</si>
  <si>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</si>
  <si>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</si>
  <si>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</si>
  <si>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</si>
  <si>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</si>
  <si>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</si>
  <si>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</si>
  <si>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</si>
  <si>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</si>
  <si>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</si>
  <si>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</si>
  <si>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</si>
  <si>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</si>
  <si>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</si>
  <si>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</si>
  <si>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</si>
  <si>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</si>
  <si>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</si>
  <si>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</si>
  <si>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</si>
  <si>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</si>
  <si>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</si>
  <si>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</si>
  <si>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</si>
  <si>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</si>
  <si>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</si>
  <si>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</si>
  <si>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</si>
  <si>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</si>
  <si>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</si>
  <si>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</si>
  <si>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</si>
  <si>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</si>
  <si>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</si>
  <si>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</si>
  <si>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</si>
  <si>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</si>
  <si>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</si>
  <si>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</si>
  <si>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</si>
  <si>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</si>
  <si>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</si>
  <si>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</si>
  <si>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</si>
  <si>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</si>
  <si>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</si>
  <si>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</si>
  <si>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</si>
  <si>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</si>
  <si>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</si>
  <si>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</si>
  <si>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</si>
  <si>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</si>
  <si>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</si>
  <si>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</si>
  <si>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</si>
  <si>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</si>
  <si>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</si>
  <si>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</si>
  <si>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</si>
  <si>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</si>
  <si>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</si>
  <si>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</si>
  <si>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</si>
  <si>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</si>
  <si>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</si>
  <si>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</si>
  <si>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</si>
  <si>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</si>
  <si>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</si>
  <si>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</si>
  <si>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</si>
  <si>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</si>
  <si>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</si>
  <si>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</si>
  <si>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</si>
  <si>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</si>
  <si>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</si>
  <si>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</si>
  <si>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</si>
  <si>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</si>
  <si>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</si>
  <si>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</si>
  <si>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</si>
  <si>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</si>
  <si>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</si>
  <si>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</si>
  <si>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</si>
  <si>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</si>
  <si>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</si>
  <si>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</si>
  <si>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</si>
  <si>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</si>
  <si>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</si>
  <si>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</si>
  <si>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</si>
  <si>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</si>
  <si>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</si>
  <si>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</si>
  <si>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</si>
  <si>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</si>
  <si>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</si>
  <si>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</si>
  <si>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</si>
  <si>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</si>
  <si>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</si>
  <si>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</si>
  <si>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</si>
  <si>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</si>
  <si>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</si>
  <si>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</si>
  <si>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</si>
  <si>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</si>
  <si>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</si>
  <si>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</si>
  <si>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</si>
  <si>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</si>
  <si>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</si>
  <si>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</si>
  <si>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</si>
  <si>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</si>
  <si>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</si>
  <si>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</si>
  <si>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</si>
  <si>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</si>
  <si>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</si>
  <si>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</si>
  <si>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</si>
  <si>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</si>
  <si>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</si>
  <si>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</si>
  <si>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</si>
  <si>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</si>
  <si>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</si>
  <si>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</si>
  <si>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</si>
  <si>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</si>
  <si>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</si>
  <si>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</si>
  <si>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</si>
  <si>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</si>
  <si>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</si>
  <si>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</si>
  <si>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</si>
  <si>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</si>
  <si>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</si>
  <si>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</si>
  <si>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</si>
  <si>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</si>
  <si>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</si>
  <si>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</si>
  <si>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</si>
  <si>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</si>
  <si>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</si>
  <si>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</si>
  <si>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</si>
  <si>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</si>
  <si>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</si>
  <si>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</si>
  <si>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</si>
  <si>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</si>
  <si>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</si>
  <si>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</si>
  <si>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</si>
  <si>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</si>
  <si>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</si>
  <si>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</si>
  <si>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</si>
  <si>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</si>
  <si>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</si>
  <si>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</si>
  <si>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</si>
  <si>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</si>
  <si>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</si>
  <si>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</si>
  <si>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</si>
  <si>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</si>
  <si>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</si>
  <si>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</si>
  <si>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</si>
  <si>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</si>
  <si>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</si>
  <si>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</si>
  <si>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</si>
  <si>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</si>
  <si>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</si>
  <si>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</si>
  <si>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</si>
  <si>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</si>
  <si>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</si>
  <si>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</si>
  <si>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</si>
  <si>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</si>
  <si>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</si>
  <si>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</si>
  <si>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</si>
  <si>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</si>
  <si>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</si>
  <si>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</si>
  <si>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</si>
  <si>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</si>
  <si>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</si>
  <si>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</si>
  <si>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</si>
  <si>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</si>
  <si>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</si>
  <si>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</si>
  <si>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</si>
  <si>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</si>
  <si>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</si>
  <si>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</si>
  <si>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</si>
  <si>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</si>
  <si>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</si>
  <si>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</si>
  <si>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</si>
  <si>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</si>
  <si>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</si>
  <si>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</si>
  <si>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</si>
  <si>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</si>
  <si>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</si>
  <si>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</si>
  <si>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</si>
  <si>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</si>
  <si>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</si>
  <si>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</si>
  <si>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</si>
  <si>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</si>
  <si>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</si>
  <si>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</si>
  <si>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</si>
  <si>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</si>
  <si>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</si>
  <si>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</si>
  <si>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</si>
  <si>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</si>
  <si>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</si>
  <si>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</si>
  <si>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</si>
  <si>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</si>
  <si>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</si>
  <si>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</si>
  <si>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</si>
  <si>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</si>
  <si>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</si>
  <si>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</si>
  <si>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</si>
  <si>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</si>
  <si>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</si>
  <si>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</si>
  <si>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</si>
  <si>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</si>
  <si>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</si>
  <si>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</si>
  <si>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ABRAHAM PORRAS</t>
  </si>
  <si>
    <t>C</t>
  </si>
  <si>
    <t>TIJUANA</t>
  </si>
  <si>
    <t>FCO. VILLA 2DA SECCION</t>
  </si>
  <si>
    <t>BUFADORA</t>
  </si>
  <si>
    <t>664 159 2045</t>
  </si>
  <si>
    <t>BS 111825EG-2</t>
  </si>
  <si>
    <t>BO LONGBEACH SILVER</t>
  </si>
  <si>
    <t>A</t>
  </si>
  <si>
    <t>B</t>
  </si>
  <si>
    <t>D</t>
  </si>
  <si>
    <t>E</t>
  </si>
  <si>
    <t>F</t>
  </si>
  <si>
    <t>G</t>
  </si>
  <si>
    <t>TC</t>
  </si>
  <si>
    <t>MNX TOTAL=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</si>
</sst>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4" fontId="64" fillId="25" borderId="0" xfId="0" applyNumberFormat="1" applyFont="1" applyFill="1"/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7" zoomScale="85" zoomScaleNormal="85" workbookViewId="0">
      <selection activeCell="P72" sqref="P72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 ca="1">'CALCULATOR SHEET'!T9</f>
        <v>45982</v>
      </c>
      <c r="J5" s="287"/>
      <c r="K5" s="287"/>
      <c r="L5" s="287"/>
      <c r="M5" s="288" t="str">
        <f>IF('CALCULATOR SHEET'!W2=1,"DOCUMENT #","DOCUMENTO #")</f>
        <v>DOCUMENT #</v>
      </c>
      <c r="N5" s="363" t="str">
        <f>IF('CALCULATOR SHEET'!T5&lt;&gt;"",'CALCULATOR SHEET'!T5,"")</f>
        <v>BS 111825EG-2</v>
      </c>
      <c r="O5" s="363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ABRAHAM PORRAS</v>
      </c>
      <c r="J7" s="364" t="str">
        <f>IF('CALCULATOR SHEET'!H8&lt;&gt;"","Calle: "&amp;'CALCULATOR SHEET'!H10&amp;", Numero: "&amp;'CALCULATOR SHEET'!H11,"")</f>
        <v xml:space="preserve">Calle: BUFADORA, Numero: </v>
      </c>
      <c r="K7" s="364"/>
      <c r="L7" s="364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>Frac: FCO. VILLA 2DA SECCION - TIJUANA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ABRAHAM PORRAS</v>
      </c>
      <c r="J10" s="364" t="str">
        <f>IF('CALCULATOR SHEET'!K11&lt;&gt;"",'CALCULATOR SHEET'!$K$11&amp;" Cell: "&amp;'CALCULATOR SHEET'!K10,"")</f>
        <v/>
      </c>
      <c r="K10" s="364"/>
      <c r="L10" s="364"/>
      <c r="N10" s="364" t="str">
        <f>IF('CALCULATOR SHEET'!S70&lt;&gt;"",'CALCULATOR SHEET'!S70,"")</f>
        <v>ESAU GOMEZ</v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SHEET'!E14&lt;&gt;"",'CALCULATOR SHEET'!E14,"")</f>
        <v>GROUP 2</v>
      </c>
      <c r="G14" s="170" t="str">
        <f>IF('CALCULATOR SHEET'!G13&lt;&gt;"",'CALCULATOR SHEET'!G13,"")</f>
        <v>BO LONGBEACH SILVER</v>
      </c>
      <c r="H14" s="170" t="str">
        <f>IF('CALCULATOR SHEET'!H13&lt;&gt;"",'CALCULATOR SHEET'!H13,"")</f>
        <v>A</v>
      </c>
      <c r="I14" s="171">
        <f>IF(E14&lt;&gt;"",'CALCULATOR SHEET'!I13,"")</f>
        <v>62</v>
      </c>
      <c r="J14" s="171">
        <f>IF(I14&lt;&gt;"",'CALCULATOR SHEET'!J13,"")</f>
        <v>40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124</v>
      </c>
      <c r="O14" s="164"/>
      <c r="P14" s="167">
        <f>IF(D14&lt;&gt;"",N14*D14,"")</f>
        <v>124</v>
      </c>
      <c r="Q14" s="193"/>
      <c r="R14" s="64" t="s">
        <v>200</v>
      </c>
      <c r="T14" s="160">
        <f>IF('CALCULATOR SHEET'!$T$58="PESOS",'CALCULATOR SHEET'!S13*'CALCULATOR SHEET'!$W$6,'CALCULATOR SHEET'!S13)</f>
        <v>124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e">
        <f>IF('CALCULATOR SHEET'!#REF!&lt;&gt;"",'CALCULATOR SHEET'!#REF!,"")</f>
        <v>#REF!</v>
      </c>
      <c r="G15" s="175" t="str">
        <f>IF('CALCULATOR SHEET'!G14&lt;&gt;"",'CALCULATOR SHEET'!G14,"")</f>
        <v>BO LONGBEACH SILVER</v>
      </c>
      <c r="H15" s="175" t="str">
        <f>IF('CALCULATOR SHEET'!H14&lt;&gt;"",'CALCULATOR SHEET'!H14,"")</f>
        <v>B</v>
      </c>
      <c r="I15" s="176">
        <f>IF(E15&lt;&gt;"",'CALCULATOR SHEET'!I14,"")</f>
        <v>52</v>
      </c>
      <c r="J15" s="176">
        <f>IF(I15&lt;&gt;"",'CALCULATOR SHEET'!J14,"")</f>
        <v>40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111</v>
      </c>
      <c r="O15" s="165"/>
      <c r="P15" s="166">
        <f>IF(D15&lt;&gt;"",N15*D15,"")</f>
        <v>111</v>
      </c>
      <c r="Q15" s="194"/>
      <c r="R15" s="64" t="s">
        <v>200</v>
      </c>
      <c r="T15" s="160">
        <f>IF('CALCULATOR SHEET'!$T$58="PESOS",'CALCULATOR SHEET'!S14*'CALCULATOR SHEET'!$W$6,'CALCULATOR SHEET'!S14)</f>
        <v>111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2</v>
      </c>
      <c r="G16" s="175" t="str">
        <f>IF('CALCULATOR SHEET'!G15&lt;&gt;"",'CALCULATOR SHEET'!G15,"")</f>
        <v>BO LONGBEACH SILVER</v>
      </c>
      <c r="H16" s="175" t="str">
        <f>IF('CALCULATOR SHEET'!H15&lt;&gt;"",'CALCULATOR SHEET'!H15,"")</f>
        <v>C</v>
      </c>
      <c r="I16" s="176">
        <f>IF(E16&lt;&gt;"",'CALCULATOR SHEET'!I15,"")</f>
        <v>75</v>
      </c>
      <c r="J16" s="176">
        <f>IF(I16&lt;&gt;"",'CALCULATOR SHEET'!J15,"")</f>
        <v>40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154</v>
      </c>
      <c r="O16" s="165"/>
      <c r="P16" s="166">
        <f t="shared" ref="P16:P53" si="1">IF(D16&lt;&gt;"",N16*D16,"")</f>
        <v>154</v>
      </c>
      <c r="Q16" s="194"/>
      <c r="R16" s="64" t="s">
        <v>200</v>
      </c>
      <c r="T16" s="160">
        <f>IF('CALCULATOR SHEET'!$T$58="PESOS",'CALCULATOR SHEET'!S15*'CALCULATOR SHEET'!$W$6,'CALCULATOR SHEET'!S15)</f>
        <v>154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2</v>
      </c>
      <c r="G17" s="175" t="str">
        <f>IF('CALCULATOR SHEET'!G16&lt;&gt;"",'CALCULATOR SHEET'!G16,"")</f>
        <v>BO LONGBEACH SILVER</v>
      </c>
      <c r="H17" s="175" t="str">
        <f>IF('CALCULATOR SHEET'!H16&lt;&gt;"",'CALCULATOR SHEET'!H16,"")</f>
        <v>D</v>
      </c>
      <c r="I17" s="176">
        <f>IF(E17&lt;&gt;"",'CALCULATOR SHEET'!I16,"")</f>
        <v>52</v>
      </c>
      <c r="J17" s="176">
        <f>IF(I17&lt;&gt;"",'CALCULATOR SHEET'!J16,"")</f>
        <v>40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111</v>
      </c>
      <c r="O17" s="165"/>
      <c r="P17" s="166">
        <f t="shared" si="1"/>
        <v>111</v>
      </c>
      <c r="Q17" s="194"/>
      <c r="R17" s="64" t="s">
        <v>200</v>
      </c>
      <c r="T17" s="160">
        <f>IF('CALCULATOR SHEET'!$T$58="PESOS",'CALCULATOR SHEET'!S16*'CALCULATOR SHEET'!$W$6,'CALCULATOR SHEET'!S16)</f>
        <v>111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2</v>
      </c>
      <c r="G18" s="175" t="str">
        <f>IF('CALCULATOR SHEET'!G17&lt;&gt;"",'CALCULATOR SHEET'!G17,"")</f>
        <v>BO LONGBEACH SILVER</v>
      </c>
      <c r="H18" s="175" t="str">
        <f>IF('CALCULATOR SHEET'!H17&lt;&gt;"",'CALCULATOR SHEET'!H17,"")</f>
        <v>E</v>
      </c>
      <c r="I18" s="176">
        <f>IF(E18&lt;&gt;"",'CALCULATOR SHEET'!I17,"")</f>
        <v>52</v>
      </c>
      <c r="J18" s="176">
        <f>IF(I18&lt;&gt;"",'CALCULATOR SHEET'!J17,"")</f>
        <v>40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111</v>
      </c>
      <c r="O18" s="165"/>
      <c r="P18" s="166">
        <f t="shared" si="1"/>
        <v>111</v>
      </c>
      <c r="Q18" s="194"/>
      <c r="R18" s="64" t="s">
        <v>200</v>
      </c>
      <c r="T18" s="160">
        <f>IF('CALCULATOR SHEET'!$T$58="PESOS",'CALCULATOR SHEET'!S17*'CALCULATOR SHEET'!$W$6,'CALCULATOR SHEET'!S17)</f>
        <v>111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2</v>
      </c>
      <c r="G19" s="175" t="str">
        <f>IF('CALCULATOR SHEET'!G18&lt;&gt;"",'CALCULATOR SHEET'!G18,"")</f>
        <v>BO LONGBEACH SILVER</v>
      </c>
      <c r="H19" s="175" t="str">
        <f>IF('CALCULATOR SHEET'!H18&lt;&gt;"",'CALCULATOR SHEET'!H18,"")</f>
        <v>F</v>
      </c>
      <c r="I19" s="176">
        <f>IF(E19&lt;&gt;"",'CALCULATOR SHEET'!I18,"")</f>
        <v>62</v>
      </c>
      <c r="J19" s="176">
        <f>IF(I19&lt;&gt;"",'CALCULATOR SHEET'!J18,"")</f>
        <v>40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124</v>
      </c>
      <c r="O19" s="165"/>
      <c r="P19" s="166">
        <f t="shared" si="1"/>
        <v>124</v>
      </c>
      <c r="Q19" s="194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124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2</v>
      </c>
      <c r="G20" s="175" t="str">
        <f>IF('CALCULATOR SHEET'!G19&lt;&gt;"",'CALCULATOR SHEET'!G19,"")</f>
        <v>BO LONGBEACH SILVER</v>
      </c>
      <c r="H20" s="175" t="str">
        <f>IF('CALCULATOR SHEET'!H19&lt;&gt;"",'CALCULATOR SHEET'!H19,"")</f>
        <v>G</v>
      </c>
      <c r="I20" s="176">
        <f>IF(E20&lt;&gt;"",'CALCULATOR SHEET'!I19,"")</f>
        <v>52</v>
      </c>
      <c r="J20" s="176">
        <f>IF(I20&lt;&gt;"",'CALCULATOR SHEET'!J19,"")</f>
        <v>40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111</v>
      </c>
      <c r="O20" s="165"/>
      <c r="P20" s="166">
        <f t="shared" si="1"/>
        <v>111</v>
      </c>
      <c r="Q20" s="194"/>
      <c r="R20" s="64" t="str">
        <f t="shared" si="3"/>
        <v>VERDADERO</v>
      </c>
      <c r="T20" s="160">
        <f>IF('CALCULATOR SHEET'!$T$58="PESOS",'CALCULATOR SHEET'!S19*'CALCULATOR SHEET'!$W$6,'CALCULATOR SHEET'!S19)</f>
        <v>111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846</v>
      </c>
      <c r="Q62" s="188"/>
      <c r="X62" s="163" t="str">
        <f>IF('CALCULATOR SHEET'!$W$2=1,GENERAL!Q35,GENERAL!S35)</f>
        <v>SUB TOTAL</v>
      </c>
      <c r="Y62" s="221">
        <f>P62</f>
        <v>846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338.40000000000003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507.59999999999997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507.59999999999997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507.59999999999997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0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507.59999999999997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507.59999999999997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M72" s="388" t="s">
        <v>477</v>
      </c>
      <c r="N72" s="389">
        <v>18.3</v>
      </c>
      <c r="O72" s="24" t="s">
        <v>478</v>
      </c>
      <c r="P72" s="390">
        <f>P70*N72</f>
        <v>9289.08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139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122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1"/>
        <v>4</v>
      </c>
      <c r="AN9" s="54">
        <f t="shared" si="2"/>
        <v>172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1"/>
        <v>4</v>
      </c>
      <c r="AN10" s="54">
        <f t="shared" si="2"/>
        <v>122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1"/>
        <v>4</v>
      </c>
      <c r="AN11" s="54">
        <f t="shared" si="2"/>
        <v>122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1"/>
        <v>4</v>
      </c>
      <c r="AN12" s="54">
        <f t="shared" si="2"/>
        <v>139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1"/>
        <v>4</v>
      </c>
      <c r="AN13" s="54">
        <f t="shared" si="2"/>
        <v>122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40</v>
      </c>
      <c r="AL7" s="53">
        <f t="shared" ref="AL7:AL70" si="0">IF(AJ7=0,"",MATCH(CEILING(AJ7,6),$D$4:$Z$4,0))</f>
        <v>8</v>
      </c>
      <c r="AM7" s="53">
        <f>IF(AK7=0,"",MATCH(CEILING(AK7,6),$C$7:$C$28,0))</f>
        <v>4</v>
      </c>
      <c r="AN7" s="54">
        <f t="shared" ref="AN7:AN70" si="1">IF(AL7="","",INDEX($D$7:$Z$28,AM7,AL7))</f>
        <v>161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</v>
      </c>
      <c r="AK8" s="53">
        <f>'CALCULATOR SHEET'!J14</f>
        <v>40</v>
      </c>
      <c r="AL8" s="53">
        <f t="shared" si="0"/>
        <v>6</v>
      </c>
      <c r="AM8" s="53">
        <f t="shared" ref="AM8:AM71" si="2">IF(AK8=0,"",MATCH(CEILING(AK8,6),$C$7:$C$28,0))</f>
        <v>4</v>
      </c>
      <c r="AN8" s="54">
        <f t="shared" si="1"/>
        <v>140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2"/>
        <v>4</v>
      </c>
      <c r="AN9" s="54">
        <f t="shared" si="1"/>
        <v>199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2"/>
        <v>4</v>
      </c>
      <c r="AN10" s="54">
        <f t="shared" si="1"/>
        <v>140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2"/>
        <v>4</v>
      </c>
      <c r="AN11" s="54">
        <f t="shared" si="1"/>
        <v>140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2"/>
        <v>4</v>
      </c>
      <c r="AN12" s="54">
        <f t="shared" si="1"/>
        <v>161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2"/>
        <v>4</v>
      </c>
      <c r="AN13" s="54">
        <f t="shared" si="1"/>
        <v>140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165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143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1"/>
        <v>4</v>
      </c>
      <c r="AN9" s="54">
        <f t="shared" si="2"/>
        <v>203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1"/>
        <v>4</v>
      </c>
      <c r="AN10" s="54">
        <f t="shared" si="2"/>
        <v>143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1"/>
        <v>4</v>
      </c>
      <c r="AN11" s="54">
        <f t="shared" si="2"/>
        <v>143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1"/>
        <v>4</v>
      </c>
      <c r="AN12" s="54">
        <f t="shared" si="2"/>
        <v>165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1"/>
        <v>4</v>
      </c>
      <c r="AN13" s="54">
        <f t="shared" si="2"/>
        <v>143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192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165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1"/>
        <v>4</v>
      </c>
      <c r="AN9" s="54">
        <f t="shared" si="2"/>
        <v>235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1"/>
        <v>4</v>
      </c>
      <c r="AN10" s="54">
        <f t="shared" si="2"/>
        <v>165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1"/>
        <v>4</v>
      </c>
      <c r="AN11" s="54">
        <f t="shared" si="2"/>
        <v>165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1"/>
        <v>4</v>
      </c>
      <c r="AN12" s="54">
        <f t="shared" si="2"/>
        <v>192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1"/>
        <v>4</v>
      </c>
      <c r="AN13" s="54">
        <f t="shared" si="2"/>
        <v>165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216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1">IF(AJ8=0,"",MATCH(CEILING(AJ8,6),$D$4:$Z$4,0))</f>
        <v>6</v>
      </c>
      <c r="AM8" s="53">
        <f t="shared" ref="AM8:AM71" si="2">IF(AK8=0,"",MATCH(CEILING(AK8,6),$C$7:$C$28,0))</f>
        <v>4</v>
      </c>
      <c r="AN8" s="54">
        <f t="shared" ref="AN8:AN71" si="3">IF(AL8="","",INDEX($D$7:$Z$28,AM8,AL8))</f>
        <v>185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75</v>
      </c>
      <c r="AK9" s="53">
        <f>'CALCULATOR SHEET'!J15</f>
        <v>40</v>
      </c>
      <c r="AL9" s="53">
        <f>IF(AJ9=0,"",MATCH(CEILING(AJ9,6),$D$4:$Z$4,0))</f>
        <v>10</v>
      </c>
      <c r="AM9" s="53">
        <f t="shared" si="2"/>
        <v>4</v>
      </c>
      <c r="AN9" s="54">
        <f t="shared" si="3"/>
        <v>264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52</v>
      </c>
      <c r="AK10" s="53">
        <f>'CALCULATOR SHEET'!J16</f>
        <v>40</v>
      </c>
      <c r="AL10" s="53">
        <f t="shared" si="1"/>
        <v>6</v>
      </c>
      <c r="AM10" s="53">
        <f t="shared" si="2"/>
        <v>4</v>
      </c>
      <c r="AN10" s="54">
        <f t="shared" si="3"/>
        <v>185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52</v>
      </c>
      <c r="AK11" s="53">
        <f>'CALCULATOR SHEET'!J17</f>
        <v>40</v>
      </c>
      <c r="AL11" s="53">
        <f t="shared" si="1"/>
        <v>6</v>
      </c>
      <c r="AM11" s="53">
        <f t="shared" si="2"/>
        <v>4</v>
      </c>
      <c r="AN11" s="54">
        <f t="shared" si="3"/>
        <v>185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62</v>
      </c>
      <c r="AK12" s="53">
        <f>'CALCULATOR SHEET'!J18</f>
        <v>40</v>
      </c>
      <c r="AL12" s="53">
        <f t="shared" si="1"/>
        <v>8</v>
      </c>
      <c r="AM12" s="53">
        <f t="shared" si="2"/>
        <v>4</v>
      </c>
      <c r="AN12" s="54">
        <f t="shared" si="3"/>
        <v>216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52</v>
      </c>
      <c r="AK13" s="53">
        <f>'CALCULATOR SHEET'!J19</f>
        <v>40</v>
      </c>
      <c r="AL13" s="53">
        <f t="shared" si="1"/>
        <v>6</v>
      </c>
      <c r="AM13" s="53">
        <f t="shared" si="2"/>
        <v>4</v>
      </c>
      <c r="AN13" s="54">
        <f t="shared" si="3"/>
        <v>185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266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17">IF(AJ8=0,"",MATCH(CEILING(AJ8,6),$D$4:$Z$4,0))</f>
        <v>6</v>
      </c>
      <c r="AM8" s="53">
        <f t="shared" ref="AM8:AM71" si="18">IF(AK8=0,"",MATCH(CEILING(AK8,6),$C$7:$C$28,0))</f>
        <v>4</v>
      </c>
      <c r="AN8" s="54">
        <f t="shared" ref="AN8:AN71" si="19">IF(AL8="","",INDEX($D$7:$Z$28,AM8,AL8))</f>
        <v>228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75</v>
      </c>
      <c r="AK9" s="53">
        <f>'CALCULATOR SHEET'!J15</f>
        <v>40</v>
      </c>
      <c r="AL9" s="53">
        <f t="shared" si="17"/>
        <v>10</v>
      </c>
      <c r="AM9" s="53">
        <f t="shared" si="18"/>
        <v>4</v>
      </c>
      <c r="AN9" s="54">
        <f t="shared" si="19"/>
        <v>305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52</v>
      </c>
      <c r="AK10" s="53">
        <f>'CALCULATOR SHEET'!J16</f>
        <v>40</v>
      </c>
      <c r="AL10" s="53">
        <f t="shared" si="17"/>
        <v>6</v>
      </c>
      <c r="AM10" s="53">
        <f t="shared" si="18"/>
        <v>4</v>
      </c>
      <c r="AN10" s="54">
        <f t="shared" si="19"/>
        <v>228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52</v>
      </c>
      <c r="AK11" s="53">
        <f>'CALCULATOR SHEET'!J17</f>
        <v>40</v>
      </c>
      <c r="AL11" s="53">
        <f t="shared" si="17"/>
        <v>6</v>
      </c>
      <c r="AM11" s="53">
        <f t="shared" si="18"/>
        <v>4</v>
      </c>
      <c r="AN11" s="54">
        <f t="shared" si="19"/>
        <v>228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62</v>
      </c>
      <c r="AK12" s="53">
        <f>'CALCULATOR SHEET'!J18</f>
        <v>40</v>
      </c>
      <c r="AL12" s="53">
        <f t="shared" si="17"/>
        <v>8</v>
      </c>
      <c r="AM12" s="53">
        <f t="shared" si="18"/>
        <v>4</v>
      </c>
      <c r="AN12" s="54">
        <f t="shared" si="19"/>
        <v>266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52</v>
      </c>
      <c r="AK13" s="53">
        <f>'CALCULATOR SHEET'!J19</f>
        <v>40</v>
      </c>
      <c r="AL13" s="53">
        <f t="shared" si="17"/>
        <v>6</v>
      </c>
      <c r="AM13" s="53">
        <f t="shared" si="18"/>
        <v>4</v>
      </c>
      <c r="AN13" s="54">
        <f t="shared" si="19"/>
        <v>228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SHEET'!E14</f>
        <v>GROUP 2</v>
      </c>
      <c r="X7" s="1">
        <v>1</v>
      </c>
      <c r="Y7" s="7">
        <f>'CALCULATOR SHEET'!I13</f>
        <v>62</v>
      </c>
      <c r="Z7" s="7">
        <f>'CALCULATOR SHEET'!J13</f>
        <v>40</v>
      </c>
      <c r="AA7" s="7">
        <f>IF(Y7=0,"",MATCH(CEILING(Y7,6),$C$7:$R$7,0))</f>
        <v>7</v>
      </c>
      <c r="AB7" s="7">
        <f>IF(Z7=0,"",MATCH(CEILING(Z7,6),$B$10:$B$26,0))</f>
        <v>2</v>
      </c>
      <c r="AC7" s="146">
        <f>IF(AA7="","",IF(W7="GROUP 1",INDEX($C$10:$R$26,AB7,AA7),IF(W7="GROUP 2",INDEX($C$39:$R$55,AB7,AA7),IF(W7="GROUP 3",INDEX($C$64:$R$80,AB7,AA7),""))))</f>
        <v>861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201</v>
      </c>
      <c r="AF7" s="13">
        <f>IF(Y7&gt;0,HLOOKUP(AA7,$C$29:$R$30,2,FALSE),"")</f>
        <v>0</v>
      </c>
    </row>
    <row r="8" spans="2:32" ht="15.75">
      <c r="U8" s="384"/>
      <c r="V8" s="147"/>
      <c r="W8" s="147" t="e">
        <f>'CALCULATOR SHEET'!#REF!</f>
        <v>#REF!</v>
      </c>
      <c r="X8" s="1">
        <f>+X7+1</f>
        <v>2</v>
      </c>
      <c r="Y8" s="7">
        <f>'CALCULATOR SHEET'!I14</f>
        <v>52</v>
      </c>
      <c r="Z8" s="7">
        <f>'CALCULATOR SHEET'!J14</f>
        <v>40</v>
      </c>
      <c r="AA8" s="7">
        <f t="shared" ref="AA8:AA28" si="1">IF(Y8=0,"",MATCH(CEILING(Y8,6),$C$7:$R$7,0))</f>
        <v>5</v>
      </c>
      <c r="AB8" s="7">
        <f t="shared" ref="AB8:AB28" si="2">IF(Z8=0,"",MATCH(CEILING(Z8,6),$B$10:$B$26,0))</f>
        <v>2</v>
      </c>
      <c r="AC8" s="146" t="e">
        <f t="shared" ref="AC8:AC71" si="3">IF(AA8="","",IF(W8="GROUP 1",INDEX($C$10:$R$26,AB8,AA8),IF(W8="GROUP 2",INDEX($C$39:$R$55,AB8,AA8),IF(W8="GROUP 3",INDEX($C$64:$R$80,AB8,AA8),""))))</f>
        <v>#REF!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201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2</v>
      </c>
      <c r="X9" s="1">
        <f t="shared" ref="X9:X28" si="6">+X8+1</f>
        <v>3</v>
      </c>
      <c r="Y9" s="7">
        <f>'CALCULATOR SHEET'!I15</f>
        <v>75</v>
      </c>
      <c r="Z9" s="7">
        <f>'CALCULATOR SHEET'!J15</f>
        <v>40</v>
      </c>
      <c r="AA9" s="7">
        <f t="shared" si="1"/>
        <v>9</v>
      </c>
      <c r="AB9" s="7">
        <f t="shared" si="2"/>
        <v>2</v>
      </c>
      <c r="AC9" s="146">
        <f t="shared" si="3"/>
        <v>909</v>
      </c>
      <c r="AD9" s="13" t="str">
        <f>IF(AND('CALCULATOR SHEET'!P15="YES",'CALCULATOR SHEET'!Q15="YES"),HLOOKUP(CEILING(Y9,6),$C$28:$Q$31,3,FALSE),"")</f>
        <v/>
      </c>
      <c r="AE9" s="13">
        <f t="shared" si="4"/>
        <v>201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2</v>
      </c>
      <c r="X10" s="1">
        <f t="shared" si="6"/>
        <v>4</v>
      </c>
      <c r="Y10" s="7">
        <f>'CALCULATOR SHEET'!I16</f>
        <v>52</v>
      </c>
      <c r="Z10" s="7">
        <f>'CALCULATOR SHEET'!J16</f>
        <v>40</v>
      </c>
      <c r="AA10" s="7">
        <f t="shared" si="1"/>
        <v>5</v>
      </c>
      <c r="AB10" s="7">
        <f t="shared" si="2"/>
        <v>2</v>
      </c>
      <c r="AC10" s="146">
        <f t="shared" si="3"/>
        <v>813</v>
      </c>
      <c r="AD10" s="13" t="str">
        <f>IF(AND('CALCULATOR SHEET'!P16="YES",'CALCULATOR SHEET'!Q16="YES"),HLOOKUP(CEILING(Y10,6),$C$28:$Q$31,3,FALSE),"")</f>
        <v/>
      </c>
      <c r="AE10" s="13">
        <f t="shared" si="4"/>
        <v>201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2</v>
      </c>
      <c r="X11" s="1">
        <f t="shared" si="6"/>
        <v>5</v>
      </c>
      <c r="Y11" s="7">
        <f>'CALCULATOR SHEET'!I17</f>
        <v>52</v>
      </c>
      <c r="Z11" s="7">
        <f>'CALCULATOR SHEET'!J17</f>
        <v>40</v>
      </c>
      <c r="AA11" s="7">
        <f t="shared" si="1"/>
        <v>5</v>
      </c>
      <c r="AB11" s="7">
        <f t="shared" si="2"/>
        <v>2</v>
      </c>
      <c r="AC11" s="146">
        <f t="shared" si="3"/>
        <v>813</v>
      </c>
      <c r="AD11" s="13" t="str">
        <f>IF(AND('CALCULATOR SHEET'!P17="YES",'CALCULATOR SHEET'!Q17="YES"),HLOOKUP(CEILING(Y11,6),$C$28:$Q$31,3,FALSE),"")</f>
        <v/>
      </c>
      <c r="AE11" s="13">
        <f t="shared" si="4"/>
        <v>201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2</v>
      </c>
      <c r="X12" s="1">
        <f t="shared" si="6"/>
        <v>6</v>
      </c>
      <c r="Y12" s="7">
        <f>'CALCULATOR SHEET'!I18</f>
        <v>62</v>
      </c>
      <c r="Z12" s="7">
        <f>'CALCULATOR SHEET'!J18</f>
        <v>40</v>
      </c>
      <c r="AA12" s="7">
        <f t="shared" si="1"/>
        <v>7</v>
      </c>
      <c r="AB12" s="7">
        <f t="shared" si="2"/>
        <v>2</v>
      </c>
      <c r="AC12" s="146">
        <f t="shared" si="3"/>
        <v>861</v>
      </c>
      <c r="AD12" s="13" t="str">
        <f>IF(AND('CALCULATOR SHEET'!P18="YES",'CALCULATOR SHEET'!Q18="YES"),HLOOKUP(CEILING(Y12,6),$C$28:$Q$31,3,FALSE),"")</f>
        <v/>
      </c>
      <c r="AE12" s="13">
        <f t="shared" si="4"/>
        <v>201</v>
      </c>
      <c r="AF12" s="13">
        <f t="shared" si="5"/>
        <v>0</v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2</v>
      </c>
      <c r="X13" s="1">
        <f t="shared" si="6"/>
        <v>7</v>
      </c>
      <c r="Y13" s="7">
        <f>'CALCULATOR SHEET'!I19</f>
        <v>52</v>
      </c>
      <c r="Z13" s="7">
        <f>'CALCULATOR SHEET'!J19</f>
        <v>40</v>
      </c>
      <c r="AA13" s="7">
        <f t="shared" si="1"/>
        <v>5</v>
      </c>
      <c r="AB13" s="7">
        <f t="shared" si="2"/>
        <v>2</v>
      </c>
      <c r="AC13" s="146">
        <f t="shared" si="3"/>
        <v>813</v>
      </c>
      <c r="AD13" s="13" t="str">
        <f>IF(AND('CALCULATOR SHEET'!P19="YES",'CALCULATOR SHEET'!Q19="YES"),HLOOKUP(CEILING(Y13,6),$C$28:$Q$31,3,FALSE),"")</f>
        <v/>
      </c>
      <c r="AE13" s="13">
        <f t="shared" si="4"/>
        <v>201</v>
      </c>
      <c r="AF13" s="13">
        <f t="shared" si="5"/>
        <v>0</v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62</v>
      </c>
      <c r="W7" s="7">
        <f>'CALCULATOR SHEET'!J13</f>
        <v>40</v>
      </c>
      <c r="X7" s="7">
        <f>IF(V7=0,"",MATCH(CEILING(V7,6),$C$8:$Q$8,0))</f>
        <v>8</v>
      </c>
      <c r="Y7" s="7">
        <f>IF(W7=0,"",MATCH(CEILING(W7,6),$B$10:$B$26,0))</f>
        <v>4</v>
      </c>
      <c r="Z7" s="146">
        <f>IF(X7="","",INDEX($C$12:$Q$26,Y7,X7))</f>
        <v>263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52</v>
      </c>
      <c r="W8" s="7">
        <f>'CALCULATOR SHEET'!J14</f>
        <v>40</v>
      </c>
      <c r="X8" s="7">
        <f t="shared" ref="X8:X73" si="0">IF(V8=0,"",MATCH(CEILING(V8,6),$C$8:$Q$8,0))</f>
        <v>6</v>
      </c>
      <c r="Y8" s="7">
        <f t="shared" ref="Y8:Y71" si="1">IF(W8=0,"",MATCH(CEILING(W8,6),$B$10:$B$26,0))</f>
        <v>4</v>
      </c>
      <c r="Z8" s="146">
        <f>IF(X8="","",INDEX($C$12:$Q$26,Y8,X8))</f>
        <v>217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75</v>
      </c>
      <c r="W9" s="7">
        <f>'CALCULATOR SHEET'!J15</f>
        <v>40</v>
      </c>
      <c r="X9" s="7">
        <f t="shared" si="0"/>
        <v>10</v>
      </c>
      <c r="Y9" s="7">
        <f t="shared" si="1"/>
        <v>4</v>
      </c>
      <c r="Z9" s="146">
        <f>IF(X9="","",INDEX($C$12:$Q$26,Y9,X9))</f>
        <v>307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52</v>
      </c>
      <c r="W12" s="7">
        <f>'CALCULATOR SHEET'!J16</f>
        <v>40</v>
      </c>
      <c r="X12" s="7">
        <f t="shared" si="0"/>
        <v>6</v>
      </c>
      <c r="Y12" s="7">
        <f t="shared" si="1"/>
        <v>4</v>
      </c>
      <c r="Z12" s="146">
        <f t="shared" ref="Z12:Z43" si="3">IF(X12="","",INDEX($C$12:$Q$26,Y12,X12))</f>
        <v>217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52</v>
      </c>
      <c r="W13" s="7">
        <f>'CALCULATOR SHEET'!J17</f>
        <v>40</v>
      </c>
      <c r="X13" s="7">
        <f t="shared" si="0"/>
        <v>6</v>
      </c>
      <c r="Y13" s="7">
        <f t="shared" si="1"/>
        <v>4</v>
      </c>
      <c r="Z13" s="146">
        <f t="shared" si="3"/>
        <v>217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62</v>
      </c>
      <c r="W14" s="7">
        <f>'CALCULATOR SHEET'!J18</f>
        <v>40</v>
      </c>
      <c r="X14" s="7">
        <f t="shared" si="0"/>
        <v>8</v>
      </c>
      <c r="Y14" s="7">
        <f t="shared" si="1"/>
        <v>4</v>
      </c>
      <c r="Z14" s="146">
        <f t="shared" si="3"/>
        <v>263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52</v>
      </c>
      <c r="W15" s="7">
        <f>'CALCULATOR SHEET'!J19</f>
        <v>40</v>
      </c>
      <c r="X15" s="7">
        <f t="shared" si="0"/>
        <v>6</v>
      </c>
      <c r="Y15" s="7">
        <f t="shared" si="1"/>
        <v>4</v>
      </c>
      <c r="Z15" s="146">
        <f t="shared" si="3"/>
        <v>217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160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125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183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125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125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160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125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226</v>
      </c>
    </row>
    <row r="8" spans="2:27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163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251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163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163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226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163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19" zoomScale="85" zoomScaleNormal="85" workbookViewId="0">
      <selection activeCell="R16" sqref="R16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6"/>
      <c r="Q3" s="366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9" t="s">
        <v>309</v>
      </c>
      <c r="AA4" s="368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469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465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443</v>
      </c>
      <c r="H9" s="342" t="s">
        <v>466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f ca="1">TODAY()</f>
        <v>45982</v>
      </c>
      <c r="Z9" s="38" t="s">
        <v>304</v>
      </c>
      <c r="AA9" s="34">
        <f>SUMIF(C13:C52,"&gt;0")</f>
        <v>7</v>
      </c>
      <c r="AD9" s="365" t="s">
        <v>91</v>
      </c>
      <c r="AE9" s="365"/>
      <c r="AF9" s="365"/>
      <c r="AG9" s="365"/>
      <c r="AH9" s="365"/>
      <c r="AI9" s="365"/>
      <c r="AJ9" s="365"/>
      <c r="AK9" s="268"/>
      <c r="AL9" s="365" t="s">
        <v>92</v>
      </c>
      <c r="AM9" s="365"/>
      <c r="AN9" s="365"/>
      <c r="AO9" s="268"/>
      <c r="AP9" s="365" t="s">
        <v>93</v>
      </c>
      <c r="AQ9" s="365"/>
      <c r="AR9" s="365"/>
      <c r="AS9" s="268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0" t="s">
        <v>463</v>
      </c>
      <c r="E10" s="149"/>
      <c r="F10" s="1"/>
      <c r="G10" s="340" t="s">
        <v>444</v>
      </c>
      <c r="H10" s="342" t="s">
        <v>467</v>
      </c>
      <c r="I10" s="1"/>
      <c r="J10" s="3" t="s">
        <v>449</v>
      </c>
      <c r="K10" s="343" t="s">
        <v>468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/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20</v>
      </c>
      <c r="F13" s="69" t="s">
        <v>45</v>
      </c>
      <c r="G13" s="68" t="s">
        <v>470</v>
      </c>
      <c r="H13" s="68" t="s">
        <v>471</v>
      </c>
      <c r="I13" s="81">
        <v>62</v>
      </c>
      <c r="J13" s="81">
        <v>40</v>
      </c>
      <c r="K13" s="253" t="s">
        <v>96</v>
      </c>
      <c r="L13" s="70" t="s">
        <v>45</v>
      </c>
      <c r="M13" s="283" t="s">
        <v>129</v>
      </c>
      <c r="N13" s="253" t="s">
        <v>213</v>
      </c>
      <c r="O13" s="253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124</v>
      </c>
      <c r="T13" s="315">
        <f t="shared" ref="T13:T52" si="0">IF(S13="","",S13*C13)</f>
        <v>124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124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IF(D13="ROLLER",IF(E14="GROUP 1",'ROLLER G1'!AN7,IF(E14="GROUP 2",'ROLLER G2'!AN7,IF(E14="GROUP 3",'ROLLER G3'!AN7,IF(E14="GROUP 4",'ROLLER G4'!AN7,IF(E14="GROUP 5",'ROLLER G5'!AN7,IF(E14="GROUP 6",'ROLLER G6'!AN7,IF(E14="GROUP 7",'ROLLER G7'!AN7,IF(E14="GROUP 8",'ROLLER G8'!AN7,IF(E14="GROUP 9",'ROLLER G9'!AN7,""))))))))),"")</f>
        <v>117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7</v>
      </c>
      <c r="AK13" s="270"/>
      <c r="AL13" s="120" t="str">
        <f>IF(D13="VERTICAL",IF(E14="GROUP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IF(D13="ZEBRA",IF(E14="GROUP 1",'ZEBRA G1'!AA7,IF('CALCULATOR SHEET'!E14="GROUP 2",'ZEBRA G2'!AA7,IF('CALCULATOR SHEET'!E14="GROUP 3",'ZEBRA G3'!AB7,IF(E14="GROUP 4",'ZEBRA G4'!AA7,IF(E14="GROUP 5",'ZEBRA G5'!AA7,IF(E14="GROUP 6",'ZEBRA G6'!AA7,IF(E14="GROUP 7",'ZEBRA G7'!AA7,IF(E14="GROUP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7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20</v>
      </c>
      <c r="F14" s="69" t="s">
        <v>45</v>
      </c>
      <c r="G14" s="68" t="s">
        <v>470</v>
      </c>
      <c r="H14" s="68" t="s">
        <v>472</v>
      </c>
      <c r="I14" s="81">
        <v>52</v>
      </c>
      <c r="J14" s="81">
        <v>40</v>
      </c>
      <c r="K14" s="253" t="s">
        <v>96</v>
      </c>
      <c r="L14" s="70" t="s">
        <v>45</v>
      </c>
      <c r="M14" s="283" t="s">
        <v>130</v>
      </c>
      <c r="N14" s="253" t="s">
        <v>213</v>
      </c>
      <c r="O14" s="253" t="s">
        <v>322</v>
      </c>
      <c r="P14" s="70" t="s">
        <v>45</v>
      </c>
      <c r="Q14" s="70" t="s">
        <v>45</v>
      </c>
      <c r="R14" s="70" t="s">
        <v>45</v>
      </c>
      <c r="S14" s="71">
        <v>111</v>
      </c>
      <c r="T14" s="315">
        <f t="shared" si="0"/>
        <v>111</v>
      </c>
      <c r="U14" s="179" t="e">
        <f t="shared" ref="U14:U52" si="1">IF(OR(AD14="N/A",AL14="N/A",AP14="N/A",AT14="N/A"),"REVISAR MEDIDA","")</f>
        <v>#REF!</v>
      </c>
      <c r="V14" s="153"/>
      <c r="W14" s="124" t="e">
        <f>IF(D14="ROLLER",SUM(AD14:AJ14),IF(D14="VERTICAL D",SUM(AL14:AN14),IF(D14="ZEBRA",SUM(AP14:AR14),IF(D14="EXTERIOR ROLLER",SUM(AT14:AV14),IF(D14="CABLE GUIDES",AW14,0)))))</f>
        <v>#REF!</v>
      </c>
      <c r="X14" s="289">
        <v>0</v>
      </c>
      <c r="Y14" s="273">
        <f t="shared" ref="Y14:Y52" si="2">B14</f>
        <v>2</v>
      </c>
      <c r="Z14" s="128" t="s">
        <v>6</v>
      </c>
      <c r="AA14" s="309">
        <f t="shared" ref="AA14:AA52" si="3">IF(Z14&lt;&gt;"N/A",S14,0)</f>
        <v>0</v>
      </c>
      <c r="AB14" s="16" t="str">
        <f t="shared" ref="AB14:AB52" si="4">D14</f>
        <v>ROLLER</v>
      </c>
      <c r="AC14" s="270"/>
      <c r="AD14" s="120" t="e">
        <f>IF(D14="ROLLER",IF(#REF!="GROUP 1",'ROLLER G1'!AN8,IF(#REF!="GROUP 2",'ROLLER G2'!AN8,IF(#REF!="GROUP 3",'ROLLER G3'!AN8,IF(#REF!="GROUP 4",'ROLLER G4'!AN8,IF(#REF!="GROUP 5",'ROLLER G5'!AN8,IF(#REF!="GROUP 6",'ROLLER G6'!AN8,IF(#REF!="GROUP 7",'ROLLER G7'!AN8,IF(#REF!="GROUP 8",'ROLLER G8'!AN8,IF(#REF!="GROUP 9",'ROLLER G9'!AN8,""))))))))),"")</f>
        <v>#REF!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7</v>
      </c>
      <c r="AK14" s="270"/>
      <c r="AL14" s="120" t="str">
        <f>IF(D14="VERTICAL",IF(#REF!="GROUP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IF(D14="ZEBRA",IF(#REF!="GROUP 1",'ZEBRA G1'!AA8,IF('CALCULATOR SHEET'!#REF!="GROUP 2",'ZEBRA G2'!AA8,IF('CALCULATOR SHEET'!#REF!="GROUP 3",'ZEBRA G3'!AB8,IF(#REF!="GROUP 4",'ZEBRA G4'!AA8,IF(#REF!="GROUP 5",'ZEBRA G5'!AA8,IF(#REF!="GROUP 6",'ZEBRA G6'!AA8,IF(#REF!="GROUP 7",'ZEBRA G7'!AA8,IF(#REF!="GROUP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5">IF(K14="METAL CHAIN",AJ14,"")</f>
        <v>7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88</v>
      </c>
      <c r="E15" s="69" t="s">
        <v>20</v>
      </c>
      <c r="F15" s="69" t="s">
        <v>45</v>
      </c>
      <c r="G15" s="68" t="s">
        <v>470</v>
      </c>
      <c r="H15" s="68" t="s">
        <v>464</v>
      </c>
      <c r="I15" s="81">
        <v>75</v>
      </c>
      <c r="J15" s="81">
        <v>40</v>
      </c>
      <c r="K15" s="253" t="s">
        <v>96</v>
      </c>
      <c r="L15" s="70" t="s">
        <v>45</v>
      </c>
      <c r="M15" s="283" t="s">
        <v>129</v>
      </c>
      <c r="N15" s="253" t="s">
        <v>213</v>
      </c>
      <c r="O15" s="253" t="s">
        <v>322</v>
      </c>
      <c r="P15" s="70" t="s">
        <v>45</v>
      </c>
      <c r="Q15" s="70" t="s">
        <v>45</v>
      </c>
      <c r="R15" s="70" t="s">
        <v>45</v>
      </c>
      <c r="S15" s="71">
        <f t="shared" ref="S15:S52" si="7">IF(U15="REVISAR MEDIDA","NO APLICA",W15+X15)</f>
        <v>154</v>
      </c>
      <c r="T15" s="315">
        <f t="shared" si="0"/>
        <v>154</v>
      </c>
      <c r="U15" s="179" t="str">
        <f t="shared" si="1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154</v>
      </c>
      <c r="X15" s="289">
        <v>0</v>
      </c>
      <c r="Y15" s="273">
        <f t="shared" si="2"/>
        <v>3</v>
      </c>
      <c r="Z15" s="128" t="s">
        <v>6</v>
      </c>
      <c r="AA15" s="309">
        <f t="shared" si="3"/>
        <v>0</v>
      </c>
      <c r="AB15" s="16" t="str">
        <f t="shared" si="4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147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7</v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5"/>
        <v>7</v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>
        <v>1</v>
      </c>
      <c r="D16" s="152" t="s">
        <v>88</v>
      </c>
      <c r="E16" s="69" t="s">
        <v>20</v>
      </c>
      <c r="F16" s="69" t="s">
        <v>45</v>
      </c>
      <c r="G16" s="68" t="s">
        <v>470</v>
      </c>
      <c r="H16" s="68" t="s">
        <v>473</v>
      </c>
      <c r="I16" s="81">
        <v>52</v>
      </c>
      <c r="J16" s="81">
        <v>40</v>
      </c>
      <c r="K16" s="253" t="s">
        <v>96</v>
      </c>
      <c r="L16" s="70" t="s">
        <v>45</v>
      </c>
      <c r="M16" s="283" t="s">
        <v>130</v>
      </c>
      <c r="N16" s="253" t="s">
        <v>213</v>
      </c>
      <c r="O16" s="253" t="s">
        <v>322</v>
      </c>
      <c r="P16" s="70" t="s">
        <v>45</v>
      </c>
      <c r="Q16" s="70" t="s">
        <v>45</v>
      </c>
      <c r="R16" s="70" t="s">
        <v>45</v>
      </c>
      <c r="S16" s="71">
        <f t="shared" si="7"/>
        <v>111</v>
      </c>
      <c r="T16" s="315">
        <f t="shared" si="0"/>
        <v>111</v>
      </c>
      <c r="U16" s="179" t="str">
        <f t="shared" si="1"/>
        <v/>
      </c>
      <c r="V16" s="120"/>
      <c r="W16" s="124">
        <f t="shared" si="8"/>
        <v>111</v>
      </c>
      <c r="X16" s="289">
        <v>0</v>
      </c>
      <c r="Y16" s="273">
        <f t="shared" si="2"/>
        <v>4</v>
      </c>
      <c r="Z16" s="128" t="s">
        <v>6</v>
      </c>
      <c r="AA16" s="309">
        <f t="shared" si="3"/>
        <v>0</v>
      </c>
      <c r="AB16" s="16" t="str">
        <f t="shared" si="4"/>
        <v>ROLLER</v>
      </c>
      <c r="AC16" s="270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104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7</v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5"/>
        <v>7</v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>
        <v>1</v>
      </c>
      <c r="D17" s="152" t="s">
        <v>88</v>
      </c>
      <c r="E17" s="69" t="s">
        <v>20</v>
      </c>
      <c r="F17" s="69" t="s">
        <v>45</v>
      </c>
      <c r="G17" s="68" t="s">
        <v>470</v>
      </c>
      <c r="H17" s="68" t="s">
        <v>474</v>
      </c>
      <c r="I17" s="81">
        <v>52</v>
      </c>
      <c r="J17" s="81">
        <v>40</v>
      </c>
      <c r="K17" s="253" t="s">
        <v>96</v>
      </c>
      <c r="L17" s="70" t="s">
        <v>45</v>
      </c>
      <c r="M17" s="283" t="s">
        <v>129</v>
      </c>
      <c r="N17" s="253" t="s">
        <v>213</v>
      </c>
      <c r="O17" s="253" t="s">
        <v>322</v>
      </c>
      <c r="P17" s="70" t="s">
        <v>45</v>
      </c>
      <c r="Q17" s="70" t="s">
        <v>45</v>
      </c>
      <c r="R17" s="70" t="s">
        <v>45</v>
      </c>
      <c r="S17" s="71">
        <f t="shared" si="7"/>
        <v>111</v>
      </c>
      <c r="T17" s="315">
        <f t="shared" si="0"/>
        <v>111</v>
      </c>
      <c r="U17" s="179" t="str">
        <f t="shared" si="1"/>
        <v/>
      </c>
      <c r="V17" s="120"/>
      <c r="W17" s="124">
        <f t="shared" si="8"/>
        <v>111</v>
      </c>
      <c r="X17" s="289">
        <v>0</v>
      </c>
      <c r="Y17" s="273">
        <f t="shared" si="2"/>
        <v>5</v>
      </c>
      <c r="Z17" s="128" t="s">
        <v>6</v>
      </c>
      <c r="AA17" s="309">
        <f t="shared" si="3"/>
        <v>0</v>
      </c>
      <c r="AB17" s="16" t="str">
        <f t="shared" si="4"/>
        <v>ROLLER</v>
      </c>
      <c r="AC17" s="270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104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7</v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5"/>
        <v>7</v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>
        <v>1</v>
      </c>
      <c r="D18" s="152" t="s">
        <v>88</v>
      </c>
      <c r="E18" s="69" t="s">
        <v>20</v>
      </c>
      <c r="F18" s="69" t="s">
        <v>45</v>
      </c>
      <c r="G18" s="68" t="s">
        <v>470</v>
      </c>
      <c r="H18" s="68" t="s">
        <v>475</v>
      </c>
      <c r="I18" s="81">
        <v>62</v>
      </c>
      <c r="J18" s="81">
        <v>40</v>
      </c>
      <c r="K18" s="253" t="s">
        <v>96</v>
      </c>
      <c r="L18" s="70" t="s">
        <v>45</v>
      </c>
      <c r="M18" s="283" t="s">
        <v>130</v>
      </c>
      <c r="N18" s="253" t="s">
        <v>213</v>
      </c>
      <c r="O18" s="253" t="s">
        <v>322</v>
      </c>
      <c r="P18" s="70" t="s">
        <v>45</v>
      </c>
      <c r="Q18" s="70" t="s">
        <v>45</v>
      </c>
      <c r="R18" s="70" t="s">
        <v>45</v>
      </c>
      <c r="S18" s="71">
        <f t="shared" si="7"/>
        <v>124</v>
      </c>
      <c r="T18" s="315">
        <f t="shared" si="0"/>
        <v>124</v>
      </c>
      <c r="U18" s="179" t="str">
        <f t="shared" si="1"/>
        <v/>
      </c>
      <c r="V18" s="120"/>
      <c r="W18" s="124">
        <f t="shared" si="8"/>
        <v>124</v>
      </c>
      <c r="X18" s="289">
        <v>0</v>
      </c>
      <c r="Y18" s="273">
        <f t="shared" si="2"/>
        <v>6</v>
      </c>
      <c r="Z18" s="128" t="s">
        <v>6</v>
      </c>
      <c r="AA18" s="309">
        <f t="shared" si="3"/>
        <v>0</v>
      </c>
      <c r="AB18" s="16" t="str">
        <f t="shared" si="4"/>
        <v>ROLLER</v>
      </c>
      <c r="AC18" s="270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117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7</v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5"/>
        <v>7</v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>
        <v>1</v>
      </c>
      <c r="D19" s="152" t="s">
        <v>88</v>
      </c>
      <c r="E19" s="69" t="s">
        <v>20</v>
      </c>
      <c r="F19" s="69" t="s">
        <v>45</v>
      </c>
      <c r="G19" s="68" t="s">
        <v>470</v>
      </c>
      <c r="H19" s="68" t="s">
        <v>476</v>
      </c>
      <c r="I19" s="81">
        <v>52</v>
      </c>
      <c r="J19" s="81">
        <v>40</v>
      </c>
      <c r="K19" s="253" t="s">
        <v>96</v>
      </c>
      <c r="L19" s="70" t="s">
        <v>45</v>
      </c>
      <c r="M19" s="283" t="s">
        <v>129</v>
      </c>
      <c r="N19" s="253" t="s">
        <v>213</v>
      </c>
      <c r="O19" s="253" t="s">
        <v>322</v>
      </c>
      <c r="P19" s="70" t="s">
        <v>45</v>
      </c>
      <c r="Q19" s="70" t="s">
        <v>45</v>
      </c>
      <c r="R19" s="70" t="s">
        <v>45</v>
      </c>
      <c r="S19" s="71">
        <f t="shared" si="7"/>
        <v>111</v>
      </c>
      <c r="T19" s="315">
        <f t="shared" si="0"/>
        <v>111</v>
      </c>
      <c r="U19" s="179" t="str">
        <f t="shared" si="1"/>
        <v/>
      </c>
      <c r="V19" s="120"/>
      <c r="W19" s="124">
        <f t="shared" si="8"/>
        <v>111</v>
      </c>
      <c r="X19" s="289">
        <v>0</v>
      </c>
      <c r="Y19" s="273">
        <f t="shared" si="2"/>
        <v>7</v>
      </c>
      <c r="Z19" s="128" t="s">
        <v>6</v>
      </c>
      <c r="AA19" s="309">
        <f t="shared" si="3"/>
        <v>0</v>
      </c>
      <c r="AB19" s="16" t="str">
        <f t="shared" si="4"/>
        <v>ROLLER</v>
      </c>
      <c r="AC19" s="270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104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7</v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5"/>
        <v>7</v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7"/>
        <v>0</v>
      </c>
      <c r="T20" s="315">
        <f t="shared" si="0"/>
        <v>0</v>
      </c>
      <c r="U20" s="179" t="str">
        <f t="shared" si="1"/>
        <v/>
      </c>
      <c r="V20" s="120"/>
      <c r="W20" s="124">
        <f t="shared" si="8"/>
        <v>0</v>
      </c>
      <c r="X20" s="289">
        <v>0</v>
      </c>
      <c r="Y20" s="273">
        <f t="shared" si="2"/>
        <v>8</v>
      </c>
      <c r="Z20" s="128" t="s">
        <v>6</v>
      </c>
      <c r="AA20" s="309">
        <f t="shared" si="3"/>
        <v>0</v>
      </c>
      <c r="AB20" s="16">
        <f t="shared" si="4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5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7"/>
        <v>0</v>
      </c>
      <c r="T21" s="315">
        <f t="shared" si="0"/>
        <v>0</v>
      </c>
      <c r="U21" s="179" t="str">
        <f t="shared" si="1"/>
        <v/>
      </c>
      <c r="V21" s="120"/>
      <c r="W21" s="124">
        <f t="shared" si="8"/>
        <v>0</v>
      </c>
      <c r="X21" s="289">
        <v>0</v>
      </c>
      <c r="Y21" s="273">
        <f t="shared" si="2"/>
        <v>9</v>
      </c>
      <c r="Z21" s="128" t="s">
        <v>6</v>
      </c>
      <c r="AA21" s="309">
        <f t="shared" si="3"/>
        <v>0</v>
      </c>
      <c r="AB21" s="16">
        <f t="shared" si="4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5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7"/>
        <v>0</v>
      </c>
      <c r="T22" s="72">
        <f t="shared" si="0"/>
        <v>0</v>
      </c>
      <c r="U22" s="179" t="str">
        <f t="shared" si="1"/>
        <v/>
      </c>
      <c r="V22" s="67"/>
      <c r="W22" s="124">
        <f t="shared" si="8"/>
        <v>0</v>
      </c>
      <c r="X22" s="289">
        <v>0</v>
      </c>
      <c r="Y22" s="273">
        <f t="shared" si="2"/>
        <v>10</v>
      </c>
      <c r="Z22" s="128" t="s">
        <v>6</v>
      </c>
      <c r="AA22" s="309">
        <f t="shared" si="3"/>
        <v>0</v>
      </c>
      <c r="AB22" s="16">
        <f t="shared" si="4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5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7"/>
        <v>0</v>
      </c>
      <c r="T23" s="72">
        <f t="shared" si="0"/>
        <v>0</v>
      </c>
      <c r="U23" s="179" t="str">
        <f t="shared" si="1"/>
        <v/>
      </c>
      <c r="V23" s="67"/>
      <c r="W23" s="124">
        <f t="shared" si="8"/>
        <v>0</v>
      </c>
      <c r="X23" s="289">
        <v>0</v>
      </c>
      <c r="Y23" s="273">
        <f t="shared" si="2"/>
        <v>11</v>
      </c>
      <c r="Z23" s="128" t="s">
        <v>6</v>
      </c>
      <c r="AA23" s="309">
        <f t="shared" si="3"/>
        <v>0</v>
      </c>
      <c r="AB23" s="16">
        <f t="shared" si="4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5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7"/>
        <v>0</v>
      </c>
      <c r="T24" s="72">
        <f t="shared" si="0"/>
        <v>0</v>
      </c>
      <c r="U24" s="179" t="str">
        <f t="shared" si="1"/>
        <v/>
      </c>
      <c r="V24" s="67"/>
      <c r="W24" s="124">
        <f t="shared" si="8"/>
        <v>0</v>
      </c>
      <c r="X24" s="289">
        <v>0</v>
      </c>
      <c r="Y24" s="273">
        <f t="shared" si="2"/>
        <v>12</v>
      </c>
      <c r="Z24" s="128" t="s">
        <v>6</v>
      </c>
      <c r="AA24" s="309">
        <f t="shared" si="3"/>
        <v>0</v>
      </c>
      <c r="AB24" s="16">
        <f t="shared" si="4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5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7"/>
        <v>0</v>
      </c>
      <c r="T25" s="72">
        <f t="shared" si="0"/>
        <v>0</v>
      </c>
      <c r="U25" s="179" t="str">
        <f t="shared" si="1"/>
        <v/>
      </c>
      <c r="V25" s="67"/>
      <c r="W25" s="124">
        <f t="shared" si="8"/>
        <v>0</v>
      </c>
      <c r="X25" s="289">
        <v>0</v>
      </c>
      <c r="Y25" s="273">
        <f t="shared" si="2"/>
        <v>13</v>
      </c>
      <c r="Z25" s="128" t="s">
        <v>6</v>
      </c>
      <c r="AA25" s="309">
        <f t="shared" si="3"/>
        <v>0</v>
      </c>
      <c r="AB25" s="16">
        <f t="shared" si="4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5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7"/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8"/>
        <v>0</v>
      </c>
      <c r="X26" s="289">
        <v>0</v>
      </c>
      <c r="Y26" s="273">
        <f t="shared" si="2"/>
        <v>14</v>
      </c>
      <c r="Z26" s="128" t="s">
        <v>6</v>
      </c>
      <c r="AA26" s="309">
        <f t="shared" si="3"/>
        <v>0</v>
      </c>
      <c r="AB26" s="16">
        <f t="shared" si="4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7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8"/>
        <v>0</v>
      </c>
      <c r="X27" s="289">
        <v>0</v>
      </c>
      <c r="Y27" s="273">
        <f t="shared" si="2"/>
        <v>15</v>
      </c>
      <c r="Z27" s="128" t="s">
        <v>6</v>
      </c>
      <c r="AA27" s="309">
        <f t="shared" si="3"/>
        <v>0</v>
      </c>
      <c r="AB27" s="16">
        <f t="shared" si="4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7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8"/>
        <v>0</v>
      </c>
      <c r="X28" s="289">
        <v>0</v>
      </c>
      <c r="Y28" s="273">
        <f t="shared" si="2"/>
        <v>16</v>
      </c>
      <c r="Z28" s="128" t="s">
        <v>6</v>
      </c>
      <c r="AA28" s="309">
        <f t="shared" si="3"/>
        <v>0</v>
      </c>
      <c r="AB28" s="16">
        <f t="shared" si="4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7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8"/>
        <v>0</v>
      </c>
      <c r="X29" s="289">
        <v>0</v>
      </c>
      <c r="Y29" s="273">
        <f t="shared" si="2"/>
        <v>17</v>
      </c>
      <c r="Z29" s="128" t="s">
        <v>6</v>
      </c>
      <c r="AA29" s="309">
        <f t="shared" si="3"/>
        <v>0</v>
      </c>
      <c r="AB29" s="16">
        <f t="shared" si="4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7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8"/>
        <v>0</v>
      </c>
      <c r="X30" s="289">
        <v>0</v>
      </c>
      <c r="Y30" s="273">
        <f t="shared" si="2"/>
        <v>18</v>
      </c>
      <c r="Z30" s="128" t="s">
        <v>6</v>
      </c>
      <c r="AA30" s="309">
        <f t="shared" si="3"/>
        <v>0</v>
      </c>
      <c r="AB30" s="16">
        <f t="shared" si="4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7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8"/>
        <v>0</v>
      </c>
      <c r="X31" s="289">
        <v>0</v>
      </c>
      <c r="Y31" s="273">
        <f t="shared" si="2"/>
        <v>19</v>
      </c>
      <c r="Z31" s="128" t="s">
        <v>6</v>
      </c>
      <c r="AA31" s="309">
        <f t="shared" si="3"/>
        <v>0</v>
      </c>
      <c r="AB31" s="16">
        <f t="shared" si="4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7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8"/>
        <v>0</v>
      </c>
      <c r="X32" s="289">
        <v>0</v>
      </c>
      <c r="Y32" s="273">
        <f t="shared" si="2"/>
        <v>20</v>
      </c>
      <c r="Z32" s="128" t="s">
        <v>6</v>
      </c>
      <c r="AA32" s="309">
        <f t="shared" si="3"/>
        <v>0</v>
      </c>
      <c r="AB32" s="16">
        <f t="shared" si="4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7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8"/>
        <v>0</v>
      </c>
      <c r="X33" s="289">
        <v>0</v>
      </c>
      <c r="Y33" s="273">
        <f t="shared" si="2"/>
        <v>21</v>
      </c>
      <c r="Z33" s="128" t="s">
        <v>6</v>
      </c>
      <c r="AA33" s="309">
        <f t="shared" si="3"/>
        <v>0</v>
      </c>
      <c r="AB33" s="16">
        <f t="shared" si="4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7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8"/>
        <v>0</v>
      </c>
      <c r="X34" s="289">
        <v>0</v>
      </c>
      <c r="Y34" s="273">
        <f t="shared" si="2"/>
        <v>22</v>
      </c>
      <c r="Z34" s="128" t="s">
        <v>6</v>
      </c>
      <c r="AA34" s="309">
        <f t="shared" si="3"/>
        <v>0</v>
      </c>
      <c r="AB34" s="16">
        <f t="shared" si="4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7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8"/>
        <v>0</v>
      </c>
      <c r="X35" s="289">
        <v>0</v>
      </c>
      <c r="Y35" s="273">
        <f t="shared" si="2"/>
        <v>23</v>
      </c>
      <c r="Z35" s="128" t="s">
        <v>6</v>
      </c>
      <c r="AA35" s="309">
        <f t="shared" si="3"/>
        <v>0</v>
      </c>
      <c r="AB35" s="16">
        <f t="shared" si="4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7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8"/>
        <v>0</v>
      </c>
      <c r="X36" s="289">
        <v>0</v>
      </c>
      <c r="Y36" s="273">
        <f t="shared" si="2"/>
        <v>24</v>
      </c>
      <c r="Z36" s="128" t="s">
        <v>6</v>
      </c>
      <c r="AA36" s="309">
        <f t="shared" si="3"/>
        <v>0</v>
      </c>
      <c r="AB36" s="16">
        <f t="shared" si="4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7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8"/>
        <v>0</v>
      </c>
      <c r="X37" s="289">
        <v>0</v>
      </c>
      <c r="Y37" s="273">
        <f t="shared" si="2"/>
        <v>25</v>
      </c>
      <c r="Z37" s="128" t="s">
        <v>6</v>
      </c>
      <c r="AA37" s="309">
        <f t="shared" si="3"/>
        <v>0</v>
      </c>
      <c r="AB37" s="16">
        <f t="shared" si="4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7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8"/>
        <v>0</v>
      </c>
      <c r="X38" s="289">
        <v>0</v>
      </c>
      <c r="Y38" s="273">
        <f t="shared" si="2"/>
        <v>26</v>
      </c>
      <c r="Z38" s="128" t="s">
        <v>6</v>
      </c>
      <c r="AA38" s="309">
        <f t="shared" si="3"/>
        <v>0</v>
      </c>
      <c r="AB38" s="16">
        <f t="shared" si="4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7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8"/>
        <v>0</v>
      </c>
      <c r="X39" s="289">
        <v>0</v>
      </c>
      <c r="Y39" s="273">
        <f t="shared" si="2"/>
        <v>27</v>
      </c>
      <c r="Z39" s="128" t="s">
        <v>6</v>
      </c>
      <c r="AA39" s="309">
        <f t="shared" si="3"/>
        <v>0</v>
      </c>
      <c r="AB39" s="16">
        <f t="shared" si="4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8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7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8"/>
        <v>0</v>
      </c>
      <c r="X40" s="289">
        <v>0</v>
      </c>
      <c r="Y40" s="273">
        <f t="shared" si="2"/>
        <v>28</v>
      </c>
      <c r="Z40" s="128" t="s">
        <v>6</v>
      </c>
      <c r="AA40" s="309">
        <f t="shared" si="3"/>
        <v>0</v>
      </c>
      <c r="AB40" s="16">
        <f t="shared" si="4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8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7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8"/>
        <v>0</v>
      </c>
      <c r="X41" s="289">
        <v>0</v>
      </c>
      <c r="Y41" s="273">
        <f t="shared" si="2"/>
        <v>29</v>
      </c>
      <c r="Z41" s="128" t="s">
        <v>6</v>
      </c>
      <c r="AA41" s="309">
        <f t="shared" si="3"/>
        <v>0</v>
      </c>
      <c r="AB41" s="16">
        <f t="shared" si="4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8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7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8"/>
        <v>0</v>
      </c>
      <c r="X42" s="289">
        <v>0</v>
      </c>
      <c r="Y42" s="273">
        <f t="shared" si="2"/>
        <v>30</v>
      </c>
      <c r="Z42" s="128" t="s">
        <v>6</v>
      </c>
      <c r="AA42" s="309">
        <f t="shared" si="3"/>
        <v>0</v>
      </c>
      <c r="AB42" s="16">
        <f t="shared" si="4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8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7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8"/>
        <v>0</v>
      </c>
      <c r="X43" s="289">
        <v>0</v>
      </c>
      <c r="Y43" s="273">
        <f t="shared" si="2"/>
        <v>31</v>
      </c>
      <c r="Z43" s="128" t="s">
        <v>6</v>
      </c>
      <c r="AA43" s="309">
        <f t="shared" si="3"/>
        <v>0</v>
      </c>
      <c r="AB43" s="16">
        <f t="shared" si="4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8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7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8"/>
        <v>0</v>
      </c>
      <c r="X44" s="289">
        <v>0</v>
      </c>
      <c r="Y44" s="273">
        <f t="shared" si="2"/>
        <v>32</v>
      </c>
      <c r="Z44" s="128" t="s">
        <v>6</v>
      </c>
      <c r="AA44" s="309">
        <f t="shared" si="3"/>
        <v>0</v>
      </c>
      <c r="AB44" s="16">
        <f t="shared" si="4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8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7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8"/>
        <v>0</v>
      </c>
      <c r="X45" s="289">
        <v>0</v>
      </c>
      <c r="Y45" s="273">
        <f t="shared" si="2"/>
        <v>33</v>
      </c>
      <c r="Z45" s="128" t="s">
        <v>6</v>
      </c>
      <c r="AA45" s="309">
        <f t="shared" si="3"/>
        <v>0</v>
      </c>
      <c r="AB45" s="16">
        <f t="shared" si="4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8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7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8"/>
        <v>0</v>
      </c>
      <c r="X46" s="289">
        <v>0</v>
      </c>
      <c r="Y46" s="273">
        <f t="shared" si="2"/>
        <v>34</v>
      </c>
      <c r="Z46" s="128" t="s">
        <v>6</v>
      </c>
      <c r="AA46" s="309">
        <f t="shared" si="3"/>
        <v>0</v>
      </c>
      <c r="AB46" s="16">
        <f t="shared" si="4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8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7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8"/>
        <v>0</v>
      </c>
      <c r="X47" s="289">
        <v>0</v>
      </c>
      <c r="Y47" s="273">
        <f t="shared" si="2"/>
        <v>35</v>
      </c>
      <c r="Z47" s="128" t="s">
        <v>6</v>
      </c>
      <c r="AA47" s="309">
        <f t="shared" si="3"/>
        <v>0</v>
      </c>
      <c r="AB47" s="16">
        <f t="shared" si="4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8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7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8"/>
        <v>0</v>
      </c>
      <c r="X48" s="289">
        <v>0</v>
      </c>
      <c r="Y48" s="273">
        <f t="shared" si="2"/>
        <v>36</v>
      </c>
      <c r="Z48" s="128" t="s">
        <v>6</v>
      </c>
      <c r="AA48" s="309">
        <f t="shared" si="3"/>
        <v>0</v>
      </c>
      <c r="AB48" s="16">
        <f t="shared" si="4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8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7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8"/>
        <v>0</v>
      </c>
      <c r="X49" s="289">
        <v>0</v>
      </c>
      <c r="Y49" s="273">
        <f t="shared" si="2"/>
        <v>37</v>
      </c>
      <c r="Z49" s="128" t="s">
        <v>6</v>
      </c>
      <c r="AA49" s="309">
        <f t="shared" si="3"/>
        <v>0</v>
      </c>
      <c r="AB49" s="16">
        <f t="shared" si="4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8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7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8"/>
        <v>0</v>
      </c>
      <c r="X50" s="289">
        <v>0</v>
      </c>
      <c r="Y50" s="273">
        <f t="shared" si="2"/>
        <v>38</v>
      </c>
      <c r="Z50" s="128" t="s">
        <v>6</v>
      </c>
      <c r="AA50" s="309">
        <f t="shared" si="3"/>
        <v>0</v>
      </c>
      <c r="AB50" s="16">
        <f t="shared" si="4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8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7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8"/>
        <v>0</v>
      </c>
      <c r="X51" s="289">
        <v>0</v>
      </c>
      <c r="Y51" s="273">
        <f t="shared" si="2"/>
        <v>39</v>
      </c>
      <c r="Z51" s="128" t="s">
        <v>6</v>
      </c>
      <c r="AA51" s="309">
        <f t="shared" si="3"/>
        <v>0</v>
      </c>
      <c r="AB51" s="16">
        <f t="shared" si="4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7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8"/>
        <v>0</v>
      </c>
      <c r="X52" s="289">
        <v>0</v>
      </c>
      <c r="Y52" s="273">
        <f t="shared" si="2"/>
        <v>40</v>
      </c>
      <c r="Z52" s="128" t="s">
        <v>6</v>
      </c>
      <c r="AA52" s="309">
        <f t="shared" si="3"/>
        <v>0</v>
      </c>
      <c r="AB52" s="16">
        <f t="shared" si="4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846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338.40000000000003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507.59999999999997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507.59999999999997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L13:L52" xr:uid="{E703BCAF-B35F-405B-A070-31B11B3C741E}">
      <formula1>IF(D13="ROLLER",MOTR,IF(D13="VERTICAL D","",IF(D13="ZEBRA",MOTZ,IF(D13="EXTERIOR ROLLER",MOTEXT,""))))</formula1>
    </dataValidation>
    <dataValidation type="list" allowBlank="1" showInputMessage="1" showErrorMessage="1" sqref="O13:O52" xr:uid="{EF8F4E5A-517A-4AF6-AE49-4D72F45C976A}">
      <formula1>IF(AND(D13="ZEBRA",E14="GROUP 1"),PERFILA,IF(AND(D13="ZEBRA",E14&lt;&gt;"GROUP 1"),PERFILB,IF(D13="ROLLER",DIRECTION,"")))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1D5B59CE-0262-4F45-85B2-0D534960EB16}">
          <x14:formula1>
            <xm:f>GENERAL!$C$5:$C$16</xm:f>
          </x14:formula1>
          <xm:sqref>T60</xm:sqref>
        </x14:dataValidation>
        <x14:dataValidation type="list" allowBlank="1" showInputMessage="1" showErrorMessage="1" xr:uid="{3EE0153B-5DD7-4BC9-8EA7-D3486E67A360}">
          <x14:formula1>
            <xm:f>GENERAL!$D$6:$D$7</xm:f>
          </x14:formula1>
          <xm:sqref>R9 P13:R52</xm:sqref>
        </x14:dataValidation>
        <x14:dataValidation type="list" allowBlank="1" showInputMessage="1" showErrorMessage="1" xr:uid="{AB8778AF-3423-4A0F-86F5-EFEED72ADCEA}">
          <x14:formula1>
            <xm:f>GENERAL!$G$6:$G$7</xm:f>
          </x14:formula1>
          <xm:sqref>T58</xm:sqref>
        </x14:dataValidation>
        <x14:dataValidation type="list" allowBlank="1" showInputMessage="1" showErrorMessage="1" xr:uid="{4125FE58-477B-4AE9-8D64-54676D431C3A}">
          <x14:formula1>
            <xm:f>GENERAL!$L$5:$L$10</xm:f>
          </x14:formula1>
          <xm:sqref>M13:M52</xm:sqref>
        </x14:dataValidation>
        <x14:dataValidation type="list" allowBlank="1" showInputMessage="1" showErrorMessage="1" xr:uid="{484172D9-2CDF-44F6-83D7-C5AB130D32A8}">
          <x14:formula1>
            <xm:f>GENERAL!$J$5:$J$13</xm:f>
          </x14:formula1>
          <xm:sqref>D13:D52</xm:sqref>
        </x14:dataValidation>
        <x14:dataValidation type="list" allowBlank="1" showInputMessage="1" showErrorMessage="1" xr:uid="{F094D5FE-826C-4801-A8F5-FAA055B02B70}">
          <x14:formula1>
            <xm:f>GENERAL!$O$6:$O$7</xm:f>
          </x14:formula1>
          <xm:sqref>W3</xm:sqref>
        </x14:dataValidation>
        <x14:dataValidation type="list" allowBlank="1" showInputMessage="1" showErrorMessage="1" xr:uid="{02BFFFD6-283F-442A-AFB2-71AA22470979}">
          <x14:formula1>
            <xm:f>GENERAL!$H$5:$H$11</xm:f>
          </x14:formula1>
          <xm:sqref>K13:K52</xm:sqref>
        </x14:dataValidation>
        <x14:dataValidation type="list" allowBlank="1" showInputMessage="1" showErrorMessage="1" xr:uid="{5FE526CA-C758-4187-BAA5-CE36D1BB2E21}">
          <x14:formula1>
            <xm:f>GENERAL!$N$5:$N$9</xm:f>
          </x14:formula1>
          <xm:sqref>N13:N52</xm:sqref>
        </x14:dataValidation>
        <x14:dataValidation type="list" allowBlank="1" showInputMessage="1" showErrorMessage="1" xr:uid="{6F759323-1DC0-4BFE-829D-41F1EAEA758D}">
          <x14:formula1>
            <xm:f>GENERAL!$P$5:$P$7</xm:f>
          </x14:formula1>
          <xm:sqref>F13:F52</xm:sqref>
        </x14:dataValidation>
        <x14:dataValidation type="list" allowBlank="1" showInputMessage="1" showErrorMessage="1" xr:uid="{965F198C-4BC7-461A-9EB1-4BED5CCA8E49}">
          <x14:formula1>
            <xm:f>GENERAL!$B$22:$B$24</xm:f>
          </x14:formula1>
          <xm:sqref>Z13:Z52</xm:sqref>
        </x14:dataValidation>
        <x14:dataValidation type="list" allowBlank="1" showInputMessage="1" showErrorMessage="1" xr:uid="{418DE303-FF59-4542-AE05-0E2A47822F06}">
          <x14:formula1>
            <xm:f>GENERAL!$P$6:$P$7</xm:f>
          </x14:formula1>
          <xm:sqref>R64</xm:sqref>
        </x14:dataValidation>
        <x14:dataValidation type="list" allowBlank="1" showInputMessage="1" showErrorMessage="1" xr:uid="{5FF98A3C-01DE-4EAE-BABD-A545A2527325}">
          <x14:formula1>
            <xm:f>IF(D20=GENERAL!$J$6,GENERAL!$B$5:$B$14,IF(D20=GENERAL!$J$7,GENERAL!$B$5:$B$6,IF(D20=GENERAL!$J$8,GENERAL!$B$5:$B$13,IF(D20=GENERAL!$J$9,GENERAL!$B$5:$B$8,IF(D20=GENERAL!$J$10,GENERAL!$B$5:$B$6,"")))))</xm:f>
          </x14:formula1>
          <xm:sqref>E20:E52</xm:sqref>
        </x14:dataValidation>
        <x14:dataValidation type="list" allowBlank="1" showInputMessage="1" showErrorMessage="1" xr:uid="{C47753F8-AEEC-49CF-A1CF-BD2AD805E166}">
          <x14:formula1>
            <xm:f>IF(D12=GENERAL!$J$6,GENERAL!$B$5:$B$14,IF(D12=GENERAL!$J$7,GENERAL!$B$5:$B$6,IF(D12=GENERAL!$J$8,GENERAL!$B$5:$B$13,IF(D12=GENERAL!$J$9,GENERAL!$B$5:$B$8,IF(D12=GENERAL!$J$10,GENERAL!$B$5:$B$6,"")))))</xm:f>
          </x14:formula1>
          <xm:sqref>E13:E19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62</v>
      </c>
      <c r="Y7" s="7">
        <f>'CALCULATOR SHEET'!J13</f>
        <v>40</v>
      </c>
      <c r="Z7" s="7">
        <f>IF(X7=0,"",MATCH(CEILING(X7,6),$C$7:$R$7,0))</f>
        <v>8</v>
      </c>
      <c r="AA7" s="7">
        <f>IF(Y7=0,"",MATCH(CEILING(Y7,6),$B$10:$B$26,0))</f>
        <v>4</v>
      </c>
      <c r="AB7" s="146">
        <f>IF(Z7="","",INDEX($C$10:$R$26,AA7,Z7))</f>
        <v>252</v>
      </c>
    </row>
    <row r="8" spans="2:28" ht="15.75">
      <c r="U8" s="384"/>
      <c r="V8" s="147"/>
      <c r="W8" s="1">
        <f>+W7+1</f>
        <v>2</v>
      </c>
      <c r="X8" s="7">
        <f>'CALCULATOR SHEET'!I14</f>
        <v>52</v>
      </c>
      <c r="Y8" s="7">
        <f>'CALCULATOR SHEET'!J14</f>
        <v>40</v>
      </c>
      <c r="Z8" s="7">
        <f t="shared" ref="Z8:Z71" si="0">IF(X8=0,"",MATCH(CEILING(X8,6),$C$7:$R$7,0))</f>
        <v>6</v>
      </c>
      <c r="AA8" s="7">
        <f t="shared" ref="AA8:AA71" si="1">IF(Y8=0,"",MATCH(CEILING(Y8,6),$B$10:$B$26,0))</f>
        <v>4</v>
      </c>
      <c r="AB8" s="146">
        <f t="shared" ref="AB8:AB71" si="2">IF(Z8="","",INDEX($C$10:$R$26,AA8,Z8))</f>
        <v>176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75</v>
      </c>
      <c r="Y9" s="7">
        <f>'CALCULATOR SHEET'!J15</f>
        <v>40</v>
      </c>
      <c r="Z9" s="7">
        <f t="shared" si="0"/>
        <v>10</v>
      </c>
      <c r="AA9" s="7">
        <f t="shared" si="1"/>
        <v>4</v>
      </c>
      <c r="AB9" s="146">
        <f t="shared" si="2"/>
        <v>277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52</v>
      </c>
      <c r="Y10" s="7">
        <f>'CALCULATOR SHEET'!J16</f>
        <v>40</v>
      </c>
      <c r="Z10" s="7">
        <f t="shared" si="0"/>
        <v>6</v>
      </c>
      <c r="AA10" s="7">
        <f t="shared" si="1"/>
        <v>4</v>
      </c>
      <c r="AB10" s="146">
        <f t="shared" si="2"/>
        <v>176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52</v>
      </c>
      <c r="Y11" s="7">
        <f>'CALCULATOR SHEET'!J17</f>
        <v>40</v>
      </c>
      <c r="Z11" s="7">
        <f t="shared" si="0"/>
        <v>6</v>
      </c>
      <c r="AA11" s="7">
        <f t="shared" si="1"/>
        <v>4</v>
      </c>
      <c r="AB11" s="146">
        <f t="shared" si="2"/>
        <v>176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62</v>
      </c>
      <c r="Y12" s="7">
        <f>'CALCULATOR SHEET'!J18</f>
        <v>40</v>
      </c>
      <c r="Z12" s="7">
        <f t="shared" si="0"/>
        <v>8</v>
      </c>
      <c r="AA12" s="7">
        <f t="shared" si="1"/>
        <v>4</v>
      </c>
      <c r="AB12" s="146">
        <f t="shared" si="2"/>
        <v>252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52</v>
      </c>
      <c r="Y13" s="7">
        <f>'CALCULATOR SHEET'!J19</f>
        <v>40</v>
      </c>
      <c r="Z13" s="7">
        <f t="shared" si="0"/>
        <v>6</v>
      </c>
      <c r="AA13" s="7">
        <f t="shared" si="1"/>
        <v>4</v>
      </c>
      <c r="AB13" s="146">
        <f t="shared" si="2"/>
        <v>176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286</v>
      </c>
    </row>
    <row r="8" spans="2:27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192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310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192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192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286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192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276</v>
      </c>
    </row>
    <row r="8" spans="2:27" ht="15" customHeight="1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185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299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185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185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276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185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359</v>
      </c>
    </row>
    <row r="8" spans="2:27" ht="15" customHeight="1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229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383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229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229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359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229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376</v>
      </c>
    </row>
    <row r="8" spans="2:27" ht="15" customHeight="1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238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400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238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238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376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238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62</v>
      </c>
      <c r="X7" s="7">
        <f>'CALCULATOR SHEET'!J13</f>
        <v>40</v>
      </c>
      <c r="Y7" s="7">
        <f>IF(W7=0,"",MATCH(CEILING(W7,6),$C$7:$Q$7,0))</f>
        <v>8</v>
      </c>
      <c r="Z7" s="7">
        <f>IF(X7=0,"",MATCH(CEILING(X7,6),$B$10:$B$26,0))</f>
        <v>4</v>
      </c>
      <c r="AA7" s="146">
        <f>IF(Y7="","",INDEX($C$10:$Q$26,Z7,Y7))</f>
        <v>367</v>
      </c>
    </row>
    <row r="8" spans="2:27" ht="15" customHeight="1">
      <c r="T8" s="384"/>
      <c r="V8" s="1">
        <f>+V7+1</f>
        <v>2</v>
      </c>
      <c r="W8" s="7">
        <f>'CALCULATOR SHEET'!I14</f>
        <v>52</v>
      </c>
      <c r="X8" s="7">
        <f>'CALCULATOR SHEET'!J14</f>
        <v>40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225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75</v>
      </c>
      <c r="X9" s="7">
        <f>'CALCULATOR SHEET'!J15</f>
        <v>40</v>
      </c>
      <c r="Y9" s="7">
        <f t="shared" si="1"/>
        <v>10</v>
      </c>
      <c r="Z9" s="7">
        <f t="shared" si="2"/>
        <v>4</v>
      </c>
      <c r="AA9" s="146">
        <f t="shared" si="3"/>
        <v>387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52</v>
      </c>
      <c r="X10" s="7">
        <f>'CALCULATOR SHEET'!J16</f>
        <v>40</v>
      </c>
      <c r="Y10" s="7">
        <f t="shared" si="1"/>
        <v>6</v>
      </c>
      <c r="Z10" s="7">
        <f t="shared" si="2"/>
        <v>4</v>
      </c>
      <c r="AA10" s="146">
        <f t="shared" si="3"/>
        <v>225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52</v>
      </c>
      <c r="X11" s="7">
        <f>'CALCULATOR SHEET'!J17</f>
        <v>40</v>
      </c>
      <c r="Y11" s="7">
        <f t="shared" si="1"/>
        <v>6</v>
      </c>
      <c r="Z11" s="7">
        <f t="shared" si="2"/>
        <v>4</v>
      </c>
      <c r="AA11" s="146">
        <f t="shared" si="3"/>
        <v>225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62</v>
      </c>
      <c r="X12" s="7">
        <f>'CALCULATOR SHEET'!J18</f>
        <v>40</v>
      </c>
      <c r="Y12" s="7">
        <f t="shared" si="1"/>
        <v>8</v>
      </c>
      <c r="Z12" s="7">
        <f t="shared" si="2"/>
        <v>4</v>
      </c>
      <c r="AA12" s="146">
        <f t="shared" si="3"/>
        <v>367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52</v>
      </c>
      <c r="X13" s="7">
        <f>'CALCULATOR SHEET'!J19</f>
        <v>40</v>
      </c>
      <c r="Y13" s="7">
        <f t="shared" si="1"/>
        <v>6</v>
      </c>
      <c r="Z13" s="7">
        <f t="shared" si="2"/>
        <v>4</v>
      </c>
      <c r="AA13" s="146">
        <f t="shared" si="3"/>
        <v>225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62</v>
      </c>
      <c r="Y5" s="7">
        <f ca="1">'PM-ORDER'!P5</f>
        <v>40</v>
      </c>
      <c r="Z5" s="7">
        <f ca="1">IF(X5&lt;&gt;"",MATCH(CEILING(X5,6),$C$4:$S$4,0),"")</f>
        <v>8</v>
      </c>
      <c r="AA5" s="7">
        <f ca="1">IF(X5&lt;&gt;"",MATCH(CEILING(Y5,6),$B$7:$B$26,0),"")</f>
        <v>4</v>
      </c>
      <c r="AB5" s="7"/>
      <c r="AC5" s="7" t="str">
        <f ca="1">IF('PM-ORDER'!G5="ROLLER",INDEX($C$7:$S$26,AA5,Z5),"")</f>
        <v>RL-MAN -BSCH</v>
      </c>
      <c r="AF5" s="7" t="str">
        <f>IF('PM-ORDER'!G5="ZEBRA",INDEX($C$35:$S$54,AA5,Z5),"")</f>
        <v/>
      </c>
      <c r="AG5" s="1" t="str">
        <f ca="1"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52</v>
      </c>
      <c r="Y6" s="7">
        <f ca="1">'PM-ORDER'!P6</f>
        <v>40</v>
      </c>
      <c r="Z6" s="7">
        <f t="shared" ref="Z6:Z44" ca="1" si="0">IF(X6&lt;&gt;"",MATCH(CEILING(X6,6),$C$4:$S$4,0),"")</f>
        <v>6</v>
      </c>
      <c r="AA6" s="7">
        <f t="shared" ref="AA6:AA44" ca="1" si="1">IF(X6&lt;&gt;"",MATCH(CEILING(Y6,6),$B$7:$B$26,0),"")</f>
        <v>4</v>
      </c>
      <c r="AC6" s="7" t="str">
        <f ca="1"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ca="1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75</v>
      </c>
      <c r="Y7" s="7">
        <f ca="1">'PM-ORDER'!P7</f>
        <v>40</v>
      </c>
      <c r="Z7" s="7">
        <f t="shared" ca="1" si="0"/>
        <v>10</v>
      </c>
      <c r="AA7" s="7">
        <f t="shared" ca="1" si="1"/>
        <v>4</v>
      </c>
      <c r="AC7" s="7" t="str">
        <f ca="1">IF('PM-ORDER'!G7="ROLLER",INDEX($C$7:$S$26,AA7,Z7),"")</f>
        <v>RL-MAN-BSMD</v>
      </c>
      <c r="AF7" s="7" t="str">
        <f>IF('PM-ORDER'!G7="ZEBRA",INDEX($C$35:$S$54,AA7,Z7),"")</f>
        <v/>
      </c>
      <c r="AG7" s="1" t="str">
        <f t="shared" ca="1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52</v>
      </c>
      <c r="Y8" s="7">
        <f ca="1">'PM-ORDER'!P8</f>
        <v>40</v>
      </c>
      <c r="Z8" s="7">
        <f t="shared" ca="1" si="0"/>
        <v>6</v>
      </c>
      <c r="AA8" s="7">
        <f t="shared" ca="1" si="1"/>
        <v>4</v>
      </c>
      <c r="AC8" s="7" t="str">
        <f ca="1">IF('PM-ORDER'!G8="ROLLER",INDEX($C$7:$S$26,AA8,Z8),"")</f>
        <v>RL-MAN -BSCH</v>
      </c>
      <c r="AF8" s="7" t="str">
        <f>IF('PM-ORDER'!G8="ZEBRA",INDEX($C$35:$S$54,AA8,Z8),"")</f>
        <v/>
      </c>
      <c r="AG8" s="1" t="str">
        <f t="shared" ca="1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52</v>
      </c>
      <c r="Y9" s="7">
        <f ca="1">'PM-ORDER'!P9</f>
        <v>40</v>
      </c>
      <c r="Z9" s="7">
        <f t="shared" ca="1" si="0"/>
        <v>6</v>
      </c>
      <c r="AA9" s="7">
        <f t="shared" ca="1" si="1"/>
        <v>4</v>
      </c>
      <c r="AC9" s="7" t="str">
        <f ca="1">IF('PM-ORDER'!G9="ROLLER",INDEX($C$7:$S$26,AA9,Z9),"")</f>
        <v>RL-MAN -BSCH</v>
      </c>
      <c r="AF9" s="7" t="str">
        <f>IF('PM-ORDER'!G9="ZEBRA",INDEX($C$35:$S$54,AA9,Z9),"")</f>
        <v/>
      </c>
      <c r="AG9" s="1" t="str">
        <f t="shared" ca="1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 ca="1">'PM-ORDER'!O10</f>
        <v>62</v>
      </c>
      <c r="Y10" s="7">
        <f ca="1">'PM-ORDER'!P10</f>
        <v>40</v>
      </c>
      <c r="Z10" s="7">
        <f t="shared" ca="1" si="0"/>
        <v>8</v>
      </c>
      <c r="AA10" s="7">
        <f t="shared" ca="1" si="1"/>
        <v>4</v>
      </c>
      <c r="AC10" s="7" t="str">
        <f ca="1"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ca="1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 ca="1">'PM-ORDER'!O11</f>
        <v>52</v>
      </c>
      <c r="Y11" s="7">
        <f ca="1">'PM-ORDER'!P11</f>
        <v>40</v>
      </c>
      <c r="Z11" s="7">
        <f t="shared" ca="1" si="0"/>
        <v>6</v>
      </c>
      <c r="AA11" s="7">
        <f t="shared" ca="1" si="1"/>
        <v>4</v>
      </c>
      <c r="AC11" s="7" t="str">
        <f ca="1"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ca="1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45982</v>
      </c>
      <c r="H2" s="222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3"/>
    </row>
    <row r="3" spans="2:41" ht="15" customHeight="1">
      <c r="C3" s="222" t="s">
        <v>160</v>
      </c>
      <c r="G3" s="225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111825EG-2</v>
      </c>
      <c r="D5" s="228">
        <f ca="1">IF('CALCULATOR SHEET'!D13&lt;&gt;"",'CALCULATOR SHEET'!$T$9,"")</f>
        <v>45982</v>
      </c>
      <c r="E5" s="229" t="str">
        <f ca="1">IF(D5&lt;&gt;"","BAJA SHADES","")</f>
        <v>BAJA SHADES</v>
      </c>
      <c r="F5" s="230" t="str">
        <f>IF(C5&lt;&gt;"",'CALCULATOR SHEET'!$D$9,"")</f>
        <v>ABRAHAM PORRAS</v>
      </c>
      <c r="G5" s="230" t="str">
        <f>IF('CALCULATOR SHEET'!D13&lt;&gt;"",'CALCULATOR SHEET'!D13,"")</f>
        <v>ROLLER</v>
      </c>
      <c r="H5" s="230" t="str">
        <f ca="1">IF(Q5="CCL",BOMS!AG5,"")</f>
        <v>RL-MAN -BSCH</v>
      </c>
      <c r="I5" s="229">
        <v>1</v>
      </c>
      <c r="J5" s="230" t="str">
        <f>IF(C5&lt;&gt;"",'CALCULATOR SHEET'!K13,"")</f>
        <v>METAL CHAIN</v>
      </c>
      <c r="K5" s="230" t="str">
        <f>IF(J5=GENERAL!$H$6,GENERAL!$H$6,IF(J5=GENERAL!$H$7,GENERAL!$H$7,IF('PM-ORDER'!J5=GENERAL!$H$8,GENERAL!$H$8,"")))</f>
        <v>METAL CHAIN</v>
      </c>
      <c r="L5" s="230" t="str">
        <f>IF(C5&lt;&gt;"",'CALCULATOR SHEET'!G13,"")</f>
        <v>BO LONGBEACH SILVER</v>
      </c>
      <c r="M5" s="230" t="str">
        <f>IF(C5&lt;&gt;"",'CALCULATOR SHEET'!O13,"")</f>
        <v>STANDARD ROLL</v>
      </c>
      <c r="N5" s="230" t="str">
        <f>IF(C5&lt;&gt;"",'CALCULATOR SHEET'!H13,"")</f>
        <v>A</v>
      </c>
      <c r="O5" s="232">
        <f ca="1">IF(D5&lt;&gt;"",'CALCULATOR SHEET'!I13,"")</f>
        <v>62</v>
      </c>
      <c r="P5" s="232">
        <f ca="1">IF(E5&lt;&gt;"",'CALCULATOR SHEET'!J13,"")</f>
        <v>40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 ca="1">IF(D5&lt;&gt;"",'CALCULATOR SHEET'!N13,"")</f>
        <v>OUTSIDE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FCO. VILLA 2DA SECCION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>BS 111825EG-2</v>
      </c>
      <c r="D6" s="228">
        <f ca="1">IF('CALCULATOR SHEET'!D14&lt;&gt;"",'CALCULATOR SHEET'!$T$9,"")</f>
        <v>45982</v>
      </c>
      <c r="E6" s="229" t="str">
        <f t="shared" ref="E6:E69" ca="1" si="0">IF(D6&lt;&gt;"","BAJA SHADES","")</f>
        <v>BAJA SHADES</v>
      </c>
      <c r="F6" s="230" t="str">
        <f>IF(C6&lt;&gt;"",'CALCULATOR SHEET'!$D$9,"")</f>
        <v>ABRAHAM PORRAS</v>
      </c>
      <c r="G6" s="230" t="str">
        <f>IF('CALCULATOR SHEET'!D14&lt;&gt;"",'CALCULATOR SHEET'!D14,"")</f>
        <v>ROLLER</v>
      </c>
      <c r="H6" s="230" t="str">
        <f ca="1">IF(Q6="CCL",BOMS!AG6,"")</f>
        <v>RL-MAN -BSCH</v>
      </c>
      <c r="I6" s="229">
        <v>1</v>
      </c>
      <c r="J6" s="230" t="str">
        <f>IF(C6&lt;&gt;"",'CALCULATOR SHEET'!K14,"")</f>
        <v>METAL CHAIN</v>
      </c>
      <c r="K6" s="230" t="str">
        <f>IF(J6=GENERAL!$H$6,GENERAL!$H$6,IF(J6=GENERAL!$H$7,GENERAL!$H$7,IF('PM-ORDER'!J6=GENERAL!$H$8,GENERAL!$H$8,"")))</f>
        <v>METAL CHAIN</v>
      </c>
      <c r="L6" s="230" t="str">
        <f>IF(C6&lt;&gt;"",'CALCULATOR SHEET'!G14,"")</f>
        <v>BO LONGBEACH SILVER</v>
      </c>
      <c r="M6" s="230" t="str">
        <f>IF(C6&lt;&gt;"",'CALCULATOR SHEET'!O14,"")</f>
        <v>STANDARD ROLL</v>
      </c>
      <c r="N6" s="230" t="str">
        <f>IF(C6&lt;&gt;"",'CALCULATOR SHEET'!H14,"")</f>
        <v>B</v>
      </c>
      <c r="O6" s="232">
        <f ca="1">IF(D6&lt;&gt;"",'CALCULATOR SHEET'!I14,"")</f>
        <v>52</v>
      </c>
      <c r="P6" s="232">
        <f ca="1">IF(E6&lt;&gt;"",'CALCULATOR SHEET'!J14,"")</f>
        <v>40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R</v>
      </c>
      <c r="S6" s="229" t="str">
        <f ca="1">IF(D6&lt;&gt;"",'CALCULATOR SHEET'!N14,"")</f>
        <v>OUTSIDE</v>
      </c>
      <c r="T6" s="231"/>
      <c r="U6" s="245"/>
      <c r="V6" s="245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>FCO. VILLA 2DA SECCION</v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>BS 111825EG-2</v>
      </c>
      <c r="D7" s="228">
        <f ca="1">IF('CALCULATOR SHEET'!D15&lt;&gt;"",'CALCULATOR SHEET'!$T$9,"")</f>
        <v>45982</v>
      </c>
      <c r="E7" s="229" t="str">
        <f t="shared" ca="1" si="0"/>
        <v>BAJA SHADES</v>
      </c>
      <c r="F7" s="230" t="str">
        <f>IF(C7&lt;&gt;"",'CALCULATOR SHEET'!$D$9,"")</f>
        <v>ABRAHAM PORRAS</v>
      </c>
      <c r="G7" s="230" t="str">
        <f>IF('CALCULATOR SHEET'!D15&lt;&gt;"",'CALCULATOR SHEET'!D15,"")</f>
        <v>ROLLER</v>
      </c>
      <c r="H7" s="230" t="str">
        <f ca="1">IF(Q7="CCL",BOMS!AG7,"")</f>
        <v>RL-MAN-BSMD</v>
      </c>
      <c r="I7" s="229">
        <v>1</v>
      </c>
      <c r="J7" s="230" t="str">
        <f>IF(C7&lt;&gt;"",'CALCULATOR SHEET'!K15,"")</f>
        <v>METAL CHAIN</v>
      </c>
      <c r="K7" s="230" t="str">
        <f>IF(J7=GENERAL!$H$6,GENERAL!$H$6,IF(J7=GENERAL!$H$7,GENERAL!$H$7,IF('PM-ORDER'!J7=GENERAL!$H$8,GENERAL!$H$8,"")))</f>
        <v>METAL CHAIN</v>
      </c>
      <c r="L7" s="230" t="str">
        <f>IF(C7&lt;&gt;"",'CALCULATOR SHEET'!G15,"")</f>
        <v>BO LONGBEACH SILVER</v>
      </c>
      <c r="M7" s="230" t="str">
        <f>IF(C7&lt;&gt;"",'CALCULATOR SHEET'!O15,"")</f>
        <v>STANDARD ROLL</v>
      </c>
      <c r="N7" s="230" t="str">
        <f>IF(C7&lt;&gt;"",'CALCULATOR SHEET'!H15,"")</f>
        <v>C</v>
      </c>
      <c r="O7" s="232">
        <f ca="1">IF(D7&lt;&gt;"",'CALCULATOR SHEET'!I15,"")</f>
        <v>75</v>
      </c>
      <c r="P7" s="232">
        <f ca="1">IF(E7&lt;&gt;"",'CALCULATOR SHEET'!J15,"")</f>
        <v>40</v>
      </c>
      <c r="Q7" s="229" t="str">
        <f>IF('CALCULATOR SHEET'!K15=GENERAL!$H$9,GENERAL!$H$9,IF(OR('CALCULATOR SHEET'!K15=GENERAL!$H$6,'CALCULATOR SHEET'!K15=GENERAL!$H$7,'CALCULATOR SHEET'!K15=GENERAL!$H$8),"CCL",""))</f>
        <v>CCL</v>
      </c>
      <c r="R7" s="229" t="str">
        <f>IF(C7&lt;&gt;"",'CALCULATOR SHEET'!M15,"")</f>
        <v>L</v>
      </c>
      <c r="S7" s="229" t="str">
        <f ca="1">IF(D7&lt;&gt;"",'CALCULATOR SHEET'!N15,"")</f>
        <v>OUTSIDE</v>
      </c>
      <c r="T7" s="231"/>
      <c r="U7" s="245"/>
      <c r="V7" s="245"/>
      <c r="W7" s="229" t="str">
        <f>IF(C7&lt;&gt;"",'CALCULATOR SHEET'!R15,"")</f>
        <v>NO</v>
      </c>
      <c r="X7" s="229"/>
      <c r="Y7" s="229">
        <v>1</v>
      </c>
      <c r="Z7" s="231"/>
      <c r="AA7" s="231" t="str">
        <f>IF(C7&lt;&gt;"",'CALCULATOR SHEET'!$H$9,"")</f>
        <v>FCO. VILLA 2DA SECCION</v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>BS 111825EG-2</v>
      </c>
      <c r="D8" s="228">
        <f ca="1">IF('CALCULATOR SHEET'!D16&lt;&gt;"",'CALCULATOR SHEET'!$T$9,"")</f>
        <v>45982</v>
      </c>
      <c r="E8" s="229" t="str">
        <f t="shared" ca="1" si="0"/>
        <v>BAJA SHADES</v>
      </c>
      <c r="F8" s="230" t="str">
        <f>IF(C8&lt;&gt;"",'CALCULATOR SHEET'!$D$9,"")</f>
        <v>ABRAHAM PORRAS</v>
      </c>
      <c r="G8" s="230" t="str">
        <f>IF('CALCULATOR SHEET'!D16&lt;&gt;"",'CALCULATOR SHEET'!D16,"")</f>
        <v>ROLLER</v>
      </c>
      <c r="H8" s="230" t="str">
        <f ca="1">IF(Q8="CCL",BOMS!AG8,"")</f>
        <v>RL-MAN -BSCH</v>
      </c>
      <c r="I8" s="229">
        <v>1</v>
      </c>
      <c r="J8" s="230" t="str">
        <f>IF(C8&lt;&gt;"",'CALCULATOR SHEET'!K16,"")</f>
        <v>METAL CHAIN</v>
      </c>
      <c r="K8" s="230" t="str">
        <f>IF(J8=GENERAL!$H$6,GENERAL!$H$6,IF(J8=GENERAL!$H$7,GENERAL!$H$7,IF('PM-ORDER'!J8=GENERAL!$H$8,GENERAL!$H$8,"")))</f>
        <v>METAL CHAIN</v>
      </c>
      <c r="L8" s="230" t="str">
        <f>IF(C8&lt;&gt;"",'CALCULATOR SHEET'!G16,"")</f>
        <v>BO LONGBEACH SILVER</v>
      </c>
      <c r="M8" s="230" t="str">
        <f>IF(C8&lt;&gt;"",'CALCULATOR SHEET'!O16,"")</f>
        <v>STANDARD ROLL</v>
      </c>
      <c r="N8" s="230" t="str">
        <f>IF(C8&lt;&gt;"",'CALCULATOR SHEET'!H16,"")</f>
        <v>D</v>
      </c>
      <c r="O8" s="232">
        <f ca="1">IF(D8&lt;&gt;"",'CALCULATOR SHEET'!I16,"")</f>
        <v>52</v>
      </c>
      <c r="P8" s="232">
        <f ca="1">IF(E8&lt;&gt;"",'CALCULATOR SHEET'!J16,"")</f>
        <v>40</v>
      </c>
      <c r="Q8" s="229" t="str">
        <f>IF('CALCULATOR SHEET'!K16=GENERAL!$H$9,GENERAL!$H$9,IF(OR('CALCULATOR SHEET'!K16=GENERAL!$H$6,'CALCULATOR SHEET'!K16=GENERAL!$H$7,'CALCULATOR SHEET'!K16=GENERAL!$H$8),"CCL",""))</f>
        <v>CCL</v>
      </c>
      <c r="R8" s="229" t="str">
        <f>IF(C8&lt;&gt;"",'CALCULATOR SHEET'!M16,"")</f>
        <v>R</v>
      </c>
      <c r="S8" s="229" t="str">
        <f ca="1">IF(D8&lt;&gt;"",'CALCULATOR SHEET'!N16,"")</f>
        <v>OUTSIDE</v>
      </c>
      <c r="T8" s="231"/>
      <c r="U8" s="245"/>
      <c r="V8" s="245"/>
      <c r="W8" s="229" t="str">
        <f>IF(C8&lt;&gt;"",'CALCULATOR SHEET'!R16,"")</f>
        <v>NO</v>
      </c>
      <c r="X8" s="229"/>
      <c r="Y8" s="229">
        <v>1</v>
      </c>
      <c r="Z8" s="231"/>
      <c r="AA8" s="231" t="str">
        <f>IF(C8&lt;&gt;"",'CALCULATOR SHEET'!$H$9,"")</f>
        <v>FCO. VILLA 2DA SECCION</v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>BS 111825EG-2</v>
      </c>
      <c r="D9" s="228">
        <f ca="1">IF('CALCULATOR SHEET'!D17&lt;&gt;"",'CALCULATOR SHEET'!$T$9,"")</f>
        <v>45982</v>
      </c>
      <c r="E9" s="229" t="str">
        <f t="shared" ca="1" si="0"/>
        <v>BAJA SHADES</v>
      </c>
      <c r="F9" s="230" t="str">
        <f>IF(C9&lt;&gt;"",'CALCULATOR SHEET'!$D$9,"")</f>
        <v>ABRAHAM PORRAS</v>
      </c>
      <c r="G9" s="230" t="str">
        <f>IF('CALCULATOR SHEET'!D17&lt;&gt;"",'CALCULATOR SHEET'!D17,"")</f>
        <v>ROLLER</v>
      </c>
      <c r="H9" s="230" t="str">
        <f ca="1">IF(Q9="CCL",BOMS!AG9,"")</f>
        <v>RL-MAN -BSCH</v>
      </c>
      <c r="I9" s="229">
        <v>1</v>
      </c>
      <c r="J9" s="230" t="str">
        <f>IF(C9&lt;&gt;"",'CALCULATOR SHEET'!K17,"")</f>
        <v>METAL CHAIN</v>
      </c>
      <c r="K9" s="230" t="str">
        <f>IF(J9=GENERAL!$H$6,GENERAL!$H$6,IF(J9=GENERAL!$H$7,GENERAL!$H$7,IF('PM-ORDER'!J9=GENERAL!$H$8,GENERAL!$H$8,"")))</f>
        <v>METAL CHAIN</v>
      </c>
      <c r="L9" s="230" t="str">
        <f>IF(C9&lt;&gt;"",'CALCULATOR SHEET'!G17,"")</f>
        <v>BO LONGBEACH SILVER</v>
      </c>
      <c r="M9" s="230" t="str">
        <f>IF(C9&lt;&gt;"",'CALCULATOR SHEET'!O17,"")</f>
        <v>STANDARD ROLL</v>
      </c>
      <c r="N9" s="230" t="str">
        <f>IF(C9&lt;&gt;"",'CALCULATOR SHEET'!H17,"")</f>
        <v>E</v>
      </c>
      <c r="O9" s="232">
        <f ca="1">IF(D9&lt;&gt;"",'CALCULATOR SHEET'!I17,"")</f>
        <v>52</v>
      </c>
      <c r="P9" s="232">
        <f ca="1">IF(E9&lt;&gt;"",'CALCULATOR SHEET'!J17,"")</f>
        <v>40</v>
      </c>
      <c r="Q9" s="229" t="str">
        <f>IF('CALCULATOR SHEET'!K17=GENERAL!$H$9,GENERAL!$H$9,IF(OR('CALCULATOR SHEET'!K17=GENERAL!$H$6,'CALCULATOR SHEET'!K17=GENERAL!$H$7,'CALCULATOR SHEET'!K17=GENERAL!$H$8),"CCL",""))</f>
        <v>CCL</v>
      </c>
      <c r="R9" s="229" t="str">
        <f>IF(C9&lt;&gt;"",'CALCULATOR SHEET'!M17,"")</f>
        <v>L</v>
      </c>
      <c r="S9" s="229" t="str">
        <f ca="1">IF(D9&lt;&gt;"",'CALCULATOR SHEET'!N17,"")</f>
        <v>OUTSIDE</v>
      </c>
      <c r="T9" s="231"/>
      <c r="U9" s="245"/>
      <c r="V9" s="245"/>
      <c r="W9" s="229" t="str">
        <f>IF(C9&lt;&gt;"",'CALCULATOR SHEET'!R17,"")</f>
        <v>NO</v>
      </c>
      <c r="X9" s="229"/>
      <c r="Y9" s="229">
        <v>1</v>
      </c>
      <c r="Z9" s="231"/>
      <c r="AA9" s="231" t="str">
        <f>IF(C9&lt;&gt;"",'CALCULATOR SHEET'!$H$9,"")</f>
        <v>FCO. VILLA 2DA SECCION</v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>BS 111825EG-2</v>
      </c>
      <c r="D10" s="228">
        <f ca="1">IF('CALCULATOR SHEET'!D18&lt;&gt;"",'CALCULATOR SHEET'!$T$9,"")</f>
        <v>45982</v>
      </c>
      <c r="E10" s="229" t="str">
        <f t="shared" ca="1" si="0"/>
        <v>BAJA SHADES</v>
      </c>
      <c r="F10" s="230" t="str">
        <f>IF(C10&lt;&gt;"",'CALCULATOR SHEET'!$D$9,"")</f>
        <v>ABRAHAM PORRAS</v>
      </c>
      <c r="G10" s="230" t="str">
        <f>IF('CALCULATOR SHEET'!D18&lt;&gt;"",'CALCULATOR SHEET'!D18,"")</f>
        <v>ROLLER</v>
      </c>
      <c r="H10" s="230" t="str">
        <f ca="1">IF(Q10="CCL",BOMS!AG10,"")</f>
        <v>RL-MAN -BSCH</v>
      </c>
      <c r="I10" s="229">
        <v>1</v>
      </c>
      <c r="J10" s="230" t="str">
        <f>IF(C10&lt;&gt;"",'CALCULATOR SHEET'!K18,"")</f>
        <v>METAL CHAIN</v>
      </c>
      <c r="K10" s="230" t="str">
        <f>IF(J10=GENERAL!$H$6,GENERAL!$H$6,IF(J10=GENERAL!$H$7,GENERAL!$H$7,IF('PM-ORDER'!J10=GENERAL!$H$8,GENERAL!$H$8,"")))</f>
        <v>METAL CHAIN</v>
      </c>
      <c r="L10" s="230" t="str">
        <f>IF(C10&lt;&gt;"",'CALCULATOR SHEET'!G18,"")</f>
        <v>BO LONGBEACH SILVER</v>
      </c>
      <c r="M10" s="230" t="str">
        <f>IF(C10&lt;&gt;"",'CALCULATOR SHEET'!O18,"")</f>
        <v>STANDARD ROLL</v>
      </c>
      <c r="N10" s="230" t="str">
        <f>IF(C10&lt;&gt;"",'CALCULATOR SHEET'!H18,"")</f>
        <v>F</v>
      </c>
      <c r="O10" s="232">
        <f ca="1">IF(D10&lt;&gt;"",'CALCULATOR SHEET'!I18,"")</f>
        <v>62</v>
      </c>
      <c r="P10" s="232">
        <f ca="1">IF(E10&lt;&gt;"",'CALCULATOR SHEET'!J18,"")</f>
        <v>40</v>
      </c>
      <c r="Q10" s="229" t="str">
        <f>IF('CALCULATOR SHEET'!K18=GENERAL!$H$9,GENERAL!$H$9,IF(OR('CALCULATOR SHEET'!K18=GENERAL!$H$6,'CALCULATOR SHEET'!K18=GENERAL!$H$7,'CALCULATOR SHEET'!K18=GENERAL!$H$8),"CCL",""))</f>
        <v>CCL</v>
      </c>
      <c r="R10" s="229" t="str">
        <f>IF(C10&lt;&gt;"",'CALCULATOR SHEET'!M18,"")</f>
        <v>R</v>
      </c>
      <c r="S10" s="229" t="str">
        <f ca="1">IF(D10&lt;&gt;"",'CALCULATOR SHEET'!N18,"")</f>
        <v>OUTSIDE</v>
      </c>
      <c r="T10" s="231"/>
      <c r="U10" s="245"/>
      <c r="V10" s="245"/>
      <c r="W10" s="229" t="str">
        <f>IF(C10&lt;&gt;"",'CALCULATOR SHEET'!R18,"")</f>
        <v>NO</v>
      </c>
      <c r="X10" s="229"/>
      <c r="Y10" s="229">
        <v>1</v>
      </c>
      <c r="Z10" s="231"/>
      <c r="AA10" s="231" t="str">
        <f>IF(C10&lt;&gt;"",'CALCULATOR SHEET'!$H$9,"")</f>
        <v>FCO. VILLA 2DA SECCION</v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>BS 111825EG-2</v>
      </c>
      <c r="D11" s="228">
        <f ca="1">IF('CALCULATOR SHEET'!D19&lt;&gt;"",'CALCULATOR SHEET'!$T$9,"")</f>
        <v>45982</v>
      </c>
      <c r="E11" s="229" t="str">
        <f t="shared" ca="1" si="0"/>
        <v>BAJA SHADES</v>
      </c>
      <c r="F11" s="230" t="str">
        <f>IF(C11&lt;&gt;"",'CALCULATOR SHEET'!$D$9,"")</f>
        <v>ABRAHAM PORRAS</v>
      </c>
      <c r="G11" s="230" t="str">
        <f>IF('CALCULATOR SHEET'!D19&lt;&gt;"",'CALCULATOR SHEET'!D19,"")</f>
        <v>ROLLER</v>
      </c>
      <c r="H11" s="230" t="str">
        <f ca="1">IF(Q11="CCL",BOMS!AG11,"")</f>
        <v>RL-MAN -BSCH</v>
      </c>
      <c r="I11" s="229">
        <v>1</v>
      </c>
      <c r="J11" s="230" t="str">
        <f>IF(C11&lt;&gt;"",'CALCULATOR SHEET'!K19,"")</f>
        <v>METAL CHAIN</v>
      </c>
      <c r="K11" s="230" t="str">
        <f>IF(J11=GENERAL!$H$6,GENERAL!$H$6,IF(J11=GENERAL!$H$7,GENERAL!$H$7,IF('PM-ORDER'!J11=GENERAL!$H$8,GENERAL!$H$8,"")))</f>
        <v>METAL CHAIN</v>
      </c>
      <c r="L11" s="230" t="str">
        <f>IF(C11&lt;&gt;"",'CALCULATOR SHEET'!G19,"")</f>
        <v>BO LONGBEACH SILVER</v>
      </c>
      <c r="M11" s="230" t="str">
        <f>IF(C11&lt;&gt;"",'CALCULATOR SHEET'!O19,"")</f>
        <v>STANDARD ROLL</v>
      </c>
      <c r="N11" s="230" t="str">
        <f>IF(C11&lt;&gt;"",'CALCULATOR SHEET'!H19,"")</f>
        <v>G</v>
      </c>
      <c r="O11" s="232">
        <f ca="1">IF(D11&lt;&gt;"",'CALCULATOR SHEET'!I19,"")</f>
        <v>52</v>
      </c>
      <c r="P11" s="232">
        <f ca="1">IF(E11&lt;&gt;"",'CALCULATOR SHEET'!J19,"")</f>
        <v>40</v>
      </c>
      <c r="Q11" s="229" t="str">
        <f>IF('CALCULATOR SHEET'!K19=GENERAL!$H$9,GENERAL!$H$9,IF(OR('CALCULATOR SHEET'!K19=GENERAL!$H$6,'CALCULATOR SHEET'!K19=GENERAL!$H$7,'CALCULATOR SHEET'!K19=GENERAL!$H$8),"CCL",""))</f>
        <v>CCL</v>
      </c>
      <c r="R11" s="229" t="str">
        <f>IF(C11&lt;&gt;"",'CALCULATOR SHEET'!M19,"")</f>
        <v>L</v>
      </c>
      <c r="S11" s="229" t="str">
        <f ca="1">IF(D11&lt;&gt;"",'CALCULATOR SHEET'!N19,"")</f>
        <v>OUTSIDE</v>
      </c>
      <c r="T11" s="231"/>
      <c r="U11" s="245"/>
      <c r="V11" s="245"/>
      <c r="W11" s="229" t="str">
        <f>IF(C11&lt;&gt;"",'CALCULATOR SHEET'!R19,"")</f>
        <v>NO</v>
      </c>
      <c r="X11" s="229"/>
      <c r="Y11" s="229">
        <v>1</v>
      </c>
      <c r="Z11" s="231"/>
      <c r="AA11" s="231" t="str">
        <f>IF(C11&lt;&gt;"",'CALCULATOR SHEET'!$H$9,"")</f>
        <v>FCO. VILLA 2DA SECCION</v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62</v>
      </c>
      <c r="AK7" s="36">
        <f>'CALCULATOR SHEET'!J13</f>
        <v>40</v>
      </c>
      <c r="AL7" s="36">
        <f>IF(AJ7=0,"",MATCH(CEILING(AJ7,6),$D$4:$Z$4,0))</f>
        <v>8</v>
      </c>
      <c r="AM7" s="36">
        <f>IF(AK7=0,"",MATCH(CEILING(AK7,6),$C$7:$C$28,0))</f>
        <v>4</v>
      </c>
      <c r="AN7" s="57">
        <f>IF(AL7="","",INDEX($D$7:$Z$28,AM7,AL7))</f>
        <v>111</v>
      </c>
      <c r="AO7" s="58"/>
      <c r="AP7" s="57">
        <f>IF(AJ7&gt;0,HLOOKUP(CEILING(AJ7,6),$D$30:$Z$31,2,0),"")</f>
        <v>71</v>
      </c>
      <c r="AQ7" s="57">
        <f>IF(AJ7&gt;0,HLOOKUP(CEILING(AJ7,6),$D$33:$Z$34,2,0),"")</f>
        <v>76</v>
      </c>
      <c r="AR7" s="59">
        <f>IF(AJ7&gt;0,HLOOKUP(CEILING(AJ7,6),$D$36:$Z$37,2,0))</f>
        <v>41</v>
      </c>
      <c r="AS7" s="57">
        <f>IF(AL7="","",INDEX($AX$6:$BT$27,AM7,AL7))</f>
        <v>471</v>
      </c>
      <c r="AT7" s="37">
        <f>IF(AK7&gt;0,VLOOKUP(CEILING(AK7,6),$AA$7:$AB$28,2,0),"")</f>
        <v>35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52</v>
      </c>
      <c r="AK8" s="36">
        <f>'CALCULATOR SHEET'!J14</f>
        <v>40</v>
      </c>
      <c r="AL8" s="36">
        <f t="shared" ref="AL8:AL71" si="0">IF(AJ8=0,"",MATCH(CEILING(AJ8,6),$D$4:$Z$4,0))</f>
        <v>6</v>
      </c>
      <c r="AM8" s="36">
        <f t="shared" ref="AM8:AM71" si="1">IF(AK8=0,"",MATCH(CEILING(AK8,6),$C$7:$C$28,0))</f>
        <v>4</v>
      </c>
      <c r="AN8" s="57">
        <f t="shared" ref="AN8:AN71" si="2">IF(AL8="","",INDEX($D$7:$Z$28,AM8,AL8))</f>
        <v>99</v>
      </c>
      <c r="AO8" s="58"/>
      <c r="AP8" s="57">
        <f t="shared" ref="AP8:AP71" si="3">IF(AJ8&gt;0,HLOOKUP(CEILING(AJ8,6),$D$30:$Z$31,2,0),"")</f>
        <v>65</v>
      </c>
      <c r="AQ8" s="57">
        <f t="shared" ref="AQ8:AQ71" si="4">IF(AJ8&gt;0,HLOOKUP(CEILING(AJ8,6),$D$33:$Z$34,2,0),"")</f>
        <v>65</v>
      </c>
      <c r="AR8" s="59">
        <f t="shared" ref="AR8:AR71" si="5">IF(AJ8&gt;0,HLOOKUP(CEILING(AJ8,6),$D$36:$Z$37,2,0))</f>
        <v>33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35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75</v>
      </c>
      <c r="AK9" s="36">
        <f>'CALCULATOR SHEET'!J15</f>
        <v>40</v>
      </c>
      <c r="AL9" s="36">
        <f t="shared" si="0"/>
        <v>10</v>
      </c>
      <c r="AM9" s="36">
        <f t="shared" si="1"/>
        <v>4</v>
      </c>
      <c r="AN9" s="57">
        <f t="shared" si="2"/>
        <v>139</v>
      </c>
      <c r="AO9" s="58"/>
      <c r="AP9" s="57">
        <f t="shared" si="3"/>
        <v>77</v>
      </c>
      <c r="AQ9" s="57">
        <f t="shared" si="4"/>
        <v>90</v>
      </c>
      <c r="AR9" s="59">
        <f t="shared" si="5"/>
        <v>48</v>
      </c>
      <c r="AS9" s="57">
        <f t="shared" si="6"/>
        <v>471</v>
      </c>
      <c r="AT9" s="37">
        <f t="shared" si="7"/>
        <v>35</v>
      </c>
      <c r="AU9" s="109">
        <f t="shared" si="8"/>
        <v>7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52</v>
      </c>
      <c r="AK10" s="36">
        <f>'CALCULATOR SHEET'!J16</f>
        <v>40</v>
      </c>
      <c r="AL10" s="36">
        <f t="shared" si="0"/>
        <v>6</v>
      </c>
      <c r="AM10" s="36">
        <f t="shared" si="1"/>
        <v>4</v>
      </c>
      <c r="AN10" s="57">
        <f t="shared" si="2"/>
        <v>99</v>
      </c>
      <c r="AO10" s="58"/>
      <c r="AP10" s="57">
        <f t="shared" si="3"/>
        <v>65</v>
      </c>
      <c r="AQ10" s="57">
        <f t="shared" si="4"/>
        <v>65</v>
      </c>
      <c r="AR10" s="59">
        <f t="shared" si="5"/>
        <v>33</v>
      </c>
      <c r="AS10" s="57">
        <f t="shared" si="6"/>
        <v>471</v>
      </c>
      <c r="AT10" s="37">
        <f t="shared" si="7"/>
        <v>35</v>
      </c>
      <c r="AU10" s="109">
        <f t="shared" si="8"/>
        <v>7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52</v>
      </c>
      <c r="AK11" s="36">
        <f>'CALCULATOR SHEET'!J17</f>
        <v>40</v>
      </c>
      <c r="AL11" s="36">
        <f t="shared" si="0"/>
        <v>6</v>
      </c>
      <c r="AM11" s="36">
        <f t="shared" si="1"/>
        <v>4</v>
      </c>
      <c r="AN11" s="57">
        <f t="shared" si="2"/>
        <v>99</v>
      </c>
      <c r="AO11" s="58"/>
      <c r="AP11" s="57">
        <f t="shared" si="3"/>
        <v>65</v>
      </c>
      <c r="AQ11" s="57">
        <f t="shared" si="4"/>
        <v>65</v>
      </c>
      <c r="AR11" s="59">
        <f t="shared" si="5"/>
        <v>33</v>
      </c>
      <c r="AS11" s="57">
        <f t="shared" si="6"/>
        <v>471</v>
      </c>
      <c r="AT11" s="37">
        <f t="shared" si="7"/>
        <v>35</v>
      </c>
      <c r="AU11" s="109">
        <f t="shared" si="8"/>
        <v>7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62</v>
      </c>
      <c r="AK12" s="36">
        <f>'CALCULATOR SHEET'!J18</f>
        <v>40</v>
      </c>
      <c r="AL12" s="36">
        <f t="shared" si="0"/>
        <v>8</v>
      </c>
      <c r="AM12" s="36">
        <f t="shared" si="1"/>
        <v>4</v>
      </c>
      <c r="AN12" s="57">
        <f t="shared" si="2"/>
        <v>111</v>
      </c>
      <c r="AO12" s="58"/>
      <c r="AP12" s="57">
        <f t="shared" si="3"/>
        <v>71</v>
      </c>
      <c r="AQ12" s="57">
        <f t="shared" si="4"/>
        <v>76</v>
      </c>
      <c r="AR12" s="59">
        <f t="shared" si="5"/>
        <v>41</v>
      </c>
      <c r="AS12" s="57">
        <f t="shared" si="6"/>
        <v>471</v>
      </c>
      <c r="AT12" s="37">
        <f t="shared" si="7"/>
        <v>35</v>
      </c>
      <c r="AU12" s="109">
        <f t="shared" si="8"/>
        <v>7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52</v>
      </c>
      <c r="AK13" s="36">
        <f>'CALCULATOR SHEET'!J19</f>
        <v>40</v>
      </c>
      <c r="AL13" s="36">
        <f t="shared" si="0"/>
        <v>6</v>
      </c>
      <c r="AM13" s="36">
        <f t="shared" si="1"/>
        <v>4</v>
      </c>
      <c r="AN13" s="57">
        <f t="shared" si="2"/>
        <v>99</v>
      </c>
      <c r="AO13" s="58"/>
      <c r="AP13" s="57">
        <f t="shared" si="3"/>
        <v>65</v>
      </c>
      <c r="AQ13" s="57">
        <f t="shared" si="4"/>
        <v>65</v>
      </c>
      <c r="AR13" s="59">
        <f t="shared" si="5"/>
        <v>33</v>
      </c>
      <c r="AS13" s="57">
        <f t="shared" si="6"/>
        <v>471</v>
      </c>
      <c r="AT13" s="37">
        <f t="shared" si="7"/>
        <v>35</v>
      </c>
      <c r="AU13" s="109">
        <f t="shared" si="8"/>
        <v>7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40</v>
      </c>
      <c r="AL7" s="53">
        <f>IF(AJ7=0,"",MATCH(CEILING(AJ7,6),$D$4:$Z$4,0))</f>
        <v>8</v>
      </c>
      <c r="AM7" s="53">
        <f>IF(AK7=0,"",MATCH(CEILING(AK7,6),$C$7:$C$28,0))</f>
        <v>4</v>
      </c>
      <c r="AN7" s="54">
        <f>IF(AL7="","",INDEX($D$7:$Z$28,AM7,AL7))</f>
        <v>117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</v>
      </c>
      <c r="AK8" s="53">
        <f>'CALCULATOR SHEET'!J14</f>
        <v>40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104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1"/>
        <v>4</v>
      </c>
      <c r="AN9" s="54">
        <f t="shared" si="2"/>
        <v>147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1"/>
        <v>4</v>
      </c>
      <c r="AN10" s="54">
        <f t="shared" si="2"/>
        <v>104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1"/>
        <v>4</v>
      </c>
      <c r="AN11" s="54">
        <f t="shared" si="2"/>
        <v>104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1"/>
        <v>4</v>
      </c>
      <c r="AN12" s="54">
        <f t="shared" si="2"/>
        <v>117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1"/>
        <v>4</v>
      </c>
      <c r="AN13" s="54">
        <f t="shared" si="2"/>
        <v>104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40</v>
      </c>
      <c r="AL7" s="53">
        <f t="shared" ref="AL7:AL70" si="0">IF(AJ7=0,"",MATCH(CEILING(AJ7,6),$D$4:$Z$4,0))</f>
        <v>8</v>
      </c>
      <c r="AM7" s="53">
        <f>IF(AK7=0,"",MATCH(CEILING(AK7,6),$C$7:$C$28,0))</f>
        <v>4</v>
      </c>
      <c r="AN7" s="54">
        <f t="shared" ref="AN7:AN70" si="1">IF(AL7="","",INDEX($D$7:$Z$28,AM7,AL7))</f>
        <v>132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</v>
      </c>
      <c r="AK8" s="53">
        <f>'CALCULATOR SHEET'!J14</f>
        <v>40</v>
      </c>
      <c r="AL8" s="53">
        <f t="shared" si="0"/>
        <v>6</v>
      </c>
      <c r="AM8" s="53">
        <f t="shared" ref="AM8:AM71" si="2">IF(AK8=0,"",MATCH(CEILING(AK8,6),$C$7:$C$28,0))</f>
        <v>4</v>
      </c>
      <c r="AN8" s="54">
        <f t="shared" si="1"/>
        <v>116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75</v>
      </c>
      <c r="AK9" s="53">
        <f>'CALCULATOR SHEET'!J15</f>
        <v>40</v>
      </c>
      <c r="AL9" s="53">
        <f t="shared" si="0"/>
        <v>10</v>
      </c>
      <c r="AM9" s="53">
        <f t="shared" si="2"/>
        <v>4</v>
      </c>
      <c r="AN9" s="54">
        <f t="shared" si="1"/>
        <v>164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52</v>
      </c>
      <c r="AK10" s="53">
        <f>'CALCULATOR SHEET'!J16</f>
        <v>40</v>
      </c>
      <c r="AL10" s="53">
        <f t="shared" si="0"/>
        <v>6</v>
      </c>
      <c r="AM10" s="53">
        <f t="shared" si="2"/>
        <v>4</v>
      </c>
      <c r="AN10" s="54">
        <f t="shared" si="1"/>
        <v>116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52</v>
      </c>
      <c r="AK11" s="53">
        <f>'CALCULATOR SHEET'!J17</f>
        <v>40</v>
      </c>
      <c r="AL11" s="53">
        <f t="shared" si="0"/>
        <v>6</v>
      </c>
      <c r="AM11" s="53">
        <f t="shared" si="2"/>
        <v>4</v>
      </c>
      <c r="AN11" s="54">
        <f t="shared" si="1"/>
        <v>116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62</v>
      </c>
      <c r="AK12" s="53">
        <f>'CALCULATOR SHEET'!J18</f>
        <v>40</v>
      </c>
      <c r="AL12" s="53">
        <f t="shared" si="0"/>
        <v>8</v>
      </c>
      <c r="AM12" s="53">
        <f t="shared" si="2"/>
        <v>4</v>
      </c>
      <c r="AN12" s="54">
        <f t="shared" si="1"/>
        <v>132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52</v>
      </c>
      <c r="AK13" s="53">
        <f>'CALCULATOR SHEET'!J19</f>
        <v>40</v>
      </c>
      <c r="AL13" s="53">
        <f t="shared" si="0"/>
        <v>6</v>
      </c>
      <c r="AM13" s="53">
        <f t="shared" si="2"/>
        <v>4</v>
      </c>
      <c r="AN13" s="54">
        <f t="shared" si="1"/>
        <v>116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2025-11-21T23:34:59Z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