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CBRE\Pennsylvania\2025 Pennsylvania - Travis\"/>
    </mc:Choice>
  </mc:AlternateContent>
  <xr:revisionPtr revIDLastSave="0" documentId="8_{74F79D80-8073-49EE-A7FE-055595D3F0F3}" xr6:coauthVersionLast="47" xr6:coauthVersionMax="47" xr10:uidLastSave="{00000000-0000-0000-0000-000000000000}"/>
  <bookViews>
    <workbookView xWindow="3720" yWindow="90" windowWidth="22305" windowHeight="14610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Quote!$A$1:$J$59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(1)'!$C$1:$R$12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3" i="1" l="1"/>
  <c r="R13" i="1"/>
  <c r="P13" i="1"/>
  <c r="O13" i="1"/>
  <c r="N13" i="1"/>
  <c r="L13" i="1"/>
  <c r="K13" i="1"/>
  <c r="J13" i="1"/>
  <c r="U12" i="1"/>
  <c r="R12" i="1"/>
  <c r="S12" i="1" s="1"/>
  <c r="P12" i="1"/>
  <c r="O12" i="1"/>
  <c r="N12" i="1"/>
  <c r="M12" i="1"/>
  <c r="L12" i="1"/>
  <c r="K12" i="1"/>
  <c r="J12" i="1"/>
  <c r="AZ12" i="1"/>
  <c r="AZ13" i="1"/>
  <c r="M13" i="1" s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S13" i="1" l="1"/>
  <c r="AZ12" i="29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G30" i="29"/>
  <c r="BH30" i="29" s="1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BA30" i="29" s="1"/>
  <c r="BB30" i="29" s="1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BA29" i="29" s="1"/>
  <c r="BB29" i="29" s="1"/>
  <c r="O29" i="29"/>
  <c r="N29" i="29"/>
  <c r="M29" i="29"/>
  <c r="L29" i="29"/>
  <c r="K29" i="29"/>
  <c r="J29" i="29"/>
  <c r="A29" i="29"/>
  <c r="BG28" i="29"/>
  <c r="BH28" i="29" s="1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BA28" i="29" s="1"/>
  <c r="BB28" i="29" s="1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C27" i="29"/>
  <c r="AO27" i="29" s="1"/>
  <c r="AB27" i="29"/>
  <c r="AM27" i="29" s="1"/>
  <c r="AA27" i="29"/>
  <c r="U27" i="29"/>
  <c r="AN27" i="29" s="1"/>
  <c r="S27" i="29"/>
  <c r="R27" i="29"/>
  <c r="P27" i="29"/>
  <c r="BA27" i="29" s="1"/>
  <c r="BB27" i="29" s="1"/>
  <c r="O27" i="29"/>
  <c r="N27" i="29"/>
  <c r="M27" i="29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BA26" i="29" s="1"/>
  <c r="BB26" i="29" s="1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BA25" i="29" s="1"/>
  <c r="BB25" i="29" s="1"/>
  <c r="O25" i="29"/>
  <c r="N25" i="29"/>
  <c r="M25" i="29"/>
  <c r="L25" i="29"/>
  <c r="K25" i="29"/>
  <c r="J25" i="29"/>
  <c r="A25" i="29"/>
  <c r="BG24" i="29"/>
  <c r="BH24" i="29" s="1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BA24" i="29" s="1"/>
  <c r="BB24" i="29" s="1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C23" i="29"/>
  <c r="AO23" i="29" s="1"/>
  <c r="AB23" i="29"/>
  <c r="AM23" i="29" s="1"/>
  <c r="AA23" i="29"/>
  <c r="U23" i="29"/>
  <c r="AN23" i="29" s="1"/>
  <c r="S23" i="29"/>
  <c r="R23" i="29"/>
  <c r="P23" i="29"/>
  <c r="BA23" i="29" s="1"/>
  <c r="BB23" i="29" s="1"/>
  <c r="O23" i="29"/>
  <c r="N23" i="29"/>
  <c r="M23" i="29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BA22" i="29" s="1"/>
  <c r="BB22" i="29" s="1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BA21" i="29" s="1"/>
  <c r="BB21" i="29" s="1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BA20" i="29" s="1"/>
  <c r="BB20" i="29" s="1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BA19" i="29" s="1"/>
  <c r="BB19" i="29" s="1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BA18" i="29" s="1"/>
  <c r="BB18" i="29" s="1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BA17" i="29" s="1"/>
  <c r="BB17" i="29" s="1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BA16" i="29" s="1"/>
  <c r="BB16" i="29" s="1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BA15" i="29" s="1"/>
  <c r="BB15" i="29" s="1"/>
  <c r="O15" i="29"/>
  <c r="N15" i="29"/>
  <c r="M15" i="29"/>
  <c r="BD15" i="29" s="1"/>
  <c r="L15" i="29"/>
  <c r="K15" i="29"/>
  <c r="J15" i="29"/>
  <c r="A15" i="29"/>
  <c r="BG14" i="29"/>
  <c r="BH14" i="29" s="1"/>
  <c r="M14" i="29"/>
  <c r="AQ14" i="29"/>
  <c r="AP14" i="29"/>
  <c r="AG14" i="29"/>
  <c r="AE14" i="29"/>
  <c r="AD14" i="29"/>
  <c r="U14" i="29"/>
  <c r="AN14" i="29" s="1"/>
  <c r="S14" i="29"/>
  <c r="R14" i="29"/>
  <c r="P14" i="29"/>
  <c r="BA14" i="29" s="1"/>
  <c r="BB14" i="29" s="1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BA13" i="29" s="1"/>
  <c r="BB13" i="29" s="1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D186" i="30" a="1"/>
  <c r="H25" i="30" a="1"/>
  <c r="I73" i="30" a="1"/>
  <c r="D201" i="30" a="1"/>
  <c r="I167" i="30" a="1"/>
  <c r="D164" i="30" a="1"/>
  <c r="D143" i="30" a="1"/>
  <c r="I251" i="30" a="1"/>
  <c r="F192" i="30" a="1"/>
  <c r="D84" i="30" a="1"/>
  <c r="D44" i="30" a="1"/>
  <c r="H159" i="30" a="1"/>
  <c r="D62" i="30" a="1"/>
  <c r="D116" i="30" a="1"/>
  <c r="D64" i="30" a="1"/>
  <c r="D70" i="30" a="1"/>
  <c r="H38" i="30" a="1"/>
  <c r="F84" i="30" a="1"/>
  <c r="D246" i="30" a="1"/>
  <c r="M65" i="30" a="1"/>
  <c r="D266" i="30" a="1"/>
  <c r="D16" i="30" a="1"/>
  <c r="D146" i="30" a="1"/>
  <c r="G165" i="30" a="1"/>
  <c r="I115" i="30" a="1"/>
  <c r="I183" i="30" a="1"/>
  <c r="D8" i="30" a="1"/>
  <c r="H30" i="30" a="1"/>
  <c r="D197" i="30" a="1"/>
  <c r="H124" i="30" a="1"/>
  <c r="D224" i="30" a="1"/>
  <c r="G153" i="30" a="1"/>
  <c r="M215" i="30" a="1"/>
  <c r="C93" i="30" a="1"/>
  <c r="D268" i="30" a="1"/>
  <c r="E159" i="30" a="1"/>
  <c r="E199" i="30" a="1"/>
  <c r="H10" i="30" a="1"/>
  <c r="I33" i="30" a="1"/>
  <c r="D49" i="30" a="1"/>
  <c r="D192" i="30" a="1"/>
  <c r="G233" i="30" a="1"/>
  <c r="D269" i="30" a="1"/>
  <c r="I155" i="30" a="1"/>
  <c r="I113" i="30" a="1"/>
  <c r="H52" i="30" a="1"/>
  <c r="H131" i="30" a="1"/>
  <c r="E51" i="30" a="1"/>
  <c r="H226" i="30" a="1"/>
  <c r="D254" i="30" a="1"/>
  <c r="D7" i="30" a="1"/>
  <c r="H227" i="30" a="1"/>
  <c r="D223" i="30" a="1"/>
  <c r="D170" i="30" a="1"/>
  <c r="I89" i="30" a="1"/>
  <c r="D39" i="30" a="1"/>
  <c r="H152" i="30" a="1"/>
  <c r="D52" i="30" a="1"/>
  <c r="D255" i="30" a="1"/>
  <c r="H78" i="30" a="1"/>
  <c r="I249" i="30" a="1"/>
  <c r="I263" i="30" a="1"/>
  <c r="H91" i="30" a="1"/>
  <c r="D160" i="30" a="1"/>
  <c r="D133" i="30" a="1"/>
  <c r="D110" i="30" a="1"/>
  <c r="D103" i="30" a="1"/>
  <c r="I61" i="30" a="1"/>
  <c r="H133" i="30" a="1"/>
  <c r="I87" i="30" a="1"/>
  <c r="F164" i="30" a="1"/>
  <c r="G207" i="30" a="1"/>
  <c r="M133" i="30" a="1"/>
  <c r="H132" i="30" a="1"/>
  <c r="E185" i="30" a="1"/>
  <c r="D61" i="30" a="1"/>
  <c r="H107" i="30" a="1"/>
  <c r="G247" i="30" a="1"/>
  <c r="I7" i="30" a="1"/>
  <c r="D2" i="30" a="1"/>
  <c r="D240" i="30" a="1"/>
  <c r="H269" i="30" a="1"/>
  <c r="G179" i="30" a="1"/>
  <c r="D152" i="30" a="1"/>
  <c r="I101" i="30" a="1"/>
  <c r="D161" i="30" a="1"/>
  <c r="F232" i="30" a="1"/>
  <c r="E9" i="30" a="1"/>
  <c r="D53" i="30" a="1"/>
  <c r="H260" i="30" a="1"/>
  <c r="I221" i="30" a="1"/>
  <c r="H44" i="30" a="1"/>
  <c r="C79" i="30" a="1"/>
  <c r="I141" i="30" a="1"/>
  <c r="H92" i="30" a="1"/>
  <c r="H53" i="30" a="1"/>
  <c r="H225" i="30" a="1"/>
  <c r="F98" i="30" a="1"/>
  <c r="H206" i="30" a="1"/>
  <c r="D238" i="30" a="1"/>
  <c r="D56" i="30" a="1"/>
  <c r="D198" i="30" a="1"/>
  <c r="D118" i="30" a="1"/>
  <c r="G219" i="30" a="1"/>
  <c r="H24" i="30" a="1"/>
  <c r="F138" i="30" a="1"/>
  <c r="H39" i="30" a="1"/>
  <c r="H255" i="30" a="1"/>
  <c r="H200" i="30" a="1"/>
  <c r="I75" i="30" a="1"/>
  <c r="H232" i="30" a="1"/>
  <c r="C173" i="30" a="1"/>
  <c r="C65" i="30" a="1"/>
  <c r="F260" i="30" a="1"/>
  <c r="D38" i="30" a="1"/>
  <c r="D10" i="30" a="1"/>
  <c r="H192" i="30" a="1"/>
  <c r="M161" i="30" a="1"/>
  <c r="H9" i="30" a="1"/>
  <c r="I127" i="30" a="1"/>
  <c r="I35" i="30" a="1"/>
  <c r="M187" i="30" a="1"/>
  <c r="H173" i="30" a="1"/>
  <c r="I59" i="30" a="1"/>
  <c r="G99" i="30" a="1"/>
  <c r="D30" i="30" a="1"/>
  <c r="D50" i="30" a="1"/>
  <c r="M201" i="30" a="1"/>
  <c r="D98" i="30" a="1"/>
  <c r="D79" i="30" a="1"/>
  <c r="H147" i="30" a="1"/>
  <c r="H241" i="30" a="1"/>
  <c r="H138" i="30" a="1"/>
  <c r="F178" i="30" a="1"/>
  <c r="I47" i="30" a="1"/>
  <c r="D187" i="30" a="1"/>
  <c r="D232" i="30" a="1"/>
  <c r="I143" i="30" a="1"/>
  <c r="M107" i="30" a="1"/>
  <c r="D129" i="30" a="1"/>
  <c r="E23" i="30" a="1"/>
  <c r="G3" i="30" a="1"/>
  <c r="F110" i="30" a="1"/>
  <c r="H185" i="30" a="1"/>
  <c r="M79" i="30" a="1"/>
  <c r="C107" i="30" a="1"/>
  <c r="H65" i="30" a="1"/>
  <c r="I223" i="30" a="1"/>
  <c r="H164" i="30" a="1"/>
  <c r="E117" i="30" a="1"/>
  <c r="D147" i="30" a="1"/>
  <c r="H84" i="30" a="1"/>
  <c r="I209" i="30" a="1"/>
  <c r="D215" i="30" a="1"/>
  <c r="C255" i="30" a="1"/>
  <c r="M39" i="30" a="1"/>
  <c r="H37" i="30" a="1"/>
  <c r="F206" i="30" a="1"/>
  <c r="H246" i="30" a="1"/>
  <c r="F2" i="30" a="1"/>
  <c r="F44" i="30" a="1"/>
  <c r="C39" i="30" a="1"/>
  <c r="D22" i="30" a="1"/>
  <c r="H253" i="30" a="1"/>
  <c r="D35" i="30" a="1"/>
  <c r="D212" i="30" a="1"/>
  <c r="M119" i="30" a="1"/>
  <c r="I181" i="30" a="1"/>
  <c r="D107" i="30" a="1"/>
  <c r="D24" i="30" a="1"/>
  <c r="H77" i="30" a="1"/>
  <c r="D265" i="30" a="1"/>
  <c r="D132" i="30" a="1"/>
  <c r="I19" i="30" a="1"/>
  <c r="I103" i="30" a="1"/>
  <c r="I235" i="30" a="1"/>
  <c r="C161" i="30" a="1"/>
  <c r="C269" i="30" a="1"/>
  <c r="H64" i="30" a="1"/>
  <c r="I197" i="30" a="1"/>
  <c r="H218" i="30" a="1"/>
  <c r="H161" i="30" a="1"/>
  <c r="I265" i="30" a="1"/>
  <c r="H23" i="30" a="1"/>
  <c r="D169" i="30" a="1"/>
  <c r="C227" i="30" a="1"/>
  <c r="M147" i="30" a="1"/>
  <c r="H118" i="30" a="1"/>
  <c r="D158" i="30" a="1"/>
  <c r="D184" i="30" a="1"/>
  <c r="H187" i="30" a="1"/>
  <c r="H239" i="30" a="1"/>
  <c r="E239" i="30" a="1"/>
  <c r="E171" i="30" a="1"/>
  <c r="M93" i="30" a="1"/>
  <c r="G17" i="30" a="1"/>
  <c r="D11" i="30" a="1"/>
  <c r="C119" i="30" a="1"/>
  <c r="H213" i="30" a="1"/>
  <c r="D183" i="30" a="1"/>
  <c r="F30" i="30" a="1"/>
  <c r="H178" i="30" a="1"/>
  <c r="H201" i="30" a="1"/>
  <c r="H79" i="30" a="1"/>
  <c r="E267" i="30" a="1"/>
  <c r="D226" i="30" a="1"/>
  <c r="M11" i="30" a="1"/>
  <c r="H110" i="30" a="1"/>
  <c r="G31" i="30" a="1"/>
  <c r="D76" i="30" a="1"/>
  <c r="G111" i="30" a="1"/>
  <c r="H11" i="30" a="1"/>
  <c r="E105" i="30" a="1"/>
  <c r="I211" i="30" a="1"/>
  <c r="D75" i="30" a="1"/>
  <c r="M227" i="30" a="1"/>
  <c r="D106" i="30" a="1"/>
  <c r="F124" i="30" a="1"/>
  <c r="M173" i="30" a="1"/>
  <c r="I21" i="30" a="1"/>
  <c r="C11" i="30" a="1"/>
  <c r="I169" i="30" a="1"/>
  <c r="M25" i="30" a="1"/>
  <c r="H199" i="30" a="1"/>
  <c r="M241" i="30" a="1"/>
  <c r="D93" i="30" a="1"/>
  <c r="D172" i="30" a="1"/>
  <c r="D214" i="30" a="1"/>
  <c r="C187" i="30" a="1"/>
  <c r="D90" i="30" a="1"/>
  <c r="D92" i="30" a="1"/>
  <c r="C215" i="30" a="1"/>
  <c r="E131" i="30" a="1"/>
  <c r="H70" i="30" a="1"/>
  <c r="G125" i="30" a="1"/>
  <c r="I237" i="30" a="1"/>
  <c r="H172" i="30" a="1"/>
  <c r="D218" i="30" a="1"/>
  <c r="G139" i="30" a="1"/>
  <c r="H56" i="30" a="1"/>
  <c r="F246" i="30" a="1"/>
  <c r="H105" i="30" a="1"/>
  <c r="D115" i="30" a="1"/>
  <c r="D138" i="30" a="1"/>
  <c r="H93" i="30" a="1"/>
  <c r="E225" i="30" a="1"/>
  <c r="D89" i="30" a="1"/>
  <c r="D157" i="30" a="1"/>
  <c r="H215" i="30" a="1"/>
  <c r="D206" i="30" a="1"/>
  <c r="H63" i="30" a="1"/>
  <c r="D252" i="30" a="1"/>
  <c r="F16" i="30" a="1"/>
  <c r="H214" i="30" a="1"/>
  <c r="M255" i="30" a="1"/>
  <c r="E63" i="30" a="1"/>
  <c r="H146" i="30" a="1"/>
  <c r="E145" i="30" a="1"/>
  <c r="C133" i="30" a="1"/>
  <c r="G57" i="30" a="1"/>
  <c r="D227" i="30" a="1"/>
  <c r="D260" i="30" a="1"/>
  <c r="F152" i="30" a="1"/>
  <c r="H2" i="30" a="1"/>
  <c r="E213" i="30" a="1"/>
  <c r="H240" i="30" a="1"/>
  <c r="D78" i="30" a="1"/>
  <c r="C25" i="30" a="1"/>
  <c r="F70" i="30" a="1"/>
  <c r="E91" i="30" a="1"/>
  <c r="D241" i="30" a="1"/>
  <c r="D25" i="30" a="1"/>
  <c r="M53" i="30" a="1"/>
  <c r="H171" i="30" a="1"/>
  <c r="D144" i="30" a="1"/>
  <c r="D251" i="30" a="1"/>
  <c r="I157" i="30" a="1"/>
  <c r="H51" i="30" a="1"/>
  <c r="D130" i="30" a="1"/>
  <c r="G193" i="30" a="1"/>
  <c r="H145" i="30" a="1"/>
  <c r="H254" i="30" a="1"/>
  <c r="D65" i="30" a="1"/>
  <c r="I129" i="30" a="1"/>
  <c r="D104" i="30" a="1"/>
  <c r="C147" i="30" a="1"/>
  <c r="D211" i="30" a="1"/>
  <c r="G85" i="30" a="1"/>
  <c r="D124" i="30" a="1"/>
  <c r="H160" i="30" a="1"/>
  <c r="G45" i="30" a="1"/>
  <c r="E77" i="30" a="1"/>
  <c r="G261" i="30" a="1"/>
  <c r="C201" i="30" a="1"/>
  <c r="H98" i="30" a="1"/>
  <c r="D178" i="30" a="1"/>
  <c r="D200" i="30" a="1"/>
  <c r="F56" i="30" a="1"/>
  <c r="D173" i="30" a="1"/>
  <c r="F218" i="30" a="1"/>
  <c r="D21" i="30" a="1"/>
  <c r="H268" i="30" a="1"/>
  <c r="H106" i="30" a="1"/>
  <c r="C241" i="30" a="1"/>
  <c r="D237" i="30" a="1"/>
  <c r="G71" i="30" a="1"/>
  <c r="E37" i="30" a="1"/>
  <c r="M269" i="30" a="1"/>
  <c r="C53" i="30" a="1"/>
  <c r="I49" i="30" a="1"/>
  <c r="H117" i="30" a="1"/>
  <c r="H16" i="30" a="1"/>
  <c r="D36" i="30" a="1"/>
  <c r="H186" i="30" a="1"/>
  <c r="H119" i="30" a="1"/>
  <c r="D119" i="30" a="1"/>
  <c r="I195" i="30" a="1"/>
  <c r="E253" i="30" a="1"/>
  <c r="H267" i="30" a="1"/>
  <c r="BF27" i="29" l="1"/>
  <c r="BE27" i="29" s="1"/>
  <c r="BF23" i="29"/>
  <c r="BE23" i="29" s="1"/>
  <c r="BI28" i="29"/>
  <c r="BD14" i="29"/>
  <c r="BD27" i="29"/>
  <c r="BI12" i="29"/>
  <c r="BD23" i="29"/>
  <c r="BI26" i="29"/>
  <c r="BD25" i="29"/>
  <c r="D25" i="30"/>
  <c r="D18" i="30" s="1" a="1"/>
  <c r="D18" i="30" s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19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43" i="29" s="1"/>
  <c r="H9" i="30"/>
  <c r="H2" i="30"/>
  <c r="D2" i="30"/>
  <c r="F2" i="30"/>
  <c r="H10" i="30"/>
  <c r="BA11" i="29"/>
  <c r="BB11" i="29" s="1"/>
  <c r="U17" i="33"/>
  <c r="BI23" i="29"/>
  <c r="M15" i="30"/>
  <c r="D29" i="30"/>
  <c r="M43" i="30"/>
  <c r="D55" i="30"/>
  <c r="BA12" i="29"/>
  <c r="BB12" i="29" s="1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BC15" i="29" l="1"/>
  <c r="AB15" i="29" s="1"/>
  <c r="S11" i="31"/>
  <c r="S11" i="32"/>
  <c r="S11" i="33"/>
  <c r="Q11" i="29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G193" i="9" a="1"/>
  <c r="G165" i="9" a="1"/>
  <c r="D252" i="9" a="1"/>
  <c r="E225" i="9" a="1"/>
  <c r="D35" i="9" a="1"/>
  <c r="D169" i="9" a="1"/>
  <c r="M161" i="9" a="1"/>
  <c r="D161" i="9" a="1"/>
  <c r="H9" i="9" a="1"/>
  <c r="C107" i="9" a="1"/>
  <c r="D89" i="9" a="1"/>
  <c r="H241" i="9" a="1"/>
  <c r="D11" i="9" a="1"/>
  <c r="I5" i="30" a="1"/>
  <c r="M215" i="9" a="1"/>
  <c r="G125" i="9" a="1"/>
  <c r="C25" i="9" a="1"/>
  <c r="D265" i="9" a="1"/>
  <c r="H25" i="9" a="1"/>
  <c r="H2" i="9" a="1"/>
  <c r="D268" i="9" a="1"/>
  <c r="M255" i="9" a="1"/>
  <c r="F178" i="9" a="1"/>
  <c r="F192" i="9" a="1"/>
  <c r="D184" i="9" a="1"/>
  <c r="D118" i="9" a="1"/>
  <c r="G31" i="9" a="1"/>
  <c r="D92" i="9" a="1"/>
  <c r="D212" i="9" a="1"/>
  <c r="H269" i="9" a="1"/>
  <c r="C215" i="9" a="1"/>
  <c r="D133" i="9" a="1"/>
  <c r="E253" i="9" a="1"/>
  <c r="E91" i="9" a="1"/>
  <c r="F260" i="9" a="1"/>
  <c r="H93" i="9" a="1"/>
  <c r="D49" i="9" a="1"/>
  <c r="H53" i="9" a="1"/>
  <c r="E77" i="9" a="1"/>
  <c r="C39" i="9" a="1"/>
  <c r="D157" i="9" a="1"/>
  <c r="C255" i="9" a="1"/>
  <c r="E23" i="9" a="1"/>
  <c r="D93" i="9" a="1"/>
  <c r="H30" i="9" a="1"/>
  <c r="D158" i="9" a="1"/>
  <c r="G233" i="9" a="1"/>
  <c r="C93" i="9" a="1"/>
  <c r="H215" i="9" a="1"/>
  <c r="M107" i="9" a="1"/>
  <c r="E117" i="9" a="1"/>
  <c r="D227" i="9" a="1"/>
  <c r="D214" i="9" a="1"/>
  <c r="E131" i="9" a="1"/>
  <c r="D104" i="9" a="1"/>
  <c r="D36" i="9" a="1"/>
  <c r="H11" i="9" a="1"/>
  <c r="D21" i="9" a="1"/>
  <c r="G17" i="9" a="1"/>
  <c r="H173" i="9" a="1"/>
  <c r="H187" i="9" a="1"/>
  <c r="D200" i="9" a="1"/>
  <c r="D39" i="9" a="1"/>
  <c r="D107" i="9" a="1"/>
  <c r="H24" i="9" a="1"/>
  <c r="D76" i="9" a="1"/>
  <c r="E213" i="9" a="1"/>
  <c r="G179" i="9" a="1"/>
  <c r="C53" i="9" a="1"/>
  <c r="D241" i="9" a="1"/>
  <c r="C173" i="9" a="1"/>
  <c r="H255" i="9" a="1"/>
  <c r="D215" i="9" a="1"/>
  <c r="H147" i="9" a="1"/>
  <c r="E9" i="9" a="1"/>
  <c r="D198" i="9" a="1"/>
  <c r="G219" i="9" a="1"/>
  <c r="M119" i="9" a="1"/>
  <c r="D38" i="9" a="1"/>
  <c r="D62" i="9" a="1"/>
  <c r="M173" i="9" a="1"/>
  <c r="D22" i="9" a="1"/>
  <c r="F44" i="9" a="1"/>
  <c r="D53" i="9" a="1"/>
  <c r="D90" i="9" a="1"/>
  <c r="E199" i="9" a="1"/>
  <c r="M79" i="9" a="1"/>
  <c r="H16" i="9" a="1"/>
  <c r="F246" i="9" a="1"/>
  <c r="D254" i="9" a="1"/>
  <c r="E171" i="9" a="1"/>
  <c r="D50" i="9" a="1"/>
  <c r="D103" i="9" a="1"/>
  <c r="D52" i="9" a="1"/>
  <c r="D197" i="9" a="1"/>
  <c r="F98" i="9" a="1"/>
  <c r="D144" i="9" a="1"/>
  <c r="F164" i="9" a="1"/>
  <c r="M39" i="9" a="1"/>
  <c r="H201" i="9" a="1"/>
  <c r="G45" i="9" a="1"/>
  <c r="M11" i="9" a="1"/>
  <c r="F56" i="9" a="1"/>
  <c r="E159" i="9" a="1"/>
  <c r="D160" i="9" a="1"/>
  <c r="F206" i="9" a="1"/>
  <c r="C147" i="9" a="1"/>
  <c r="D211" i="9" a="1"/>
  <c r="H65" i="9" a="1"/>
  <c r="F70" i="9" a="1"/>
  <c r="G3" i="9" a="1"/>
  <c r="D255" i="9" a="1"/>
  <c r="D116" i="9" a="1"/>
  <c r="M53" i="9" a="1"/>
  <c r="M187" i="9" a="1"/>
  <c r="D106" i="9" a="1"/>
  <c r="E63" i="9" a="1"/>
  <c r="D201" i="9" a="1"/>
  <c r="E145" i="9" a="1"/>
  <c r="M25" i="9" a="1"/>
  <c r="M147" i="9" a="1"/>
  <c r="D10" i="9" a="1"/>
  <c r="E37" i="9" a="1"/>
  <c r="C187" i="9" a="1"/>
  <c r="H79" i="9" a="1"/>
  <c r="C227" i="9" a="1"/>
  <c r="F124" i="9" a="1"/>
  <c r="F232" i="9" a="1"/>
  <c r="M227" i="9" a="1"/>
  <c r="D7" i="9" a="1"/>
  <c r="H107" i="9" a="1"/>
  <c r="G139" i="9" a="1"/>
  <c r="D129" i="9" a="1"/>
  <c r="H161" i="9" a="1"/>
  <c r="F138" i="9" a="1"/>
  <c r="D187" i="9" a="1"/>
  <c r="C201" i="9" a="1"/>
  <c r="D226" i="9" a="1"/>
  <c r="M65" i="9" a="1"/>
  <c r="H38" i="9" a="1"/>
  <c r="H119" i="9" a="1"/>
  <c r="C65" i="9" a="1"/>
  <c r="D186" i="9" a="1"/>
  <c r="D269" i="9" a="1"/>
  <c r="C11" i="9" a="1"/>
  <c r="G207" i="9" a="1"/>
  <c r="D64" i="9" a="1"/>
  <c r="D115" i="9" a="1"/>
  <c r="D172" i="9" a="1"/>
  <c r="G247" i="9" a="1"/>
  <c r="F84" i="9" a="1"/>
  <c r="G153" i="9" a="1"/>
  <c r="F218" i="9" a="1"/>
  <c r="D8" i="9" a="1"/>
  <c r="D65" i="9" a="1"/>
  <c r="G99" i="9" a="1"/>
  <c r="F152" i="9" a="1"/>
  <c r="M93" i="9" a="1"/>
  <c r="H39" i="9" a="1"/>
  <c r="G85" i="9" a="1"/>
  <c r="F110" i="9" a="1"/>
  <c r="M269" i="9" a="1"/>
  <c r="D25" i="9" a="1"/>
  <c r="D237" i="9" a="1"/>
  <c r="C241" i="9" a="1"/>
  <c r="H227" i="9" a="1"/>
  <c r="G71" i="9" a="1"/>
  <c r="C161" i="9" a="1"/>
  <c r="D143" i="9" a="1"/>
  <c r="D119" i="9" a="1"/>
  <c r="D251" i="9" a="1"/>
  <c r="D183" i="9" a="1"/>
  <c r="E51" i="9" a="1"/>
  <c r="G111" i="9" a="1"/>
  <c r="C79" i="9" a="1"/>
  <c r="D146" i="9" a="1"/>
  <c r="C119" i="9" a="1"/>
  <c r="E185" i="9" a="1"/>
  <c r="C133" i="9" a="1"/>
  <c r="D170" i="9" a="1"/>
  <c r="H133" i="9" a="1"/>
  <c r="C269" i="9" a="1"/>
  <c r="D224" i="9" a="1"/>
  <c r="D78" i="9" a="1"/>
  <c r="D240" i="9" a="1"/>
  <c r="E105" i="9" a="1"/>
  <c r="G261" i="9" a="1"/>
  <c r="D147" i="9" a="1"/>
  <c r="D173" i="9" a="1"/>
  <c r="D266" i="9" a="1"/>
  <c r="H10" i="9" a="1"/>
  <c r="G57" i="9" a="1"/>
  <c r="D61" i="9" a="1"/>
  <c r="D79" i="9" a="1"/>
  <c r="D130" i="9" a="1"/>
  <c r="D24" i="9" a="1"/>
  <c r="M133" i="9" a="1"/>
  <c r="D223" i="9" a="1"/>
  <c r="E267" i="9" a="1"/>
  <c r="D238" i="9" a="1"/>
  <c r="M201" i="9" a="1"/>
  <c r="M241" i="9" a="1"/>
  <c r="D75" i="9" a="1"/>
  <c r="D132" i="9" a="1"/>
  <c r="E239" i="9" a="1"/>
  <c r="D6" i="30" l="1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32" i="9" a="1"/>
  <c r="D18" i="9" a="1"/>
  <c r="H77" i="9" a="1"/>
  <c r="H37" i="9" a="1"/>
  <c r="H51" i="9" a="1"/>
  <c r="H225" i="9" a="1"/>
  <c r="H199" i="9" a="1"/>
  <c r="H159" i="9" a="1"/>
  <c r="H185" i="9" a="1"/>
  <c r="H213" i="9" a="1"/>
  <c r="H239" i="9" a="1"/>
  <c r="H23" i="9" a="1"/>
  <c r="H253" i="9" a="1"/>
  <c r="H105" i="9" a="1"/>
  <c r="H145" i="9" a="1"/>
  <c r="I19" i="9" a="1"/>
  <c r="H91" i="9" a="1"/>
  <c r="I33" i="9" a="1"/>
  <c r="H63" i="9" a="1"/>
  <c r="H117" i="9" a="1"/>
  <c r="H131" i="9" a="1"/>
  <c r="H267" i="9" a="1"/>
  <c r="H171" i="9" a="1"/>
  <c r="N159" i="9" l="1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U17" i="15" s="1"/>
  <c r="D18" i="15"/>
  <c r="D19" i="15"/>
  <c r="U19" i="15" s="1"/>
  <c r="D20" i="15"/>
  <c r="U20" i="15" s="1"/>
  <c r="D21" i="15"/>
  <c r="U21" i="15" s="1"/>
  <c r="D22" i="15"/>
  <c r="D23" i="15"/>
  <c r="D24" i="15"/>
  <c r="U24" i="15" s="1"/>
  <c r="D25" i="15"/>
  <c r="D26" i="15"/>
  <c r="D27" i="15"/>
  <c r="D28" i="15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7" i="7"/>
  <c r="B16" i="7"/>
  <c r="F16" i="9" a="1"/>
  <c r="F30" i="9" a="1"/>
  <c r="U28" i="15" l="1"/>
  <c r="L20" i="15"/>
  <c r="U14" i="15"/>
  <c r="L30" i="15"/>
  <c r="L18" i="15"/>
  <c r="U18" i="15"/>
  <c r="U16" i="15"/>
  <c r="U27" i="15"/>
  <c r="L11" i="15"/>
  <c r="U25" i="15"/>
  <c r="L17" i="15"/>
  <c r="A30" i="17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0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78" i="9" a="1"/>
  <c r="H52" i="9" a="1"/>
  <c r="H226" i="9" a="1"/>
  <c r="H64" i="9" a="1"/>
  <c r="H240" i="9" a="1"/>
  <c r="H200" i="9" a="1"/>
  <c r="H172" i="9" a="1"/>
  <c r="H186" i="9" a="1"/>
  <c r="H118" i="9" a="1"/>
  <c r="H254" i="9" a="1"/>
  <c r="H132" i="9" a="1"/>
  <c r="H92" i="9" a="1"/>
  <c r="H106" i="9" a="1"/>
  <c r="H160" i="9" a="1"/>
  <c r="H268" i="9" a="1"/>
  <c r="H214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B18" i="1" s="1"/>
  <c r="BA14" i="1"/>
  <c r="AA14" i="1" s="1"/>
  <c r="AA19" i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58" i="9" a="1"/>
  <c r="D126" i="9" a="1"/>
  <c r="D46" i="9" a="1"/>
  <c r="I59" i="9" a="1"/>
  <c r="I73" i="9" a="1"/>
  <c r="I249" i="9" a="1"/>
  <c r="I237" i="9" a="1"/>
  <c r="I113" i="9" a="1"/>
  <c r="I167" i="9" a="1"/>
  <c r="I235" i="9" a="1"/>
  <c r="I101" i="9" a="1"/>
  <c r="I211" i="9" a="1"/>
  <c r="I169" i="9" a="1"/>
  <c r="I181" i="9" a="1"/>
  <c r="I195" i="9" a="1"/>
  <c r="I127" i="9" a="1"/>
  <c r="I115" i="9" a="1"/>
  <c r="I155" i="9" a="1"/>
  <c r="I197" i="9" a="1"/>
  <c r="I21" i="9" a="1"/>
  <c r="I75" i="9" a="1"/>
  <c r="I209" i="9" a="1"/>
  <c r="I251" i="9" a="1"/>
  <c r="I61" i="9" a="1"/>
  <c r="I87" i="9" a="1"/>
  <c r="I47" i="9" a="1"/>
  <c r="I223" i="9" a="1"/>
  <c r="I103" i="9" a="1"/>
  <c r="I141" i="9" a="1"/>
  <c r="I221" i="9" a="1"/>
  <c r="I265" i="9" a="1"/>
  <c r="I157" i="9" a="1"/>
  <c r="I183" i="9" a="1"/>
  <c r="I7" i="9" a="1"/>
  <c r="I129" i="9" a="1"/>
  <c r="I89" i="9" a="1"/>
  <c r="I263" i="9" a="1"/>
  <c r="I35" i="9" a="1"/>
  <c r="I143" i="9" a="1"/>
  <c r="I4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AN13" i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E12" i="3"/>
  <c r="I12" i="3"/>
  <c r="D13" i="3"/>
  <c r="F13" i="3" s="1"/>
  <c r="G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J17" i="3" s="1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 s="1"/>
  <c r="G21" i="3" s="1"/>
  <c r="H21" i="3" s="1"/>
  <c r="E21" i="3"/>
  <c r="I21" i="3"/>
  <c r="D22" i="3"/>
  <c r="F22" i="3" s="1"/>
  <c r="G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L15" i="1"/>
  <c r="L19" i="1"/>
  <c r="L16" i="1"/>
  <c r="L24" i="1"/>
  <c r="J10" i="3"/>
  <c r="F25" i="3"/>
  <c r="G25" i="3" s="1"/>
  <c r="H25" i="3" s="1"/>
  <c r="J25" i="3"/>
  <c r="L26" i="1"/>
  <c r="F19" i="3"/>
  <c r="G19" i="3" s="1"/>
  <c r="H19" i="3" s="1"/>
  <c r="J7" i="3"/>
  <c r="F7" i="3"/>
  <c r="G7" i="3" s="1"/>
  <c r="H7" i="3" s="1"/>
  <c r="L20" i="1"/>
  <c r="F11" i="3"/>
  <c r="G11" i="3" s="1"/>
  <c r="H11" i="3" s="1"/>
  <c r="J11" i="3"/>
  <c r="J22" i="3"/>
  <c r="F15" i="3"/>
  <c r="G15" i="3" s="1"/>
  <c r="F18" i="3"/>
  <c r="G18" i="3"/>
  <c r="H18" i="3" s="1"/>
  <c r="D260" i="9" a="1"/>
  <c r="H124" i="9" a="1"/>
  <c r="D152" i="9" a="1"/>
  <c r="D70" i="9" a="1"/>
  <c r="D192" i="9" a="1"/>
  <c r="H192" i="9" a="1"/>
  <c r="D124" i="9" a="1"/>
  <c r="D110" i="9" a="1"/>
  <c r="D16" i="9" a="1"/>
  <c r="H218" i="9" a="1"/>
  <c r="D84" i="9" a="1"/>
  <c r="H232" i="9" a="1"/>
  <c r="H98" i="9" a="1"/>
  <c r="D206" i="9" a="1"/>
  <c r="H70" i="9" a="1"/>
  <c r="H206" i="9" a="1"/>
  <c r="H110" i="9" a="1"/>
  <c r="D246" i="9" a="1"/>
  <c r="D178" i="9" a="1"/>
  <c r="H152" i="9" a="1"/>
  <c r="H246" i="9" a="1"/>
  <c r="H178" i="9" a="1"/>
  <c r="D56" i="9" a="1"/>
  <c r="D164" i="9" a="1"/>
  <c r="H84" i="9" a="1"/>
  <c r="H56" i="9" a="1"/>
  <c r="D218" i="9" a="1"/>
  <c r="D98" i="9" a="1"/>
  <c r="D232" i="9" a="1"/>
  <c r="D30" i="9" a="1"/>
  <c r="H164" i="9" a="1"/>
  <c r="H260" i="9" a="1"/>
  <c r="D44" i="9" a="1"/>
  <c r="H44" i="9" a="1"/>
  <c r="D138" i="9" a="1"/>
  <c r="H138" i="9" a="1"/>
  <c r="J21" i="3" l="1"/>
  <c r="F16" i="3"/>
  <c r="G16" i="3" s="1"/>
  <c r="H16" i="3" s="1"/>
  <c r="J8" i="3"/>
  <c r="F24" i="3"/>
  <c r="G24" i="3" s="1"/>
  <c r="H24" i="3" s="1"/>
  <c r="F20" i="3"/>
  <c r="G20" i="3" s="1"/>
  <c r="H20" i="3" s="1"/>
  <c r="H12" i="3"/>
  <c r="H13" i="3"/>
  <c r="F9" i="3"/>
  <c r="G9" i="3" s="1"/>
  <c r="H9" i="3" s="1"/>
  <c r="H22" i="3"/>
  <c r="J13" i="3"/>
  <c r="F23" i="3"/>
  <c r="G23" i="3" s="1"/>
  <c r="H23" i="3" s="1"/>
  <c r="F26" i="3"/>
  <c r="G26" i="3" s="1"/>
  <c r="H26" i="3" s="1"/>
  <c r="F17" i="3"/>
  <c r="G17" i="3" s="1"/>
  <c r="H17" i="3" s="1"/>
  <c r="D138" i="9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3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39" i="7"/>
  <c r="D41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<sst xmlns="http://schemas.openxmlformats.org/spreadsheetml/2006/main" count="4498" uniqueCount="2615">
  <si>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</si>
  <si>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</si>
  <si>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</si>
  <si>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</si>
  <si>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</si>
  <si>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</si>
  <si>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</si>
  <si>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</si>
  <si>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</si>
  <si>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</si>
  <si>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</si>
  <si>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</si>
  <si>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</si>
  <si>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</si>
  <si>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</si>
  <si>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</si>
  <si>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</si>
  <si>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</si>
  <si>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</si>
  <si>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</si>
  <si>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</si>
  <si>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</si>
  <si>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</si>
  <si>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</si>
  <si>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</si>
  <si>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</si>
  <si>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</si>
  <si>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</si>
  <si>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</si>
  <si>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</si>
  <si>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</si>
  <si>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</si>
  <si>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</si>
  <si>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</si>
  <si>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</si>
  <si>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</si>
  <si>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</si>
  <si>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</si>
  <si>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</si>
  <si>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</si>
  <si>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</si>
  <si>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</si>
  <si>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</si>
  <si>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</si>
  <si>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</si>
  <si>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</si>
  <si>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</si>
  <si>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</si>
  <si>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</si>
  <si>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</si>
  <si>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</si>
  <si>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</si>
  <si>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</si>
  <si>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</si>
  <si>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</si>
  <si>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</si>
  <si>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</si>
  <si>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</si>
  <si>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</si>
  <si>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</si>
  <si>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</si>
  <si>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</si>
  <si>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</si>
  <si>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</si>
  <si>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</si>
  <si>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</si>
  <si>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</si>
  <si>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</si>
  <si>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</si>
  <si>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</si>
  <si>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</si>
  <si>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</si>
  <si>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</si>
  <si>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</si>
  <si>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</si>
  <si>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</si>
  <si>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</si>
  <si>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</si>
  <si>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</si>
  <si>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</si>
  <si>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</si>
  <si>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</si>
  <si>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</si>
  <si>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</si>
  <si>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</si>
  <si>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</si>
  <si>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</si>
  <si>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</si>
  <si>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</si>
  <si>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</si>
  <si>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</si>
  <si>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</si>
  <si>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</si>
  <si>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</si>
  <si>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</si>
  <si>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</si>
  <si>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</si>
  <si>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</si>
  <si>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</si>
  <si>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</si>
  <si>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</si>
  <si>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</si>
  <si>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</si>
  <si>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</si>
  <si>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</si>
  <si>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</si>
  <si>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</si>
  <si>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</si>
  <si>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</si>
  <si>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</si>
  <si>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</si>
  <si>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</si>
  <si>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</si>
  <si>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</si>
  <si>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</si>
  <si>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</si>
  <si>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</si>
  <si>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</si>
  <si>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</si>
  <si>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</si>
  <si>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</si>
  <si>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</si>
  <si>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</si>
  <si>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</si>
  <si>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</si>
  <si>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</si>
  <si>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</si>
  <si>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</si>
  <si>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</si>
  <si>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</si>
  <si>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</si>
  <si>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</si>
  <si>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</si>
  <si>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</si>
  <si>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</si>
  <si>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</si>
  <si>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</si>
  <si>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</si>
  <si>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</si>
  <si>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</si>
  <si>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</si>
  <si>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</si>
  <si>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</si>
  <si>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</si>
  <si>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</si>
  <si>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</si>
  <si>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</si>
  <si>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</si>
  <si>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</si>
  <si>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</si>
  <si>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</si>
  <si>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</si>
  <si>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</si>
  <si>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</si>
  <si>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</si>
  <si>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</si>
  <si>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</si>
  <si>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</si>
  <si>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</si>
  <si>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</si>
  <si>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</si>
  <si>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</si>
  <si>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</si>
  <si>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</si>
  <si>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</si>
  <si>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</si>
  <si>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</si>
  <si>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</si>
  <si>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</si>
  <si>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</si>
  <si>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</si>
  <si>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</si>
  <si>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</si>
  <si>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</si>
  <si>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</si>
  <si>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</si>
  <si>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</si>
  <si>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</si>
  <si>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</si>
  <si>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</si>
  <si>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</si>
  <si>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</si>
  <si>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</si>
  <si>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</si>
  <si>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</si>
  <si>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</si>
  <si>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</si>
  <si>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</si>
  <si>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</si>
  <si>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</si>
  <si>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</si>
  <si>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</si>
  <si>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</si>
  <si>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</si>
  <si>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</si>
  <si>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</si>
  <si>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</si>
  <si>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</si>
  <si>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</si>
  <si>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</si>
  <si>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</si>
  <si>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</si>
  <si>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</si>
  <si>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</si>
  <si>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</si>
  <si>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</si>
  <si>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</si>
  <si>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</si>
  <si>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</si>
  <si>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</si>
  <si>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</si>
  <si>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</si>
  <si>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</si>
  <si>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</si>
  <si>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</si>
  <si>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</si>
  <si>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</si>
  <si>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</si>
  <si>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</si>
  <si>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</si>
  <si>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</si>
  <si>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</si>
  <si>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</si>
  <si>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</si>
  <si>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</si>
  <si>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</si>
  <si>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</si>
  <si>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</si>
  <si>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</si>
  <si>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</si>
  <si>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</si>
  <si>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</si>
  <si>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</si>
  <si>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</si>
  <si>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</si>
  <si>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</si>
  <si>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</si>
  <si>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</si>
  <si>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</si>
  <si>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</si>
  <si>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</si>
  <si>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</si>
  <si>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</si>
  <si>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</si>
  <si>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</si>
  <si>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</si>
  <si>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</si>
  <si>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</si>
  <si>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</si>
  <si>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</si>
  <si>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</si>
  <si>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</si>
  <si>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</si>
  <si>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</si>
  <si>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</si>
  <si>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</si>
  <si>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</si>
  <si>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</si>
  <si>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</si>
  <si>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</si>
  <si>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</si>
  <si>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</si>
  <si>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</si>
  <si>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</si>
  <si>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</si>
  <si>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</si>
  <si>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</si>
  <si>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</si>
  <si>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</si>
  <si>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</si>
  <si>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</si>
  <si>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</si>
  <si>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</si>
  <si>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</si>
  <si>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</si>
  <si>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</si>
  <si>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</si>
  <si>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</si>
  <si>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</si>
  <si>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</si>
  <si>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</si>
  <si>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</si>
  <si>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</si>
  <si>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</si>
  <si>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</si>
  <si>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</si>
  <si>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</si>
  <si>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</si>
  <si>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</si>
  <si>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</si>
  <si>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</si>
  <si>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</si>
  <si>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</si>
  <si>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</si>
  <si>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</si>
  <si>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</si>
  <si>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</si>
  <si>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</si>
  <si>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</si>
  <si>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</si>
  <si>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</si>
  <si>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</si>
  <si>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</si>
  <si>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</si>
  <si>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</si>
  <si>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</si>
  <si>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</si>
  <si>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</si>
  <si>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</si>
  <si>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</si>
  <si>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</si>
  <si>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</si>
  <si>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</si>
  <si>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</si>
  <si>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</si>
  <si>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</si>
  <si>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</si>
  <si>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</si>
  <si>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</si>
  <si>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</si>
  <si>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</si>
  <si>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</si>
  <si>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</si>
  <si>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</si>
  <si>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</si>
  <si>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</si>
  <si>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</si>
  <si>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</si>
  <si>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</si>
  <si>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</si>
  <si>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</si>
  <si>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</si>
  <si>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</si>
  <si>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</si>
  <si>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</si>
  <si>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</si>
  <si>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</si>
  <si>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</si>
  <si>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</si>
  <si>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</si>
  <si>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</si>
  <si>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</si>
  <si>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</si>
  <si>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</si>
  <si>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</si>
  <si>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</si>
  <si>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</si>
  <si>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</si>
  <si>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</si>
  <si>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</si>
  <si>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</si>
  <si>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</si>
  <si>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</si>
  <si>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</si>
  <si>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</si>
  <si>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</si>
  <si>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</si>
  <si>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</si>
  <si>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</si>
  <si>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</si>
  <si>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</si>
  <si>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</si>
  <si>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</si>
  <si>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</si>
  <si>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</si>
  <si>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</si>
  <si>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</si>
  <si>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</si>
  <si>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</si>
  <si>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</si>
  <si>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</si>
  <si>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</si>
  <si>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</si>
  <si>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</si>
  <si>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</si>
  <si>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</si>
  <si>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</si>
  <si>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</si>
  <si>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</si>
  <si>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</si>
  <si>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</si>
  <si>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</si>
  <si>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</si>
  <si>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</si>
  <si>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</si>
  <si>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</si>
  <si>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</si>
  <si>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</si>
  <si>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</si>
  <si>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</si>
  <si>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</si>
  <si>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</si>
  <si>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</si>
  <si>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</si>
  <si>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</si>
  <si>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</si>
  <si>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</si>
  <si>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</si>
  <si>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</si>
  <si>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</si>
  <si>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</si>
  <si>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</si>
  <si>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</si>
  <si>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</si>
  <si>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</si>
  <si>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</si>
  <si>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</si>
  <si>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</si>
  <si>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</si>
  <si>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</si>
  <si>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</si>
  <si>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</si>
  <si>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</si>
  <si>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</si>
  <si>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</si>
  <si>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</si>
  <si>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</si>
  <si>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</si>
  <si>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</si>
  <si>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</si>
  <si>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</si>
  <si>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</si>
  <si>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</si>
  <si>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</si>
  <si>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</si>
  <si>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</si>
  <si>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</si>
  <si>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</si>
  <si>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</si>
  <si>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</si>
  <si>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</si>
  <si>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</si>
  <si>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</si>
  <si>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</si>
  <si>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</si>
  <si>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</si>
  <si>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</si>
  <si>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</si>
  <si>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</si>
  <si>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</si>
  <si>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</si>
  <si>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</si>
  <si>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</si>
  <si>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</si>
  <si>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</si>
  <si>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</si>
  <si>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</si>
  <si>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</si>
  <si>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</si>
  <si>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</si>
  <si>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</si>
  <si>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</si>
  <si>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</si>
  <si>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</si>
  <si>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</si>
  <si>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</si>
  <si>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</si>
  <si>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</si>
  <si>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</si>
  <si>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</si>
  <si>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</si>
  <si>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</si>
  <si>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</si>
  <si>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</si>
  <si>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</si>
  <si>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</si>
  <si>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</si>
  <si>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</si>
  <si>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</si>
  <si>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</si>
  <si>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</si>
  <si>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</si>
  <si>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</si>
  <si>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</si>
  <si>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</si>
  <si>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</si>
  <si>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</si>
  <si>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</si>
  <si>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</si>
  <si>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</si>
  <si>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</si>
  <si>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</si>
  <si>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</si>
  <si>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</si>
  <si>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</si>
  <si>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</si>
  <si>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</si>
  <si>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</si>
  <si>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</si>
  <si>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</si>
  <si>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</si>
  <si>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</si>
  <si>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</si>
  <si>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</si>
  <si>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</si>
  <si>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</si>
  <si>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</si>
  <si>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</si>
  <si>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</si>
  <si>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</si>
  <si>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</si>
  <si>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</si>
  <si>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</si>
  <si>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</si>
  <si>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</si>
  <si>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</si>
  <si>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</si>
  <si>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</si>
  <si>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</si>
  <si>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</si>
  <si>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</si>
  <si>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</si>
  <si>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</si>
  <si>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</si>
  <si>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</si>
  <si>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</si>
  <si>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</si>
  <si>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</si>
  <si>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</si>
  <si>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</si>
  <si>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</si>
  <si>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</si>
  <si>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</si>
  <si>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</si>
  <si>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</si>
  <si>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</si>
  <si>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</si>
  <si>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</si>
  <si>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</si>
  <si>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</si>
  <si>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</si>
  <si>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</si>
  <si>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</si>
  <si>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</si>
  <si>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</si>
  <si>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</si>
  <si>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</si>
  <si>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</si>
  <si>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</si>
  <si>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</si>
  <si>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</si>
  <si>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</si>
  <si>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</si>
  <si>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</si>
  <si>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</si>
  <si>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</si>
  <si>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</si>
  <si>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</si>
  <si>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</si>
  <si>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</si>
  <si>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</si>
  <si>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</si>
  <si>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</si>
  <si>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</si>
  <si>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</si>
  <si>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</si>
  <si>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</si>
  <si>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</si>
  <si>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</si>
  <si>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</si>
  <si>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</si>
  <si>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</si>
  <si>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</si>
  <si>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</si>
  <si>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</si>
  <si>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</si>
  <si>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</si>
  <si>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</si>
  <si>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</si>
  <si>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</si>
  <si>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</si>
  <si>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</si>
  <si>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</si>
  <si>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</si>
  <si>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</si>
  <si>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</si>
  <si>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</si>
  <si>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</si>
  <si>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</si>
  <si>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</si>
  <si>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</si>
  <si>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</si>
  <si>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</si>
  <si>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</si>
  <si>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</si>
  <si>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</si>
  <si>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</si>
  <si>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</si>
  <si>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</si>
  <si>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</si>
  <si>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</si>
  <si>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</si>
  <si>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</si>
  <si>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</si>
  <si>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</si>
  <si>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</si>
  <si>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</si>
  <si>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</si>
  <si>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</si>
  <si>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</si>
  <si>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</si>
  <si>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</si>
  <si>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</si>
  <si>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</si>
  <si>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</si>
  <si>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</si>
  <si>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</si>
  <si>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</si>
  <si>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</si>
  <si>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</si>
  <si>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</si>
  <si>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</si>
  <si>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</si>
  <si>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</si>
  <si>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</si>
  <si>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</si>
  <si>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</si>
  <si>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</si>
  <si>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</si>
  <si>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</si>
  <si>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</si>
  <si>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</si>
  <si>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</si>
  <si>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</si>
  <si>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</si>
  <si>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</si>
  <si>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</si>
  <si>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</si>
  <si>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</si>
  <si>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</si>
  <si>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</si>
  <si>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</si>
  <si>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</si>
  <si>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</si>
  <si>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</si>
  <si>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</si>
  <si>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</si>
  <si>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</si>
  <si>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</si>
  <si>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</si>
  <si>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</si>
  <si>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</si>
  <si>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</si>
  <si>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</si>
  <si>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</si>
  <si>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</si>
  <si>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</si>
  <si>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</si>
  <si>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</si>
  <si>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</si>
  <si>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</si>
  <si>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</si>
  <si>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</si>
  <si>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</si>
  <si>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</si>
  <si>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</si>
  <si>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</si>
  <si>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</si>
  <si>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</si>
  <si>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</si>
  <si>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</si>
  <si>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</si>
  <si>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</si>
  <si>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</si>
  <si>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</si>
  <si>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</si>
  <si>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</si>
  <si>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</si>
  <si>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</si>
  <si>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</si>
  <si>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</si>
  <si>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</si>
  <si>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</si>
  <si>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</si>
  <si>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</si>
  <si>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</si>
  <si>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</si>
  <si>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</si>
  <si>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</si>
  <si>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</si>
  <si>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</si>
  <si>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</si>
  <si>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</si>
  <si>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</si>
  <si>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</si>
  <si>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</si>
  <si>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</si>
  <si>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</si>
  <si>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</si>
  <si>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</si>
  <si>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</si>
  <si>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</si>
  <si>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</si>
  <si>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</si>
  <si>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</si>
  <si>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</si>
  <si>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</si>
  <si>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</si>
  <si>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</si>
  <si>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</si>
  <si>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</si>
  <si>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</si>
  <si>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</si>
  <si>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</si>
  <si>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</si>
  <si>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</si>
  <si>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</si>
  <si>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</si>
  <si>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</si>
  <si>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</si>
  <si>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</si>
  <si>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</si>
  <si>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</si>
  <si>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</si>
  <si>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</si>
  <si>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</si>
  <si>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</si>
  <si>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</si>
  <si>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</si>
  <si>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</si>
  <si>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</si>
  <si>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</si>
  <si>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</si>
  <si>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</si>
  <si>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</si>
  <si>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</si>
  <si>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</si>
  <si>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</si>
  <si>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</si>
  <si>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</si>
  <si>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</si>
  <si>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</si>
  <si>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</si>
  <si>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</si>
  <si>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</si>
  <si>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</si>
  <si>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</si>
  <si>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</si>
  <si>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</si>
  <si>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</si>
  <si>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</si>
  <si>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</si>
  <si>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</si>
  <si>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</si>
  <si>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</si>
  <si>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</si>
  <si>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</si>
  <si>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</si>
  <si>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</si>
  <si>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</si>
  <si>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</si>
  <si>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</si>
  <si>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</si>
  <si>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</si>
  <si>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</si>
  <si>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</si>
  <si>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</si>
  <si>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</si>
  <si>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</si>
  <si>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</si>
  <si>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</si>
  <si>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</si>
  <si>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</si>
  <si>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</si>
  <si>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</si>
  <si>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</si>
  <si>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</si>
  <si>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</si>
  <si>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</si>
  <si>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</si>
  <si>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</si>
  <si>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</si>
  <si>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</si>
  <si>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</si>
  <si>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</si>
  <si>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</si>
  <si>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</si>
  <si>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</si>
  <si>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</si>
  <si>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</si>
  <si>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</si>
  <si>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</si>
  <si>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</si>
  <si>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</si>
  <si>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</si>
  <si>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</si>
  <si>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</si>
  <si>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</si>
  <si>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</si>
  <si>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</si>
  <si>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</si>
  <si>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</si>
  <si>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</si>
  <si>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</si>
  <si>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</si>
  <si>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</si>
  <si>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</si>
  <si>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</si>
  <si>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</si>
  <si>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</si>
  <si>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</si>
  <si>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</si>
  <si>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</si>
  <si>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</si>
  <si>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</si>
  <si>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</si>
  <si>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</si>
  <si>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</si>
  <si>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</si>
  <si>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</si>
  <si>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</si>
  <si>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</si>
  <si>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</si>
  <si>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</si>
  <si>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</si>
  <si>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</si>
  <si>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</si>
  <si>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</si>
  <si>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</si>
  <si>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</si>
  <si>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</si>
  <si>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</si>
  <si>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</si>
  <si>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</si>
  <si>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</si>
  <si>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</si>
  <si>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</si>
  <si>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</si>
  <si>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</si>
  <si>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</si>
  <si>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</si>
  <si>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</si>
  <si>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</si>
  <si>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</si>
  <si>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</si>
  <si>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</si>
  <si>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</si>
  <si>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</si>
  <si>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</si>
  <si>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</si>
  <si>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</si>
  <si>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</si>
  <si>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</si>
  <si>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</si>
  <si>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</si>
  <si>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</si>
  <si>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</si>
  <si>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</si>
  <si>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</si>
  <si>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</si>
  <si>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</si>
  <si>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</si>
  <si>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</si>
  <si>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</si>
  <si>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</si>
  <si>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</si>
  <si>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</si>
  <si>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</si>
  <si>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</si>
  <si>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</si>
  <si>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</si>
  <si>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</si>
  <si>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</si>
  <si>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</si>
  <si>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</si>
  <si>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</si>
  <si>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</si>
  <si>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</si>
  <si>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</si>
  <si>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</si>
  <si>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</si>
  <si>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</si>
  <si>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</si>
  <si>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</si>
  <si>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</si>
  <si>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</si>
  <si>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</si>
  <si>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</si>
  <si>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</si>
  <si>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</si>
  <si>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</si>
  <si>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</si>
  <si>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</si>
  <si>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</si>
  <si>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</si>
  <si>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</si>
  <si>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</si>
  <si>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</si>
  <si>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</si>
  <si>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</si>
  <si>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</si>
  <si>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</si>
  <si>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</si>
  <si>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</si>
  <si>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</si>
  <si>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</si>
  <si>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</si>
  <si>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</si>
  <si>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</si>
  <si>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</si>
  <si>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</si>
  <si>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</si>
  <si>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</si>
  <si>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</si>
  <si>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</si>
  <si>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</si>
  <si>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</si>
  <si>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</si>
  <si>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</si>
  <si>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</si>
  <si>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</si>
  <si>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</si>
  <si>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</si>
  <si>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</si>
  <si>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</si>
  <si>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</si>
  <si>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</si>
  <si>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</si>
  <si>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</si>
  <si>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</si>
  <si>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</si>
  <si>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</si>
  <si>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</si>
  <si>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</si>
  <si>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</si>
  <si>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</si>
  <si>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</si>
  <si>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</si>
  <si>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</si>
  <si>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</si>
  <si>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</si>
  <si>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</si>
  <si>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</si>
  <si>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</si>
  <si>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</si>
  <si>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</si>
  <si>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</si>
  <si>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</si>
  <si>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</si>
  <si>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</si>
  <si>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</si>
  <si>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</si>
  <si>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</si>
  <si>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</si>
  <si>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</si>
  <si>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</si>
  <si>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</si>
  <si>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</si>
  <si>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</si>
  <si>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</si>
  <si>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</si>
  <si>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</si>
  <si>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</si>
  <si>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</si>
  <si>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</si>
  <si>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</si>
  <si>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</si>
  <si>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</si>
  <si>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</si>
  <si>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</si>
  <si>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</si>
  <si>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</si>
  <si>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</si>
  <si>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</si>
  <si>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</si>
  <si>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</si>
  <si>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</si>
  <si>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</si>
  <si>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</si>
  <si>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</si>
  <si>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</si>
  <si>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</si>
  <si>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</si>
  <si>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</si>
  <si>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</si>
  <si>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</si>
  <si>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</si>
  <si>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</si>
  <si>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</si>
  <si>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</si>
  <si>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</si>
  <si>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</si>
  <si>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</si>
  <si>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</si>
  <si>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</si>
  <si>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</si>
  <si>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</si>
  <si>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</si>
  <si>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</si>
  <si>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</si>
  <si>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</si>
  <si>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</si>
  <si>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</si>
  <si>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</si>
  <si>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</si>
  <si>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</si>
  <si>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</si>
  <si>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</si>
  <si>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</si>
  <si>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</si>
  <si>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</si>
  <si>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</si>
  <si>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</si>
  <si>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</si>
  <si>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</si>
  <si>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</si>
  <si>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</si>
  <si>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</si>
  <si>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</si>
  <si>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</si>
  <si>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</si>
  <si>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</si>
  <si>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</si>
  <si>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</si>
  <si>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</si>
  <si>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</si>
  <si>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</si>
  <si>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</si>
  <si>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</si>
  <si>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</si>
  <si>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</si>
  <si>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</si>
  <si>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</si>
  <si>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</si>
  <si>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</si>
  <si>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</si>
  <si>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</si>
  <si>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</si>
  <si>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</si>
  <si>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</si>
  <si>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</si>
  <si>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</si>
  <si>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</si>
  <si>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</si>
  <si>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</si>
  <si>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</si>
  <si>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</si>
  <si>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</si>
  <si>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</si>
  <si>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</si>
  <si>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</si>
  <si>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</si>
  <si>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</si>
  <si>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</si>
  <si>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</si>
  <si>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</si>
  <si>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</si>
  <si>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</si>
  <si>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</si>
  <si>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</si>
  <si>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</si>
  <si>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</si>
  <si>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</si>
  <si>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</si>
  <si>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</si>
  <si>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</si>
  <si>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</si>
  <si>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</si>
  <si>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</si>
  <si>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</si>
  <si>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</si>
  <si>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</si>
  <si>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</si>
  <si>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</si>
  <si>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</si>
  <si>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</si>
  <si>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</si>
  <si>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</si>
  <si>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</si>
  <si>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</si>
  <si>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</si>
  <si>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</si>
  <si>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</si>
  <si>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</si>
  <si>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</si>
  <si>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</si>
  <si>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</si>
  <si>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</si>
  <si>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</si>
  <si>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</si>
  <si>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</si>
  <si>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</si>
  <si>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</si>
  <si>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</si>
  <si>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</si>
  <si>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</si>
  <si>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</si>
  <si>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</si>
  <si>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</si>
  <si>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</si>
  <si>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</si>
  <si>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</si>
  <si>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</si>
  <si>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</si>
  <si>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</si>
  <si>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</si>
  <si>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</si>
  <si>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</si>
  <si>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</si>
  <si>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</si>
  <si>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</si>
  <si>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</si>
  <si>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</si>
  <si>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</si>
  <si>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</si>
  <si>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</si>
  <si>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</si>
  <si>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</si>
  <si>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</si>
  <si>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</si>
  <si>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</si>
  <si>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</si>
  <si>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</si>
  <si>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</si>
  <si>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</si>
  <si>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</si>
  <si>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</si>
  <si>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</si>
  <si>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</si>
  <si>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</si>
  <si>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</si>
  <si>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</si>
  <si>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</si>
  <si>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</si>
  <si>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</si>
  <si>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</si>
  <si>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</si>
  <si>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</si>
  <si>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</si>
  <si>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</si>
  <si>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</si>
  <si>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</si>
  <si>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</si>
  <si>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</si>
  <si>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</si>
  <si>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</si>
  <si>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</si>
  <si>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</si>
  <si>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</si>
  <si>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</si>
  <si>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</si>
  <si>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</si>
  <si>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</si>
  <si>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</si>
  <si>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</si>
  <si>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</si>
  <si>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</si>
  <si>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</si>
  <si>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</si>
  <si>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</si>
  <si>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</si>
  <si>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</si>
  <si>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</si>
  <si>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</si>
  <si>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</si>
  <si>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</si>
  <si>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</si>
  <si>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</si>
  <si>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</si>
  <si>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</si>
  <si>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</si>
  <si>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</si>
  <si>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</si>
  <si>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</si>
  <si>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</si>
  <si>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</si>
  <si>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</si>
  <si>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</si>
  <si>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</si>
  <si>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</si>
  <si>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</si>
  <si>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</si>
  <si>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</si>
  <si>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</si>
  <si>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</si>
  <si>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</si>
  <si>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</si>
  <si>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</si>
  <si>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</si>
  <si>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</si>
  <si>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</si>
  <si>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</si>
  <si>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</si>
  <si>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</si>
  <si>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</si>
  <si>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</si>
  <si>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</si>
  <si>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</si>
  <si>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</si>
  <si>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</si>
  <si>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</si>
  <si>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</si>
  <si>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</si>
  <si>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</si>
  <si>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</si>
  <si>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</si>
  <si>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</si>
  <si>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</si>
  <si>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</si>
  <si>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</si>
  <si>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</si>
  <si>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</si>
  <si>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</si>
  <si>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</si>
  <si>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</si>
  <si>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</si>
  <si>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</si>
  <si>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</si>
  <si>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</si>
  <si>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</si>
  <si>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</si>
  <si>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</si>
  <si>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</si>
  <si>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</si>
  <si>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</si>
  <si>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</si>
  <si>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</si>
  <si>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</si>
  <si>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</si>
  <si>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</si>
  <si>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</si>
  <si>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</si>
  <si>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</si>
  <si>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</si>
  <si>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</si>
  <si>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</si>
  <si>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</si>
  <si>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</si>
  <si>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</si>
  <si>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</si>
  <si>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</si>
  <si>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</si>
  <si>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</si>
  <si>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</si>
  <si>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</si>
  <si>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</si>
  <si>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</si>
  <si>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</si>
  <si>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</si>
  <si>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</si>
  <si>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</si>
  <si>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</si>
  <si>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</si>
  <si>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</si>
  <si>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</si>
  <si>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</si>
  <si>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</si>
  <si>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</si>
  <si>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</si>
  <si>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</si>
  <si>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</si>
  <si>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</si>
  <si>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</si>
  <si>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</si>
  <si>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</si>
  <si>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</si>
  <si>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</si>
  <si>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</si>
  <si>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</si>
  <si>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</si>
  <si>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</si>
  <si>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</si>
  <si>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</si>
  <si>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</si>
  <si>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</si>
  <si>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</si>
  <si>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</si>
  <si>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</si>
  <si>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</si>
  <si>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</si>
  <si>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</si>
  <si>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</si>
  <si>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</si>
  <si>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</si>
  <si>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</si>
  <si>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</si>
  <si>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</si>
  <si>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</si>
  <si>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</si>
  <si>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</si>
  <si>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</si>
  <si>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</si>
  <si>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</si>
  <si>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</si>
  <si>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</si>
  <si>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</si>
  <si>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</si>
  <si>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</si>
  <si>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</si>
  <si>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</si>
  <si>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</si>
  <si>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</si>
  <si>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</si>
  <si>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</si>
  <si>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</si>
  <si>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</si>
  <si>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</si>
  <si>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</si>
  <si>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</si>
  <si>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</si>
  <si>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</si>
  <si>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</si>
  <si>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</si>
  <si>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</si>
  <si>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</si>
  <si>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</si>
  <si>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</si>
  <si>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</si>
  <si>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</si>
  <si>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</si>
  <si>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</si>
  <si>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</si>
  <si>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</si>
  <si>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</si>
  <si>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</si>
  <si>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</si>
  <si>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</si>
  <si>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</si>
  <si>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</si>
  <si>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</si>
  <si>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</si>
  <si>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</si>
  <si>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</si>
  <si>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</si>
  <si>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</si>
  <si>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</si>
  <si>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</si>
  <si>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</si>
  <si>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</si>
  <si>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</si>
  <si>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</si>
  <si>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</si>
  <si>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</si>
  <si>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</si>
  <si>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</si>
  <si>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</si>
  <si>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</si>
  <si>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</si>
  <si>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</si>
  <si>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</si>
  <si>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</si>
  <si>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</si>
  <si>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</si>
  <si>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</si>
  <si>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</si>
  <si>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</si>
  <si>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</si>
  <si>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</si>
  <si>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</si>
  <si>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</si>
  <si>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</si>
  <si>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</si>
  <si>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</si>
  <si>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</si>
  <si>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</si>
  <si>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</si>
  <si>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</si>
  <si>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</si>
  <si>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</si>
  <si>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</si>
  <si>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</si>
  <si>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</si>
  <si>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</si>
  <si>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</si>
  <si>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</si>
  <si>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</si>
  <si>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</si>
  <si>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</si>
  <si>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</si>
  <si>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</si>
  <si>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</si>
  <si>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</si>
  <si>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</si>
  <si>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</si>
  <si>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</si>
  <si>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</si>
  <si>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</si>
  <si>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</si>
  <si>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</si>
  <si>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</si>
  <si>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</si>
  <si>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</si>
  <si>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</si>
  <si>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</si>
  <si>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</si>
  <si>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</si>
  <si>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</si>
  <si>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</si>
  <si>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</si>
  <si>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</si>
  <si>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</si>
  <si>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</si>
  <si>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</si>
  <si>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</si>
  <si>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</si>
  <si>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</si>
  <si>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</si>
  <si>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</si>
  <si>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</si>
  <si>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</si>
  <si>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</si>
  <si>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</si>
  <si>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</si>
  <si>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</si>
  <si>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</si>
  <si>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</si>
  <si>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</si>
  <si>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</si>
  <si>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</si>
  <si>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</si>
  <si>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</si>
  <si>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</si>
  <si>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</si>
  <si>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</si>
  <si>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</si>
  <si>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</si>
  <si>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</si>
  <si>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</si>
  <si>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</si>
  <si>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</si>
  <si>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</si>
  <si>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</si>
  <si>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</si>
  <si>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</si>
  <si>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</si>
  <si>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</si>
  <si>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</si>
  <si>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</si>
  <si>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</si>
  <si>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</si>
  <si>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</si>
  <si>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</si>
  <si>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</si>
  <si>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</si>
  <si>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</si>
  <si>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</si>
  <si>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</si>
  <si>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</si>
  <si>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</si>
  <si>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</si>
  <si>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</si>
  <si>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</si>
  <si>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</si>
  <si>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</si>
  <si>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</si>
  <si>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</si>
  <si>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</si>
  <si>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</si>
  <si>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</si>
  <si>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</si>
  <si>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</si>
  <si>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</si>
  <si>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</si>
  <si>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</si>
  <si>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</si>
  <si>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</si>
  <si>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</si>
  <si>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</si>
  <si>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</si>
  <si>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</si>
  <si>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</si>
  <si>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</si>
  <si>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</si>
  <si>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</si>
  <si>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</si>
  <si>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</si>
  <si>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</si>
  <si>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</si>
  <si>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</si>
  <si>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</si>
  <si>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</si>
  <si>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</si>
  <si>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</si>
  <si>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</si>
  <si>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</si>
  <si>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</si>
  <si>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</si>
  <si>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</si>
  <si>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</si>
  <si>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</si>
  <si>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</si>
  <si>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</si>
  <si>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</si>
  <si>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</si>
  <si>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</si>
  <si>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</si>
  <si>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</si>
  <si>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</si>
  <si>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</si>
  <si>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</si>
  <si>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</si>
  <si>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</si>
  <si>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</si>
  <si>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</si>
  <si>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</si>
  <si>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</si>
  <si>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</si>
  <si>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</si>
  <si>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</si>
  <si>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</si>
  <si>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</si>
  <si>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</si>
  <si>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</si>
  <si>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</si>
  <si>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</si>
  <si>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</si>
  <si>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</si>
  <si>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</si>
  <si>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</si>
  <si>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</si>
  <si>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</si>
  <si>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</si>
  <si>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</si>
  <si>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</si>
  <si>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</si>
  <si>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</si>
  <si>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</si>
  <si>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</si>
  <si>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</si>
  <si>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</si>
  <si>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</si>
  <si>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</si>
  <si>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</si>
  <si>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</si>
  <si>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</si>
  <si>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</si>
  <si>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</si>
  <si>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</si>
  <si>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</si>
  <si>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</si>
  <si>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</si>
  <si>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</si>
  <si>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</si>
  <si>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</si>
  <si>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</si>
  <si>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</si>
  <si>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</si>
  <si>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</si>
  <si>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</si>
  <si>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</si>
  <si>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</si>
  <si>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</si>
  <si>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</si>
  <si>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</si>
  <si>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</si>
  <si>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</si>
  <si>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</si>
  <si>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</si>
  <si>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</si>
  <si>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</si>
  <si>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</si>
  <si>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</si>
  <si>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</si>
  <si>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</si>
  <si>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</si>
  <si>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</si>
  <si>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</si>
  <si>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</si>
  <si>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</si>
  <si>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</si>
  <si>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</si>
  <si>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</si>
  <si>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</si>
  <si>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</si>
  <si>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</si>
  <si>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</si>
  <si>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</si>
  <si>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</si>
  <si>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</si>
  <si>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</si>
  <si>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</si>
  <si>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</si>
  <si>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</si>
  <si>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</si>
  <si>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</si>
  <si>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</si>
  <si>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</si>
  <si>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</si>
  <si>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</si>
  <si>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</si>
  <si>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</si>
  <si>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</si>
  <si>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</si>
  <si>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</si>
  <si>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</si>
  <si>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</si>
  <si>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</si>
  <si>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</si>
  <si>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</si>
  <si>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</si>
  <si>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</si>
  <si>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</si>
  <si>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</si>
  <si>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</si>
  <si>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</si>
  <si>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</si>
  <si>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</si>
  <si>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</si>
  <si>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</si>
  <si>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</si>
  <si>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</si>
  <si>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</si>
  <si>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</si>
  <si>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</si>
  <si>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</si>
  <si>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</si>
  <si>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</si>
  <si>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</si>
  <si>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</si>
  <si>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</si>
  <si>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</si>
  <si>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</si>
  <si>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</si>
  <si>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</si>
  <si>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</si>
  <si>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</si>
  <si>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</si>
  <si>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</si>
  <si>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</si>
  <si>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</si>
  <si>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</si>
  <si>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</si>
  <si>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</si>
  <si>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</si>
  <si>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</si>
  <si>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</si>
  <si>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</si>
  <si>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</si>
  <si>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</si>
  <si>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</si>
  <si>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</si>
  <si>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</si>
  <si>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</si>
  <si>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</si>
  <si>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</si>
  <si>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</si>
  <si>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</si>
  <si>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</si>
  <si>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</si>
  <si>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</si>
  <si>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</si>
  <si>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</si>
  <si>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</si>
  <si>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</si>
  <si>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</si>
  <si>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</si>
  <si>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</si>
  <si>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</si>
  <si>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</si>
  <si>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</si>
  <si>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</si>
  <si>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</si>
  <si>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</si>
  <si>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</si>
  <si>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</si>
  <si>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</si>
  <si>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</si>
  <si>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</si>
  <si>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</si>
  <si>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</si>
  <si>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</si>
  <si>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</si>
  <si>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</si>
  <si>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</si>
  <si>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</si>
  <si>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</si>
  <si>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</si>
  <si>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</si>
  <si>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</si>
  <si>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</si>
  <si>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</si>
  <si>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</si>
  <si>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</si>
  <si>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</si>
  <si>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</si>
  <si>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</si>
  <si>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</si>
  <si>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</si>
  <si>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</si>
  <si>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</si>
  <si>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</si>
  <si>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</si>
  <si>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</si>
  <si>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</si>
  <si>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</si>
  <si>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</si>
  <si>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</si>
  <si>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</si>
  <si>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</si>
  <si>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</si>
  <si>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</si>
  <si>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</si>
  <si>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</si>
  <si>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</si>
  <si>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</si>
  <si>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</si>
  <si>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</si>
  <si>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</si>
  <si>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</si>
  <si>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</si>
  <si>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</si>
  <si>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</si>
  <si>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</si>
  <si>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</si>
  <si>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</si>
  <si>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</si>
  <si>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</si>
  <si>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</si>
  <si>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</si>
  <si>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</si>
  <si>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</si>
  <si>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</si>
  <si>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</si>
  <si>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</si>
  <si>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</si>
  <si>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</si>
  <si>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</si>
  <si>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</si>
  <si>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</si>
  <si>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</si>
  <si>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</si>
  <si>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</si>
  <si>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</si>
  <si>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</si>
  <si>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</si>
  <si>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</si>
  <si>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</si>
  <si>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</si>
  <si>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</si>
  <si>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</si>
  <si>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</si>
  <si>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</si>
  <si>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</si>
  <si>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</si>
  <si>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</si>
  <si>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</si>
  <si>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</si>
  <si>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</si>
  <si>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</si>
  <si>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</si>
  <si>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</si>
  <si>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</si>
  <si>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</si>
  <si>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</si>
  <si>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</si>
  <si>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</si>
  <si>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</si>
  <si>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</si>
  <si>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</si>
  <si>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</si>
  <si>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</si>
  <si>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</si>
  <si>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</si>
  <si>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</si>
  <si>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</si>
  <si>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</si>
  <si>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</si>
  <si>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</si>
  <si>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</si>
  <si>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</si>
  <si>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</si>
  <si>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</si>
  <si>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</si>
  <si>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</si>
  <si>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</si>
  <si>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</si>
  <si>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</si>
  <si>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</si>
  <si>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</si>
  <si>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</si>
  <si>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</si>
  <si>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</si>
  <si>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</si>
  <si>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</si>
  <si>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</si>
  <si>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</si>
  <si>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</si>
  <si>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</si>
  <si>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</si>
  <si>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</si>
  <si>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</si>
  <si>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</si>
  <si>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</si>
  <si>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</si>
  <si>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</si>
  <si>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</si>
  <si>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</si>
  <si>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</si>
  <si>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</si>
  <si>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</si>
  <si>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</si>
  <si>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</si>
  <si>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</si>
  <si>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</si>
  <si>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</si>
  <si>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</si>
  <si>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</si>
  <si>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</si>
  <si>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</si>
  <si>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</si>
  <si>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</si>
  <si>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</si>
  <si>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</si>
  <si>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</si>
  <si>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</si>
  <si>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</si>
  <si>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</si>
  <si>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</si>
  <si>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</si>
  <si>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</si>
  <si>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</si>
  <si>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</si>
  <si>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</si>
  <si>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</si>
  <si>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</si>
  <si>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</si>
  <si>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</si>
  <si>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</si>
  <si>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</si>
  <si>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</si>
  <si>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</si>
  <si>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</si>
  <si>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</si>
  <si>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</si>
  <si>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</si>
  <si>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</si>
  <si>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</si>
  <si>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</si>
  <si>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</si>
  <si>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</si>
  <si>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</si>
  <si>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</si>
  <si>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</si>
  <si>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</si>
  <si>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</si>
  <si>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</si>
  <si>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</si>
  <si>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</si>
  <si>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</si>
  <si>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</si>
  <si>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</si>
  <si>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</si>
  <si>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</si>
  <si>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</si>
  <si>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</si>
  <si>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</si>
  <si>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</si>
  <si>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</si>
  <si>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</si>
  <si>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</si>
  <si>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</si>
  <si>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</si>
  <si>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</si>
  <si>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</si>
  <si>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</si>
  <si>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</si>
  <si>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</si>
  <si>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</si>
  <si>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</si>
  <si>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</si>
  <si>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</si>
  <si>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</si>
  <si>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</si>
  <si>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</si>
  <si>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</si>
  <si>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</si>
  <si>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</si>
  <si>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</si>
  <si>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</si>
  <si>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</si>
  <si>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</si>
  <si>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</si>
  <si>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</si>
  <si>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</si>
  <si>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</si>
  <si>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</si>
  <si>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</si>
  <si>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</si>
  <si>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</si>
  <si>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</si>
  <si>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</si>
  <si>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</si>
  <si>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</si>
  <si>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</si>
  <si>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</si>
  <si>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</si>
  <si>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</si>
  <si>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</si>
  <si>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</si>
  <si>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</si>
  <si>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</si>
  <si>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</si>
  <si>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</si>
  <si>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</si>
  <si>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</si>
  <si>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</si>
  <si>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</si>
  <si>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</si>
  <si>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</si>
  <si>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</si>
  <si>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</si>
  <si>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</si>
  <si>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</si>
  <si>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</si>
  <si>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</si>
  <si>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</si>
  <si>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</si>
  <si>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</si>
  <si>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</si>
  <si>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</si>
  <si>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</si>
  <si>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</si>
  <si>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</si>
  <si>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</si>
  <si>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</si>
  <si>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</si>
  <si>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</si>
  <si>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</si>
  <si>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</si>
  <si>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</si>
  <si>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</si>
  <si>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</si>
  <si>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</si>
  <si>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</si>
  <si>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</si>
  <si>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</si>
  <si>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</si>
  <si>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</si>
  <si>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</si>
  <si>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</si>
  <si>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</si>
  <si>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</si>
  <si>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</si>
  <si>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</si>
  <si>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</si>
  <si>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</si>
  <si>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</si>
  <si>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</si>
  <si>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</si>
  <si>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</si>
  <si>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</si>
  <si>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</si>
  <si>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</si>
  <si>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</si>
  <si>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</si>
  <si>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</si>
  <si>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</si>
  <si>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</si>
  <si>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</si>
  <si>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</si>
  <si>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</si>
  <si>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</si>
  <si>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</si>
  <si>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</si>
  <si>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</si>
  <si>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</si>
  <si>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</si>
  <si>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</si>
  <si>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</si>
  <si>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</si>
  <si>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</si>
  <si>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</si>
  <si>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</si>
  <si>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</si>
  <si>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</si>
  <si>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</si>
  <si>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</si>
  <si>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</si>
  <si>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</si>
  <si>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</si>
  <si>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</si>
  <si>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</si>
  <si>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</si>
  <si>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</si>
  <si>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</si>
  <si>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</si>
  <si>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</si>
  <si>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</si>
  <si>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</si>
  <si>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</si>
  <si>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</si>
  <si>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</si>
  <si>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</si>
  <si>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</si>
  <si>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</si>
  <si>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</si>
  <si>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</si>
  <si>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</si>
  <si>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</si>
  <si>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</si>
  <si>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</si>
  <si>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</si>
  <si>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</si>
  <si>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</si>
  <si>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</si>
  <si>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</si>
  <si>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</si>
  <si>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</si>
  <si>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</si>
  <si>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</si>
  <si>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</si>
  <si>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</si>
  <si>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</si>
  <si>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</si>
  <si>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</si>
  <si>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</si>
  <si>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</si>
  <si>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</si>
  <si>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</si>
  <si>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</si>
  <si>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</si>
  <si>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</si>
  <si>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</si>
  <si>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</si>
  <si>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</si>
  <si>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</si>
  <si>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</si>
  <si>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</si>
  <si>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</si>
  <si>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</si>
  <si>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</si>
  <si>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</si>
  <si>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</si>
  <si>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</si>
  <si>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</si>
  <si>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</si>
  <si>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</si>
  <si>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</si>
  <si>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</si>
  <si>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</si>
  <si>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</si>
  <si>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</si>
  <si>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</si>
  <si>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</si>
  <si>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</si>
  <si>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</si>
  <si>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</si>
  <si>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</si>
  <si>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</si>
  <si>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</si>
  <si>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</si>
  <si>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</si>
  <si>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</si>
  <si>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</si>
  <si>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</si>
  <si>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</si>
  <si>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</si>
  <si>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</si>
  <si>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</si>
  <si>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</si>
  <si>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</si>
  <si>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</si>
  <si>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</si>
  <si>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</si>
  <si>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</si>
  <si>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</si>
  <si>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</si>
  <si>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</si>
  <si>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</si>
  <si>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</si>
  <si>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</si>
  <si>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</si>
  <si>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</si>
  <si>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</si>
  <si>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</si>
  <si>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</si>
  <si>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</si>
  <si>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</si>
  <si>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</si>
  <si>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</si>
  <si>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</si>
  <si>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</si>
  <si>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</si>
  <si>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</si>
  <si>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</si>
  <si>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</si>
  <si>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</si>
  <si>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</si>
  <si>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</si>
  <si>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</si>
  <si>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</si>
  <si>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</si>
  <si>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</si>
  <si>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</si>
  <si>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</si>
  <si>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</si>
  <si>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</si>
  <si>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</si>
  <si>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</si>
  <si>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</si>
  <si>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</si>
  <si>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</si>
  <si>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</si>
  <si>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</si>
  <si>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</si>
  <si>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</si>
  <si>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</si>
  <si>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</si>
  <si>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</si>
  <si>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</si>
  <si>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</si>
  <si>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</si>
  <si>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</si>
  <si>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</si>
  <si>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</si>
  <si>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</si>
  <si>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</si>
  <si>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</si>
  <si>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</si>
  <si>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</si>
  <si>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</si>
  <si>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</si>
  <si>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</si>
  <si>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</si>
  <si>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</si>
  <si>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</si>
  <si>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</si>
  <si>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</si>
  <si>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</si>
  <si>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</si>
  <si>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</si>
  <si>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</si>
  <si>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</si>
  <si>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</si>
  <si>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</si>
  <si>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</si>
  <si>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</si>
  <si>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</si>
  <si>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</si>
  <si>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</si>
  <si>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</si>
  <si>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</si>
  <si>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</si>
  <si>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</si>
  <si>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</si>
  <si>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</si>
  <si>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</si>
  <si>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</si>
  <si>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</si>
  <si>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</si>
  <si>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</si>
  <si>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</si>
  <si>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</si>
  <si>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</si>
  <si>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</si>
  <si>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</si>
  <si>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</si>
  <si>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</si>
  <si>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</si>
  <si>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</si>
  <si>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</si>
  <si>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</si>
  <si>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</si>
  <si>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</si>
  <si>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</si>
  <si>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</si>
  <si>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</si>
  <si>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</si>
  <si>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</si>
  <si>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</si>
  <si>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</si>
  <si>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</si>
  <si>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</si>
  <si>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</si>
  <si>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</si>
  <si>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</si>
  <si>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</si>
  <si>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</si>
  <si>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</si>
  <si>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</si>
  <si>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</si>
  <si>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</si>
  <si>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</si>
  <si>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</si>
  <si>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</si>
  <si>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</si>
  <si>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</si>
  <si>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</si>
  <si>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</si>
  <si>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</si>
  <si>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</si>
  <si>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</si>
  <si>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</si>
  <si>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</si>
  <si>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</si>
  <si>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</si>
  <si>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</si>
  <si>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</si>
  <si>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</si>
  <si>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</si>
  <si>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</si>
  <si>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</si>
  <si>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</si>
  <si>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</si>
  <si>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</si>
  <si>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</si>
  <si>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</si>
  <si>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</si>
  <si>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</si>
  <si>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</si>
  <si>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</si>
  <si>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</si>
  <si>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</si>
  <si>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</si>
  <si>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</si>
  <si>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</si>
  <si>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</si>
  <si>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</si>
  <si>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</si>
  <si>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</si>
  <si>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</si>
  <si>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</si>
  <si>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</si>
  <si>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</si>
  <si>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</si>
  <si>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</si>
  <si>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</si>
  <si>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</si>
  <si>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</si>
  <si>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</si>
  <si>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</si>
  <si>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</si>
  <si>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</si>
  <si>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</si>
  <si>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</si>
  <si>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</si>
  <si>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</si>
  <si>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</si>
  <si>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</si>
  <si>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</si>
  <si>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</si>
  <si>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</si>
  <si>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</si>
  <si>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</si>
  <si>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</si>
  <si>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</si>
  <si>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</si>
  <si>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</si>
  <si>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</si>
  <si>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</si>
  <si>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</si>
  <si>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</si>
  <si>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</si>
  <si>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</si>
  <si>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</si>
  <si>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</si>
  <si>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</si>
  <si>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</si>
  <si>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</si>
  <si>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</si>
  <si>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</si>
  <si>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</si>
  <si>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</si>
  <si>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</si>
  <si>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</si>
  <si>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</si>
  <si>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</si>
  <si>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</si>
  <si>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</si>
  <si>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</si>
  <si>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</si>
  <si>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</si>
  <si>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</si>
  <si>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</si>
  <si>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</si>
  <si>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</si>
  <si>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</si>
  <si>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</si>
  <si>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</si>
  <si>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</si>
  <si>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</si>
  <si>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</si>
  <si>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</si>
  <si>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</si>
  <si>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</si>
  <si>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</si>
  <si>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</si>
  <si>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</si>
  <si>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</si>
  <si>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</si>
  <si>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</si>
  <si>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</si>
  <si>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</si>
  <si>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</si>
  <si>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</si>
  <si>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</si>
  <si>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</si>
  <si>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</si>
  <si>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</si>
  <si>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</si>
  <si>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</si>
  <si>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</si>
  <si>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</si>
  <si>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</si>
  <si>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</si>
  <si>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</si>
  <si>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</si>
  <si>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</si>
  <si>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</si>
  <si>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</si>
  <si>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</si>
  <si>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</si>
  <si>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</si>
  <si>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</si>
  <si>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</si>
  <si>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</si>
  <si>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</si>
  <si>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</si>
  <si>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</si>
  <si>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</si>
  <si>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</si>
  <si>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</si>
  <si>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</si>
  <si>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</si>
  <si>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</si>
  <si>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</si>
  <si>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</si>
  <si>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</si>
  <si>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</si>
  <si>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</si>
  <si>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</si>
  <si>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</si>
  <si>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</si>
  <si>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</si>
  <si>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</si>
  <si>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</si>
  <si>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</si>
  <si>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</si>
  <si>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</si>
  <si>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</si>
  <si>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</si>
  <si>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</si>
  <si>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</si>
  <si>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</si>
  <si>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</si>
  <si>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</si>
  <si>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</si>
  <si>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</si>
  <si>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</si>
  <si>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</si>
  <si>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</si>
  <si>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</si>
  <si>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</si>
  <si>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</si>
  <si>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</si>
  <si>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</si>
  <si>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</si>
  <si>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</si>
  <si>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</si>
  <si>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</si>
  <si>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</si>
  <si>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</si>
  <si>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</si>
  <si>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</si>
  <si>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</si>
  <si>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</si>
  <si>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</si>
  <si>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</si>
  <si>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</si>
  <si>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</si>
  <si>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</si>
  <si>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</si>
  <si>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</si>
  <si>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</si>
  <si>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</si>
  <si>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</si>
  <si>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</si>
  <si>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</si>
  <si>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</si>
  <si>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</si>
  <si>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</si>
  <si>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</si>
  <si>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</si>
  <si>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</si>
  <si>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</si>
  <si>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</si>
  <si>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</si>
  <si>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</si>
  <si>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</si>
  <si>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</si>
  <si>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</si>
  <si>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</si>
  <si>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</si>
  <si>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</si>
  <si>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</si>
  <si>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</si>
  <si>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</si>
  <si>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</si>
  <si>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</si>
  <si>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</si>
  <si>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</si>
  <si>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</si>
  <si>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</si>
  <si>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</si>
  <si>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</si>
  <si>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</si>
  <si>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</si>
  <si>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</si>
  <si>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</si>
  <si>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</si>
  <si>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</si>
  <si>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</si>
  <si>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</si>
  <si>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</si>
  <si>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</si>
  <si>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</si>
  <si>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</si>
  <si>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</si>
  <si>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</si>
  <si>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</si>
  <si>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</si>
  <si>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</si>
  <si>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</si>
  <si>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</si>
  <si>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</si>
  <si>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</si>
  <si>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</si>
  <si>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</si>
  <si>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</si>
  <si>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</si>
  <si>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</si>
  <si>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</si>
  <si>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</si>
  <si>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</si>
  <si>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</si>
  <si>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</si>
  <si>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</si>
  <si>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</si>
  <si>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</si>
  <si>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</si>
  <si>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</si>
  <si>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</si>
  <si>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</si>
  <si>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</si>
  <si>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</si>
  <si>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</si>
  <si>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</si>
  <si>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</si>
  <si>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</si>
  <si>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</si>
  <si>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</si>
  <si>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</si>
  <si>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</si>
  <si>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</si>
  <si>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</si>
  <si>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</si>
  <si>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</si>
  <si>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</si>
  <si>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</si>
  <si>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</si>
  <si>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</si>
  <si>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</si>
  <si>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</si>
  <si>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</si>
  <si>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</si>
  <si>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</si>
  <si>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</si>
  <si>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</si>
  <si>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</si>
  <si>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</si>
  <si>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</si>
  <si>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</si>
  <si>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</si>
  <si>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</si>
  <si>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</si>
  <si>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</si>
  <si>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</si>
  <si>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</si>
  <si>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</si>
  <si>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</si>
  <si>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</si>
  <si>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</si>
  <si>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</si>
  <si>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</si>
  <si>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</si>
  <si>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</si>
  <si>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</si>
  <si>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</si>
  <si>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</si>
  <si>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</si>
  <si>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</si>
  <si>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</si>
  <si>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</si>
  <si>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</si>
  <si>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</si>
  <si>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</si>
  <si>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</si>
  <si>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</si>
  <si>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</si>
  <si>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</si>
  <si>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</si>
  <si>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</si>
  <si>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</si>
  <si>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</si>
  <si>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</si>
  <si>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</si>
  <si>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</si>
  <si>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</si>
  <si>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</si>
  <si>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</si>
  <si>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</si>
  <si>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</si>
  <si>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</si>
  <si>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</si>
  <si>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</si>
  <si>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</si>
  <si>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</si>
  <si>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</si>
  <si>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</si>
  <si>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</si>
  <si>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</si>
  <si>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</si>
  <si>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</si>
  <si>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</si>
  <si>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</si>
  <si>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</si>
  <si>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</si>
  <si>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</si>
  <si>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</si>
  <si>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</si>
  <si>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</si>
  <si>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</si>
  <si>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</si>
  <si>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</si>
  <si>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</si>
  <si>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</si>
  <si>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</si>
  <si>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</si>
  <si>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</si>
  <si>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</si>
  <si>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</si>
  <si>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</si>
  <si>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</si>
  <si>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</si>
  <si>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</si>
  <si>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</si>
  <si>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</si>
  <si>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</si>
  <si>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</si>
  <si>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</si>
  <si>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</si>
  <si>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</si>
  <si>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</si>
  <si>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</si>
  <si>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</si>
  <si>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</si>
  <si>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</si>
  <si>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</si>
  <si>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</si>
  <si>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</si>
  <si>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</si>
  <si>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</si>
  <si>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</si>
  <si>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</si>
  <si>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</si>
  <si>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</si>
  <si>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</si>
  <si>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</si>
  <si>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</si>
  <si>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</si>
  <si>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</si>
  <si>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</si>
  <si>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</si>
  <si>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</si>
  <si>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</si>
  <si>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</si>
  <si>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</si>
  <si>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</si>
  <si>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</si>
  <si>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</si>
  <si>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</si>
  <si>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</si>
  <si>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</si>
  <si>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</si>
  <si>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</si>
  <si>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</si>
  <si>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</si>
  <si>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</si>
  <si>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</si>
  <si>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</si>
  <si>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</si>
  <si>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</si>
  <si>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</si>
  <si>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</si>
  <si>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</si>
  <si>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</si>
  <si>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</si>
  <si>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</si>
  <si>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</si>
  <si>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</si>
  <si>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</si>
  <si>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</si>
  <si>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</si>
  <si>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</si>
  <si>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</si>
  <si>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CBRE</t>
  </si>
  <si>
    <t>Jeff Beaudette</t>
  </si>
  <si>
    <t>240-351-7172</t>
  </si>
  <si>
    <t>jeffbeaudette@churchofjesuschrist.org</t>
  </si>
  <si>
    <t>Colin Whitfield  202-769-7290</t>
  </si>
  <si>
    <t>2100 Hollywood Dr</t>
  </si>
  <si>
    <t>York, PA  17403-4847</t>
  </si>
  <si>
    <t>key code:  58343 south side entrance by the shed</t>
  </si>
  <si>
    <t>next to YW rm</t>
  </si>
  <si>
    <t>tp&amp;carriers</t>
  </si>
  <si>
    <t>Travis Bradshaw</t>
  </si>
  <si>
    <t>XX</t>
  </si>
  <si>
    <t>per Jeff Beaudette</t>
  </si>
  <si>
    <t>Next to YW room</t>
  </si>
  <si>
    <t>tension pulley and carriers</t>
  </si>
  <si>
    <t>travis@coltoninc.com</t>
  </si>
  <si>
    <t>West York, York, Columbia WO#C5006244-00287</t>
  </si>
  <si>
    <t>Commission</t>
  </si>
  <si>
    <t>3 pair</t>
  </si>
  <si>
    <t>5th Avenue lined w/Liteless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</si>
</sst>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6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0" fontId="7" fillId="0" borderId="0" xfId="11" applyNumberFormat="1" applyFont="1"/>
    <xf numFmtId="44" fontId="13" fillId="0" borderId="0" xfId="4" quotePrefix="1" applyNumberFormat="1" applyAlignment="1" applyProtection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1609725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3" Type="http://schemas.openxmlformats.org/officeDocument/2006/relationships/printerSettings" Target="../printerSettings/printerSettings3.bin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2" Type="http://schemas.openxmlformats.org/officeDocument/2006/relationships/hyperlink" Target="mailto:jeffbeaudette@churchofjesuschrist.org" TargetMode="Externa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vmlDrawing" Target="../drawings/vmlDrawing1.vml"/><Relationship Id="rId10" Type="http://schemas.openxmlformats.org/officeDocument/2006/relationships/ctrlProp" Target="../ctrlProps/ctrlProp5.xml"/><Relationship Id="rId4" Type="http://schemas.openxmlformats.org/officeDocument/2006/relationships/drawing" Target="../drawings/drawing2.xml"/><Relationship Id="rId9" Type="http://schemas.openxmlformats.org/officeDocument/2006/relationships/ctrlProp" Target="../ctrlProps/ctrlProp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K113"/>
  <sheetViews>
    <sheetView showGridLines="0" tabSelected="1" view="pageBreakPreview" zoomScaleNormal="100" zoomScaleSheetLayoutView="100" workbookViewId="0">
      <selection activeCell="H18" sqref="H18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4.42578125" customWidth="1"/>
    <col min="6" max="6" width="16.85546875" customWidth="1"/>
    <col min="7" max="7" width="0.85546875" customWidth="1"/>
    <col min="8" max="8" width="29.5703125" customWidth="1"/>
    <col min="9" max="9" width="0.42578125" customWidth="1"/>
    <col min="10" max="10" width="0.28515625" style="2" customWidth="1"/>
  </cols>
  <sheetData>
    <row r="8" spans="1:11">
      <c r="A8" s="16"/>
    </row>
    <row r="9" spans="1:11" ht="36.6" customHeight="1">
      <c r="D9" s="265" t="s">
        <v>92</v>
      </c>
    </row>
    <row r="10" spans="1:11" ht="11.1" customHeight="1">
      <c r="D10" s="17"/>
    </row>
    <row r="11" spans="1:11" s="267" customFormat="1" ht="14.25">
      <c r="A11" s="283" t="s">
        <v>3</v>
      </c>
      <c r="B11" s="284">
        <v>45834</v>
      </c>
      <c r="C11" s="285"/>
      <c r="D11" s="285"/>
      <c r="E11" s="285"/>
      <c r="F11" s="285"/>
      <c r="G11" s="286"/>
      <c r="H11" s="285"/>
      <c r="I11" s="285"/>
      <c r="J11" s="285"/>
    </row>
    <row r="12" spans="1:11" s="267" customFormat="1" ht="14.25">
      <c r="A12" s="283"/>
      <c r="B12" s="285"/>
      <c r="C12" s="285"/>
      <c r="D12" s="285"/>
      <c r="E12" s="268"/>
      <c r="F12" s="285"/>
      <c r="G12" s="286"/>
      <c r="H12" s="285"/>
      <c r="I12" s="285"/>
      <c r="J12" s="285"/>
    </row>
    <row r="13" spans="1:11" ht="13.7" customHeight="1">
      <c r="A13" s="287" t="s">
        <v>96</v>
      </c>
      <c r="B13" s="297" t="str">
        <f>Worksheet!D3</f>
        <v>CBRE</v>
      </c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14.25" customHeight="1">
      <c r="A14" s="266" t="s">
        <v>2</v>
      </c>
      <c r="B14" s="298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8.65" customHeight="1">
      <c r="A15" s="266"/>
      <c r="B15" s="288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97</v>
      </c>
      <c r="B16" s="297" t="str">
        <f>Worksheet!D6</f>
        <v>Jeff Beaudette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105</v>
      </c>
      <c r="B17" s="266" t="str">
        <f>Worksheet!J7</f>
        <v>jeffbeaudette@churchofjesuschrist.org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99</v>
      </c>
      <c r="B18" s="238"/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103</v>
      </c>
      <c r="B19" s="238" t="str">
        <f>Worksheet!J6</f>
        <v>240-351-7172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2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2"/>
    </row>
    <row r="22" spans="1:11" ht="24.2" customHeight="1">
      <c r="A22" s="289" t="s">
        <v>2519</v>
      </c>
      <c r="B22" s="290" t="str">
        <f>Worksheet!W4</f>
        <v>West York, York, Columbia WO#C5006244-00287</v>
      </c>
      <c r="C22" s="290"/>
      <c r="D22" s="290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2520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2"/>
    </row>
    <row r="26" spans="1:11">
      <c r="A26" s="238"/>
      <c r="B26" s="238"/>
      <c r="C26" s="238"/>
      <c r="D26" s="239" t="s">
        <v>6</v>
      </c>
      <c r="E26" s="239"/>
      <c r="F26" s="239"/>
      <c r="G26" s="239"/>
      <c r="H26" s="239"/>
      <c r="I26" s="238"/>
      <c r="J26" s="282"/>
    </row>
    <row r="27" spans="1:11">
      <c r="A27" s="238"/>
      <c r="B27" s="240" t="s">
        <v>104</v>
      </c>
      <c r="C27" s="240"/>
      <c r="D27" s="291" t="s">
        <v>98</v>
      </c>
      <c r="E27" s="291"/>
      <c r="F27" s="291" t="s">
        <v>11</v>
      </c>
      <c r="G27" s="291"/>
      <c r="H27" s="291" t="s">
        <v>12</v>
      </c>
      <c r="I27" s="291"/>
      <c r="J27" s="28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2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2"/>
      <c r="K29" s="2"/>
    </row>
    <row r="30" spans="1:11">
      <c r="A30" s="238"/>
      <c r="B30" s="238" t="s">
        <v>2608</v>
      </c>
      <c r="C30" s="238"/>
      <c r="D30" s="239" t="s">
        <v>2613</v>
      </c>
      <c r="E30" s="239"/>
      <c r="F30" s="239" t="s">
        <v>2609</v>
      </c>
      <c r="G30" s="239"/>
      <c r="H30" s="239" t="s">
        <v>2614</v>
      </c>
      <c r="I30" s="239"/>
      <c r="J30" s="282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2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2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2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2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92"/>
      <c r="I35" s="239"/>
      <c r="J35" s="282"/>
      <c r="K35" s="2"/>
    </row>
    <row r="36" spans="1:11">
      <c r="A36" s="269"/>
      <c r="B36" s="272" t="s">
        <v>2530</v>
      </c>
      <c r="C36" s="414" t="s">
        <v>2524</v>
      </c>
      <c r="D36" s="414"/>
      <c r="E36" s="414"/>
      <c r="F36" s="414"/>
      <c r="G36" s="269"/>
      <c r="H36" s="269"/>
      <c r="I36" s="271"/>
      <c r="J36" s="282"/>
      <c r="K36" s="2"/>
    </row>
    <row r="37" spans="1:11" s="267" customFormat="1" ht="12.75" customHeight="1">
      <c r="A37" s="269"/>
      <c r="B37" s="285"/>
      <c r="C37" s="285"/>
      <c r="D37" s="285"/>
      <c r="E37" s="285"/>
      <c r="F37" s="285"/>
      <c r="G37" s="270"/>
      <c r="H37" s="270"/>
      <c r="I37" s="271"/>
      <c r="J37" s="285"/>
    </row>
    <row r="38" spans="1:11" s="267" customFormat="1" ht="12.75" customHeight="1">
      <c r="A38" s="269"/>
      <c r="B38" s="269"/>
      <c r="C38" s="269"/>
      <c r="D38" s="269"/>
      <c r="E38" s="269"/>
      <c r="F38" s="270"/>
      <c r="G38" s="270"/>
      <c r="H38" s="270"/>
      <c r="I38" s="271"/>
      <c r="J38" s="285"/>
    </row>
    <row r="39" spans="1:11" s="267" customFormat="1" ht="15">
      <c r="A39" s="273"/>
      <c r="B39" s="270" t="s">
        <v>93</v>
      </c>
      <c r="C39" s="273"/>
      <c r="D39" s="296">
        <f>Worksheet!AR36</f>
        <v>3420</v>
      </c>
      <c r="E39" s="270"/>
      <c r="F39" s="293"/>
      <c r="G39" s="412"/>
      <c r="H39" s="270"/>
      <c r="I39" s="274"/>
      <c r="J39" s="285"/>
    </row>
    <row r="40" spans="1:11" s="267" customFormat="1" ht="15">
      <c r="A40" s="273"/>
      <c r="B40" s="270" t="s">
        <v>100</v>
      </c>
      <c r="C40" s="275">
        <f>[6]Worksheet!AC39</f>
        <v>0</v>
      </c>
      <c r="D40" s="276"/>
      <c r="E40" s="293"/>
      <c r="I40" s="274"/>
      <c r="J40" s="285"/>
    </row>
    <row r="41" spans="1:11" ht="15.75">
      <c r="A41" s="273"/>
      <c r="B41" s="273"/>
      <c r="C41" s="273"/>
      <c r="D41" s="277">
        <f>SUM(D39:D40)</f>
        <v>3420</v>
      </c>
      <c r="E41" s="270"/>
      <c r="F41" s="295"/>
      <c r="H41" s="270"/>
      <c r="I41" s="274"/>
      <c r="J41" s="282"/>
      <c r="K41" s="2"/>
    </row>
    <row r="42" spans="1:11" ht="15.75">
      <c r="A42" s="299" t="s">
        <v>2535</v>
      </c>
      <c r="B42" s="273"/>
      <c r="C42" s="273"/>
      <c r="D42" s="277"/>
      <c r="E42" s="270"/>
      <c r="F42" s="295"/>
      <c r="H42" s="270"/>
      <c r="I42" s="274"/>
      <c r="J42" s="282"/>
      <c r="K42" s="2"/>
    </row>
    <row r="43" spans="1:11">
      <c r="A43" s="270"/>
      <c r="B43" s="270"/>
      <c r="C43" s="278"/>
      <c r="D43" s="270"/>
      <c r="E43" s="270"/>
      <c r="F43" s="270"/>
      <c r="G43" s="270"/>
      <c r="H43" s="270"/>
      <c r="I43" s="274"/>
      <c r="J43" s="282"/>
    </row>
    <row r="44" spans="1:11">
      <c r="A44" s="270"/>
      <c r="B44" s="279" t="s">
        <v>2531</v>
      </c>
      <c r="C44" s="270"/>
      <c r="D44" s="270"/>
      <c r="E44" s="270"/>
      <c r="F44" s="270"/>
      <c r="G44" s="270"/>
      <c r="H44" s="270"/>
      <c r="I44" s="274"/>
      <c r="J44" s="282"/>
    </row>
    <row r="45" spans="1:11">
      <c r="A45" s="270"/>
      <c r="B45" s="238" t="s">
        <v>2532</v>
      </c>
      <c r="C45" s="238"/>
      <c r="D45" s="238"/>
      <c r="E45" s="238"/>
      <c r="F45" s="238"/>
      <c r="G45" s="238"/>
      <c r="H45" s="238"/>
      <c r="I45" s="238"/>
      <c r="J45" s="282"/>
    </row>
    <row r="46" spans="1:11">
      <c r="A46" s="270"/>
      <c r="B46" s="238" t="s">
        <v>2533</v>
      </c>
      <c r="C46" s="238"/>
      <c r="D46" s="238"/>
      <c r="E46" s="238"/>
      <c r="F46" s="238"/>
      <c r="G46" s="238"/>
      <c r="H46" s="238"/>
      <c r="I46" s="238"/>
      <c r="J46" s="282"/>
    </row>
    <row r="47" spans="1:11">
      <c r="A47" s="270"/>
      <c r="B47" s="270"/>
      <c r="C47" s="270"/>
      <c r="D47" s="270"/>
      <c r="E47" s="270"/>
      <c r="F47" s="270"/>
      <c r="G47" s="270"/>
      <c r="H47" s="270"/>
      <c r="I47" s="274"/>
      <c r="J47" s="282"/>
    </row>
    <row r="48" spans="1:11">
      <c r="A48" s="270"/>
      <c r="B48" s="270"/>
      <c r="C48" s="270"/>
      <c r="D48" s="270"/>
      <c r="E48" s="270"/>
      <c r="F48" s="270"/>
      <c r="G48" s="270"/>
      <c r="H48" s="270"/>
      <c r="I48" s="274"/>
      <c r="J48" s="282"/>
    </row>
    <row r="49" spans="1:10">
      <c r="A49" s="270" t="s">
        <v>94</v>
      </c>
      <c r="B49" s="270"/>
      <c r="C49" s="270"/>
      <c r="D49" s="270"/>
      <c r="E49" s="238"/>
      <c r="F49" s="238"/>
      <c r="G49" s="238"/>
      <c r="H49" s="238"/>
      <c r="I49" s="270"/>
      <c r="J49" s="282"/>
    </row>
    <row r="50" spans="1:10">
      <c r="A50" s="270"/>
      <c r="B50" s="270"/>
      <c r="C50" s="270"/>
      <c r="D50" s="270"/>
      <c r="E50" s="238"/>
      <c r="F50" s="238"/>
      <c r="G50" s="238"/>
      <c r="H50" s="238"/>
      <c r="I50" s="270"/>
      <c r="J50" s="282"/>
    </row>
    <row r="51" spans="1:10">
      <c r="A51" s="270"/>
      <c r="B51" s="270"/>
      <c r="C51" s="270"/>
      <c r="D51" s="270"/>
      <c r="E51" s="238"/>
      <c r="F51" s="270"/>
      <c r="G51" s="270"/>
      <c r="H51" s="270"/>
      <c r="I51" s="270"/>
      <c r="J51" s="282"/>
    </row>
    <row r="52" spans="1:10">
      <c r="A52" s="280"/>
      <c r="B52" s="280"/>
      <c r="C52" s="280"/>
      <c r="D52" s="270"/>
      <c r="E52" s="238"/>
      <c r="F52" s="239"/>
      <c r="G52" s="239"/>
      <c r="H52" s="239"/>
      <c r="I52" s="239"/>
      <c r="J52" s="282"/>
    </row>
    <row r="53" spans="1:10">
      <c r="A53" s="281"/>
      <c r="B53" s="270"/>
      <c r="C53" s="270"/>
      <c r="D53" s="270"/>
      <c r="E53" s="238"/>
      <c r="F53" s="238"/>
      <c r="G53" s="238"/>
      <c r="H53" s="238"/>
      <c r="I53" s="270"/>
      <c r="J53" s="282"/>
    </row>
    <row r="54" spans="1:10">
      <c r="A54" s="270" t="s">
        <v>2605</v>
      </c>
      <c r="B54" s="270"/>
      <c r="C54" s="270"/>
      <c r="D54" s="270"/>
      <c r="E54" s="238"/>
      <c r="F54" s="238"/>
      <c r="G54" s="238"/>
      <c r="H54" s="238"/>
      <c r="I54" s="270"/>
      <c r="J54" s="282"/>
    </row>
    <row r="55" spans="1:10">
      <c r="A55" s="270" t="s">
        <v>2521</v>
      </c>
      <c r="B55" s="270"/>
      <c r="C55" s="270"/>
      <c r="D55" s="270"/>
      <c r="E55" s="238"/>
      <c r="F55" s="270"/>
      <c r="G55" s="238"/>
      <c r="H55" s="238"/>
      <c r="I55" s="270"/>
      <c r="J55" s="282"/>
    </row>
    <row r="56" spans="1:10" ht="15.6" customHeight="1">
      <c r="A56" s="413" t="s">
        <v>2610</v>
      </c>
      <c r="B56" s="270"/>
      <c r="C56" s="270"/>
      <c r="D56" s="270"/>
      <c r="E56" s="238"/>
      <c r="F56" s="270"/>
      <c r="G56" s="270"/>
      <c r="H56" s="270"/>
      <c r="I56" s="274"/>
      <c r="J56" s="282"/>
    </row>
    <row r="57" spans="1:10">
      <c r="A57" s="238"/>
      <c r="B57" s="238"/>
      <c r="C57" s="238"/>
      <c r="D57" s="238"/>
      <c r="E57" s="238"/>
      <c r="F57" s="238"/>
      <c r="G57" s="238"/>
      <c r="H57" s="238"/>
      <c r="I57" s="238"/>
      <c r="J57" s="282"/>
    </row>
    <row r="58" spans="1:10">
      <c r="A58" s="238"/>
      <c r="B58" s="294"/>
      <c r="C58" s="238"/>
      <c r="D58" s="238"/>
      <c r="E58" s="238"/>
      <c r="F58" s="238"/>
      <c r="G58" s="238"/>
      <c r="H58" s="238"/>
      <c r="I58" s="238"/>
      <c r="J58" s="282"/>
    </row>
    <row r="59" spans="1:10">
      <c r="A59" s="238"/>
      <c r="B59" s="294"/>
      <c r="C59" s="238"/>
      <c r="D59" s="238"/>
      <c r="E59" s="238"/>
      <c r="F59" s="238"/>
      <c r="G59" s="238"/>
      <c r="H59" s="238"/>
      <c r="I59" s="238"/>
      <c r="J59" s="282"/>
    </row>
    <row r="108" spans="2:2">
      <c r="B108" s="270" t="s">
        <v>2524</v>
      </c>
    </row>
    <row r="109" spans="2:2">
      <c r="B109" s="270" t="s">
        <v>2525</v>
      </c>
    </row>
    <row r="110" spans="2:2">
      <c r="B110" s="270" t="s">
        <v>2526</v>
      </c>
    </row>
    <row r="111" spans="2:2">
      <c r="B111" s="270" t="s">
        <v>2527</v>
      </c>
    </row>
    <row r="112" spans="2:2">
      <c r="B112" s="270" t="s">
        <v>2528</v>
      </c>
    </row>
    <row r="113" spans="2:2">
      <c r="B113" s="270" t="s">
        <v>2529</v>
      </c>
    </row>
  </sheetData>
  <mergeCells count="1">
    <mergeCell ref="C36:F36"/>
  </mergeCells>
  <dataValidations count="1">
    <dataValidation type="list" allowBlank="1" showInputMessage="1" showErrorMessage="1" sqref="C36:F36" xr:uid="{8F35C622-D028-41F7-8D0C-20D3B50EFE6D}">
      <formula1>$B$108:$B$113</formula1>
    </dataValidation>
  </dataValidations>
  <hyperlinks>
    <hyperlink ref="A56" r:id="rId1" xr:uid="{34E4D1E1-F6F7-496E-A6E0-3FF8DF55C768}"/>
  </hyperlinks>
  <printOptions gridLinesSet="0"/>
  <pageMargins left="0.86" right="0.75" top="0.5" bottom="0.5" header="0.25" footer="0.5"/>
  <pageSetup scale="85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'Worksheet 2'!AR1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Y4" s="300" t="s">
        <v>2291</v>
      </c>
      <c r="Z4" s="211">
        <f>'Worksheet 2'!Z4</f>
        <v>2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'Worksheet 2'!W4</f>
        <v>West York, York, Columbia WO#C5006244-00287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'Worksheet 2'!Z32</f>
        <v>0</v>
      </c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V4" s="69" t="s">
        <v>4</v>
      </c>
      <c r="W4" s="452" t="str">
        <f>'Worksheet 2'!W4</f>
        <v>West York, York, Columbia WO#C5006244-00287</v>
      </c>
      <c r="X4" s="452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9" t="str">
        <f>'Worksheet 2'!W5</f>
        <v>2100 Hollywood Dr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62">
        <f>'Worksheet 2'!AR1</f>
        <v>33655</v>
      </c>
      <c r="R6" s="463"/>
      <c r="S6" s="57"/>
      <c r="T6" s="171"/>
      <c r="U6" s="75"/>
      <c r="V6" s="66"/>
      <c r="W6" s="439" t="str">
        <f>'Worksheet 2'!W6</f>
        <v>York, PA  17403-4847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64"/>
      <c r="R7" s="465"/>
      <c r="S7" s="57"/>
      <c r="T7" s="57"/>
      <c r="U7" s="75"/>
      <c r="V7" s="66" t="s">
        <v>102</v>
      </c>
      <c r="W7" s="335" t="str">
        <f>'Worksheet 2'!D6</f>
        <v>Jeff Beaudette</v>
      </c>
      <c r="X7" s="163" t="str">
        <f>'Worksheet 2'!J6</f>
        <v>240-351-7172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'Worksheet 2'!AR1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'Worksheet 2'!R4</f>
        <v>0</v>
      </c>
      <c r="S4" s="427"/>
      <c r="T4" s="427"/>
      <c r="U4" s="171"/>
      <c r="V4" s="254" t="s">
        <v>39</v>
      </c>
      <c r="W4" s="255">
        <f>'Worksheet 2'!W32</f>
        <v>0</v>
      </c>
      <c r="X4" s="255"/>
      <c r="Y4" s="300" t="s">
        <v>2291</v>
      </c>
      <c r="Z4" s="211">
        <f>'Worksheet 2'!Z4</f>
        <v>2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8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'Worksheet 2'!W4</f>
        <v>West York, York, Columbia WO#C5006244-00287</v>
      </c>
      <c r="O6" s="320"/>
      <c r="P6" s="65"/>
      <c r="Q6" s="336"/>
      <c r="R6" s="337"/>
      <c r="S6" s="57"/>
      <c r="T6" s="171"/>
      <c r="U6" s="75"/>
      <c r="V6" s="163"/>
      <c r="W6" s="163">
        <f>'Worksheet 2'!W34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1">
        <f>'Worksheet 2'!Q11</f>
        <v>0</v>
      </c>
      <c r="R11" s="250" t="str">
        <f>'Worksheet 2'!R11</f>
        <v xml:space="preserve"> </v>
      </c>
      <c r="S11" s="322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1">
        <f>'Worksheet 2'!Q12</f>
        <v>0</v>
      </c>
      <c r="R12" s="250" t="str">
        <f>'Worksheet 2'!R12</f>
        <v xml:space="preserve"> </v>
      </c>
      <c r="S12" s="322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1">
        <f>'Worksheet 2'!Q13</f>
        <v>0</v>
      </c>
      <c r="R13" s="250" t="str">
        <f>'Worksheet 2'!R13</f>
        <v xml:space="preserve"> </v>
      </c>
      <c r="S13" s="322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1">
        <f>'Worksheet 2'!Q14</f>
        <v>0</v>
      </c>
      <c r="R14" s="250" t="str">
        <f>'Worksheet 2'!R14</f>
        <v xml:space="preserve"> </v>
      </c>
      <c r="S14" s="322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1">
        <f>'Worksheet 2'!Q15</f>
        <v>0</v>
      </c>
      <c r="R15" s="250" t="str">
        <f>'Worksheet 2'!R15</f>
        <v xml:space="preserve"> </v>
      </c>
      <c r="S15" s="322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1">
        <f>'Worksheet 2'!Q16</f>
        <v>0</v>
      </c>
      <c r="R16" s="250" t="str">
        <f>'Worksheet 2'!R16</f>
        <v xml:space="preserve"> </v>
      </c>
      <c r="S16" s="322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1">
        <f>'Worksheet 2'!Q17</f>
        <v>0</v>
      </c>
      <c r="R17" s="250" t="str">
        <f>'Worksheet 2'!R17</f>
        <v xml:space="preserve"> </v>
      </c>
      <c r="S17" s="322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1">
        <f>'Worksheet 2'!Q18</f>
        <v>0</v>
      </c>
      <c r="R18" s="250" t="str">
        <f>'Worksheet 2'!R18</f>
        <v xml:space="preserve"> </v>
      </c>
      <c r="S18" s="322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1">
        <f>'Worksheet 2'!Q19</f>
        <v>0</v>
      </c>
      <c r="R19" s="250" t="str">
        <f>'Worksheet 2'!R19</f>
        <v xml:space="preserve"> </v>
      </c>
      <c r="S19" s="322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1">
        <f>'Worksheet 2'!Q20</f>
        <v>0</v>
      </c>
      <c r="R20" s="250" t="str">
        <f>'Worksheet 2'!R20</f>
        <v xml:space="preserve"> </v>
      </c>
      <c r="S20" s="322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1">
        <f>'Worksheet 2'!Q21</f>
        <v>0</v>
      </c>
      <c r="R21" s="250" t="str">
        <f>'Worksheet 2'!R21</f>
        <v xml:space="preserve"> </v>
      </c>
      <c r="S21" s="322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1">
        <f>'Worksheet 2'!Q22</f>
        <v>0</v>
      </c>
      <c r="R22" s="250" t="str">
        <f>'Worksheet 2'!R22</f>
        <v xml:space="preserve"> </v>
      </c>
      <c r="S22" s="322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1">
        <f>'Worksheet 2'!Q23</f>
        <v>0</v>
      </c>
      <c r="R23" s="250" t="str">
        <f>'Worksheet 2'!R23</f>
        <v xml:space="preserve"> </v>
      </c>
      <c r="S23" s="322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1">
        <f>'Worksheet 2'!Q24</f>
        <v>0</v>
      </c>
      <c r="R24" s="250" t="str">
        <f>'Worksheet 2'!R24</f>
        <v xml:space="preserve"> </v>
      </c>
      <c r="S24" s="322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1">
        <f>'Worksheet 2'!Q25</f>
        <v>0</v>
      </c>
      <c r="R25" s="250" t="str">
        <f>'Worksheet 2'!R25</f>
        <v xml:space="preserve"> </v>
      </c>
      <c r="S25" s="322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1">
        <f>'Worksheet 2'!Q26</f>
        <v>0</v>
      </c>
      <c r="R26" s="250" t="str">
        <f>'Worksheet 2'!R26</f>
        <v xml:space="preserve"> </v>
      </c>
      <c r="S26" s="322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1">
        <f>'Worksheet 2'!Q27</f>
        <v>0</v>
      </c>
      <c r="R27" s="250" t="str">
        <f>'Worksheet 2'!R27</f>
        <v xml:space="preserve"> </v>
      </c>
      <c r="S27" s="322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1">
        <f>'Worksheet 2'!Q28</f>
        <v>0</v>
      </c>
      <c r="R28" s="250" t="str">
        <f>'Worksheet 2'!R28</f>
        <v xml:space="preserve"> </v>
      </c>
      <c r="S28" s="322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1">
        <f>'Worksheet 2'!Q29</f>
        <v>0</v>
      </c>
      <c r="R29" s="250" t="str">
        <f>'Worksheet 2'!R29</f>
        <v xml:space="preserve"> </v>
      </c>
      <c r="S29" s="322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'Worksheet 2'!M30</f>
        <v>0</v>
      </c>
      <c r="N30" s="325">
        <f t="shared" si="4"/>
        <v>0</v>
      </c>
      <c r="O30" s="326">
        <f t="shared" si="0"/>
        <v>0</v>
      </c>
      <c r="P30" s="250" t="str">
        <f>'Worksheet 2'!P30</f>
        <v xml:space="preserve"> </v>
      </c>
      <c r="Q30" s="321">
        <f>'Worksheet 2'!Q30</f>
        <v>0</v>
      </c>
      <c r="R30" s="250" t="str">
        <f>'Worksheet 2'!R30</f>
        <v xml:space="preserve"> </v>
      </c>
      <c r="S30" s="322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1" t="s">
        <v>2539</v>
      </c>
      <c r="P34" s="339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X16" zoomScale="80" zoomScaleNormal="80" zoomScaleSheetLayoutView="80" workbookViewId="0">
      <selection activeCell="AO37" sqref="AO37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>FINAL MEASUREMENTS OK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11">
        <v>33655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0" t="s">
        <v>2595</v>
      </c>
      <c r="E3" s="320"/>
      <c r="F3" s="320"/>
      <c r="G3" s="320"/>
      <c r="H3" s="320"/>
      <c r="I3" s="320"/>
      <c r="J3" s="320"/>
      <c r="K3" s="320"/>
      <c r="L3" s="320"/>
      <c r="M3" s="320"/>
      <c r="N3" s="320"/>
      <c r="O3" s="320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428" t="s">
        <v>2522</v>
      </c>
      <c r="Q4" s="428"/>
      <c r="R4" s="427"/>
      <c r="S4" s="427"/>
      <c r="T4" s="427"/>
      <c r="U4" s="171"/>
      <c r="V4" s="69" t="s">
        <v>4</v>
      </c>
      <c r="W4" s="386" t="s">
        <v>2611</v>
      </c>
      <c r="X4" s="255"/>
      <c r="Y4" s="207" t="s">
        <v>2291</v>
      </c>
      <c r="Z4" s="211">
        <v>1</v>
      </c>
      <c r="AB4" s="431" t="s">
        <v>2581</v>
      </c>
      <c r="AC4" s="432"/>
      <c r="AD4" s="432"/>
      <c r="AE4" s="432"/>
      <c r="AF4" s="433"/>
      <c r="AG4" s="388" t="s">
        <v>4</v>
      </c>
      <c r="AH4" s="421" t="str">
        <f>W4</f>
        <v>West York, York, Columbia WO#C5006244-00287</v>
      </c>
      <c r="AI4" s="421"/>
      <c r="AJ4" s="421"/>
      <c r="AK4" s="421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3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57"/>
      <c r="Q5" s="57"/>
      <c r="R5" s="57"/>
      <c r="T5" s="57"/>
      <c r="U5" s="57"/>
      <c r="V5" s="66"/>
      <c r="W5" s="163" t="s">
        <v>2600</v>
      </c>
      <c r="X5" s="163"/>
      <c r="Y5" s="16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7" t="s">
        <v>2596</v>
      </c>
      <c r="E6" s="437"/>
      <c r="F6" s="437"/>
      <c r="G6" s="437"/>
      <c r="H6" s="437"/>
      <c r="I6" s="77" t="s">
        <v>103</v>
      </c>
      <c r="J6" s="438" t="s">
        <v>2597</v>
      </c>
      <c r="K6" s="438"/>
      <c r="L6" s="438"/>
      <c r="M6" s="438"/>
      <c r="N6" s="438"/>
      <c r="O6" s="438"/>
      <c r="P6" s="57"/>
      <c r="Q6" s="172" t="s">
        <v>90</v>
      </c>
      <c r="R6" s="65"/>
      <c r="S6" s="65"/>
      <c r="T6" s="375"/>
      <c r="U6" s="75"/>
      <c r="V6" s="66"/>
      <c r="W6" s="163" t="s">
        <v>2601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9"/>
      <c r="E7" s="439"/>
      <c r="F7" s="439"/>
      <c r="G7" s="439"/>
      <c r="H7" s="439"/>
      <c r="I7" s="64" t="s">
        <v>105</v>
      </c>
      <c r="J7" s="440" t="s">
        <v>2598</v>
      </c>
      <c r="K7" s="441"/>
      <c r="L7" s="441"/>
      <c r="M7" s="441"/>
      <c r="N7" s="441"/>
      <c r="O7" s="441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 t="s">
        <v>2599</v>
      </c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2602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v>60</v>
      </c>
      <c r="AM8" s="191">
        <v>20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2612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2603</v>
      </c>
      <c r="C11" s="155" t="s">
        <v>116</v>
      </c>
      <c r="D11" s="112">
        <v>1</v>
      </c>
      <c r="E11" s="113"/>
      <c r="F11" s="113"/>
      <c r="G11" s="111">
        <v>56</v>
      </c>
      <c r="H11" s="114">
        <v>3.5</v>
      </c>
      <c r="I11" s="111">
        <v>69</v>
      </c>
      <c r="J11" s="245">
        <f>IF(F11="l","left",IF(F11="r","right",IF(F11="f","flat",IF(F11="d","dead",IF(F11="s","sor",IF(F11="st","sor t&amp;b",0))))))</f>
        <v>0</v>
      </c>
      <c r="K11" s="245">
        <f>+G11</f>
        <v>56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69</v>
      </c>
      <c r="P11" s="250">
        <f t="shared" ref="P11:P30" si="2">IF($G11&gt;0,VLOOKUP($W11,$BK$12:$BL$40,2,FALSE)," ")</f>
        <v>74</v>
      </c>
      <c r="Q11" s="351">
        <f>IF(D11+E11&gt;0,IF(F11&gt;"u",0,IF(BA11="RR","RR",+BB11)),0)</f>
        <v>2.3499999999999996</v>
      </c>
      <c r="R11" s="350">
        <f t="shared" ref="R11:R30" si="3">IF($C11&gt;0,VLOOKUP($X11,$BK$28:$BL$40,2,FALSE)," ")</f>
        <v>60</v>
      </c>
      <c r="S11" s="352">
        <f>IF($C11&gt;0,ROUND(IF($R11&lt;59,($K11+$M11)/23,IF($R11&lt;65,($K11+$M11)/25,IF($R11&lt;75,($K11+$M11)/30,"RR"))),1)," ")</f>
        <v>2.8</v>
      </c>
      <c r="T11" s="113"/>
      <c r="U11" s="244">
        <f t="shared" ref="U11:U30" si="4">+D11+E11</f>
        <v>1</v>
      </c>
      <c r="V11" s="221" t="s">
        <v>2604</v>
      </c>
      <c r="W11" s="221" t="s">
        <v>2493</v>
      </c>
      <c r="X11" s="222" t="s">
        <v>152</v>
      </c>
      <c r="Y11" s="57"/>
      <c r="Z11" s="57"/>
      <c r="AA11" s="359">
        <f t="shared" ref="AA11:AA30" si="5">IF(D11+E11&gt;0,IF(F11&gt;"u",0,IF(BA11="RR","RR",ROUND(BA11,1))),0)</f>
        <v>2.2999999999999998</v>
      </c>
      <c r="AB11" s="354">
        <f t="shared" ref="AB11:AB30" si="6">IF(D11+E11&gt;0,IF(P11&gt;75,BD11,+BC11),0)</f>
        <v>4</v>
      </c>
      <c r="AC11" s="355">
        <f t="shared" ref="AC11:AC30" si="7">IF(D11+E11&gt;0,IF(P11&gt;75,BI11,BE11),0)</f>
        <v>5.5</v>
      </c>
      <c r="AD11" s="356">
        <f t="shared" ref="AD11:AD30" si="8">IF($C11&gt;0,ROUNDUP((($K11+$M11)/25),0)," ")</f>
        <v>3</v>
      </c>
      <c r="AE11" s="365">
        <f t="shared" ref="AE11:AE30" si="9">IF(C11&gt;0,(O11+10)*AD11/36,0)</f>
        <v>6.583333333333333</v>
      </c>
      <c r="AF11" s="57" t="s">
        <v>23</v>
      </c>
      <c r="AG11" s="116">
        <f t="shared" ref="AG11:AG30" si="10">+G11*I11/144*(D11+E11)</f>
        <v>26.833333333333332</v>
      </c>
      <c r="AH11" s="113">
        <v>45</v>
      </c>
      <c r="AI11" s="113">
        <v>20</v>
      </c>
      <c r="AJ11" s="113">
        <v>15</v>
      </c>
      <c r="AK11" s="117"/>
      <c r="AL11" s="259">
        <f t="shared" ref="AL11:AL30" si="11">IF(C11&gt;0,AB11*Lining_Sew_Price)+AB11*sew_price*squeeze</f>
        <v>360</v>
      </c>
      <c r="AM11" s="118">
        <f t="shared" ref="AM11:AM30" si="12">IF($R$34=1,AB11*install_price*squeeze," ")</f>
        <v>80</v>
      </c>
      <c r="AN11" s="260">
        <f t="shared" ref="AN11:AN30" si="13">U11*AJ11*squeeze</f>
        <v>15</v>
      </c>
      <c r="AO11" s="118">
        <f t="shared" ref="AO11:AO30" si="14">AC11*AH11*squeeze</f>
        <v>247.5</v>
      </c>
      <c r="AP11" s="118">
        <f t="shared" ref="AP11:AP30" si="15">IF(C11&gt;0,AE11*AI11*squeeze," ")</f>
        <v>131.66666666666666</v>
      </c>
      <c r="AQ11" s="118">
        <f t="shared" ref="AQ11:AQ30" si="16">+AK11*squeeze</f>
        <v>0</v>
      </c>
      <c r="AR11" s="119">
        <f t="shared" ref="AR11:AR30" si="17">SUM(AL11:AQ11)</f>
        <v>834.16666666666663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2.3310810810810811</v>
      </c>
      <c r="BB11" s="120">
        <f>(+ROUNDUP(BA11*2,1))/2</f>
        <v>2.3499999999999996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5.5</v>
      </c>
      <c r="BF11" s="120">
        <f t="shared" ref="BF11:BF30" si="21">((IF(T11:T116,BH11,BG11))*AA11/36)*(IF(D11&gt;0,D11,E11))</f>
        <v>5.4305555555555545</v>
      </c>
      <c r="BG11" s="120">
        <f t="shared" ref="BG11:BG30" si="22">I11+16</f>
        <v>85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6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2603</v>
      </c>
      <c r="C12" s="155" t="s">
        <v>116</v>
      </c>
      <c r="D12" s="112">
        <v>1</v>
      </c>
      <c r="E12" s="113"/>
      <c r="F12" s="113"/>
      <c r="G12" s="111">
        <v>56</v>
      </c>
      <c r="H12" s="114">
        <v>3.5</v>
      </c>
      <c r="I12" s="111">
        <v>69</v>
      </c>
      <c r="J12" s="245">
        <f t="shared" ref="J12:J13" si="25">IF(F12="l","left",IF(F12="r","right",IF(F12="f","flat",IF(F12="d","dead",IF(F12="s","sor",IF(F12="st","sor t&amp;b",0))))))</f>
        <v>0</v>
      </c>
      <c r="K12" s="245">
        <f t="shared" ref="K12:K13" si="26">+G12</f>
        <v>56</v>
      </c>
      <c r="L12" s="246" t="str">
        <f t="shared" ref="L12:L13" si="27">IF(F12&gt;"r",0,IF(G12&gt;0,"+",0))</f>
        <v>+</v>
      </c>
      <c r="M12" s="247">
        <f t="shared" ref="M12:M13" si="28">IF(F12="F",0,IF(F12&gt;"r",0,AZ12))</f>
        <v>13</v>
      </c>
      <c r="N12" s="248" t="str">
        <f t="shared" ref="N12:N13" si="29">IF(G12&gt;0,"x",0)</f>
        <v>x</v>
      </c>
      <c r="O12" s="249">
        <f t="shared" ref="O12:O13" si="30">+I12</f>
        <v>69</v>
      </c>
      <c r="P12" s="250">
        <f t="shared" si="2"/>
        <v>74</v>
      </c>
      <c r="Q12" s="351">
        <f t="shared" ref="Q12:Q13" si="31">IF(D12+E12&gt;0,IF(F12&gt;"u",0,IF(BA12="RR","RR",+BB12)),0)</f>
        <v>2.3499999999999996</v>
      </c>
      <c r="R12" s="350">
        <f t="shared" si="3"/>
        <v>60</v>
      </c>
      <c r="S12" s="352">
        <f t="shared" ref="S12:S13" si="32">IF($C12&gt;0,ROUND(IF($R12&lt;59,($K12+$M12)/23,IF($R12&lt;65,($K12+$M12)/25,IF($R12&lt;75,($K12+$M12)/30,"RR"))),1)," ")</f>
        <v>2.8</v>
      </c>
      <c r="T12" s="113"/>
      <c r="U12" s="244">
        <f t="shared" ref="U12:U13" si="33">+D12+E12</f>
        <v>1</v>
      </c>
      <c r="V12" s="221" t="s">
        <v>2604</v>
      </c>
      <c r="W12" s="221" t="s">
        <v>2493</v>
      </c>
      <c r="X12" s="222" t="s">
        <v>152</v>
      </c>
      <c r="Y12" s="57"/>
      <c r="Z12" s="57"/>
      <c r="AA12" s="359">
        <f t="shared" si="5"/>
        <v>2.2999999999999998</v>
      </c>
      <c r="AB12" s="354">
        <f t="shared" si="6"/>
        <v>4</v>
      </c>
      <c r="AC12" s="355">
        <f t="shared" si="7"/>
        <v>5.5</v>
      </c>
      <c r="AD12" s="356">
        <f t="shared" si="8"/>
        <v>3</v>
      </c>
      <c r="AE12" s="365">
        <f t="shared" si="9"/>
        <v>6.583333333333333</v>
      </c>
      <c r="AF12" s="57" t="s">
        <v>24</v>
      </c>
      <c r="AG12" s="116">
        <f t="shared" si="10"/>
        <v>26.833333333333332</v>
      </c>
      <c r="AH12" s="113">
        <v>45</v>
      </c>
      <c r="AI12" s="113">
        <v>20</v>
      </c>
      <c r="AJ12" s="113">
        <v>15</v>
      </c>
      <c r="AK12" s="117"/>
      <c r="AL12" s="259">
        <f t="shared" si="11"/>
        <v>360</v>
      </c>
      <c r="AM12" s="118">
        <f t="shared" si="12"/>
        <v>80</v>
      </c>
      <c r="AN12" s="260">
        <f t="shared" si="13"/>
        <v>15</v>
      </c>
      <c r="AO12" s="118">
        <f t="shared" si="14"/>
        <v>247.5</v>
      </c>
      <c r="AP12" s="118">
        <f t="shared" si="15"/>
        <v>131.66666666666666</v>
      </c>
      <c r="AQ12" s="118">
        <f t="shared" si="16"/>
        <v>0</v>
      </c>
      <c r="AR12" s="119">
        <f t="shared" si="17"/>
        <v>834.16666666666663</v>
      </c>
      <c r="AS12" s="184"/>
      <c r="AZ12" s="120">
        <f t="shared" ref="AZ12:AZ30" si="34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2.3310810810810811</v>
      </c>
      <c r="BB12" s="120">
        <f t="shared" ref="BB12:BB30" si="35">(+ROUNDUP(BA12*2,1))/2</f>
        <v>2.3499999999999996</v>
      </c>
      <c r="BC12" s="121">
        <f t="shared" si="19"/>
        <v>4</v>
      </c>
      <c r="BD12" s="121">
        <f t="shared" si="20"/>
        <v>3</v>
      </c>
      <c r="BE12" s="120">
        <f t="shared" ref="BE12:BE30" si="36">(ROUNDUP(2*BF12,0))/2</f>
        <v>5.5</v>
      </c>
      <c r="BF12" s="120">
        <f t="shared" si="21"/>
        <v>5.4305555555555545</v>
      </c>
      <c r="BG12" s="120">
        <f t="shared" si="22"/>
        <v>85</v>
      </c>
      <c r="BH12" s="120" t="e">
        <f t="shared" si="23"/>
        <v>#DIV/0!</v>
      </c>
      <c r="BI12" s="122">
        <f t="shared" si="24"/>
        <v>6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2603</v>
      </c>
      <c r="C13" s="155" t="s">
        <v>116</v>
      </c>
      <c r="D13" s="112">
        <v>1</v>
      </c>
      <c r="E13" s="113"/>
      <c r="F13" s="113"/>
      <c r="G13" s="111">
        <v>56</v>
      </c>
      <c r="H13" s="114">
        <v>3.5</v>
      </c>
      <c r="I13" s="111">
        <v>69</v>
      </c>
      <c r="J13" s="245">
        <f t="shared" si="25"/>
        <v>0</v>
      </c>
      <c r="K13" s="245">
        <f t="shared" si="26"/>
        <v>56</v>
      </c>
      <c r="L13" s="246" t="str">
        <f t="shared" si="27"/>
        <v>+</v>
      </c>
      <c r="M13" s="247">
        <f t="shared" si="28"/>
        <v>13</v>
      </c>
      <c r="N13" s="248" t="str">
        <f t="shared" si="29"/>
        <v>x</v>
      </c>
      <c r="O13" s="249">
        <f t="shared" si="30"/>
        <v>69</v>
      </c>
      <c r="P13" s="250">
        <f t="shared" si="2"/>
        <v>74</v>
      </c>
      <c r="Q13" s="351">
        <f t="shared" si="31"/>
        <v>2.3499999999999996</v>
      </c>
      <c r="R13" s="350">
        <f t="shared" si="3"/>
        <v>60</v>
      </c>
      <c r="S13" s="352">
        <f t="shared" si="32"/>
        <v>2.8</v>
      </c>
      <c r="T13" s="113"/>
      <c r="U13" s="244">
        <f t="shared" si="33"/>
        <v>1</v>
      </c>
      <c r="V13" s="221" t="s">
        <v>2604</v>
      </c>
      <c r="W13" s="221" t="s">
        <v>2493</v>
      </c>
      <c r="X13" s="222" t="s">
        <v>152</v>
      </c>
      <c r="Y13" s="57"/>
      <c r="Z13" s="57"/>
      <c r="AA13" s="359">
        <f t="shared" si="5"/>
        <v>2.2999999999999998</v>
      </c>
      <c r="AB13" s="354">
        <f t="shared" si="6"/>
        <v>4</v>
      </c>
      <c r="AC13" s="355">
        <f t="shared" si="7"/>
        <v>5.5</v>
      </c>
      <c r="AD13" s="356">
        <f t="shared" si="8"/>
        <v>3</v>
      </c>
      <c r="AE13" s="365">
        <f t="shared" si="9"/>
        <v>6.583333333333333</v>
      </c>
      <c r="AF13" s="57" t="s">
        <v>25</v>
      </c>
      <c r="AG13" s="116">
        <f t="shared" si="10"/>
        <v>26.833333333333332</v>
      </c>
      <c r="AH13" s="113">
        <v>45</v>
      </c>
      <c r="AI13" s="113">
        <v>20</v>
      </c>
      <c r="AJ13" s="113">
        <v>15</v>
      </c>
      <c r="AK13" s="117"/>
      <c r="AL13" s="259">
        <f t="shared" si="11"/>
        <v>360</v>
      </c>
      <c r="AM13" s="118">
        <f t="shared" si="12"/>
        <v>80</v>
      </c>
      <c r="AN13" s="260">
        <f t="shared" si="13"/>
        <v>15</v>
      </c>
      <c r="AO13" s="118">
        <f t="shared" si="14"/>
        <v>247.5</v>
      </c>
      <c r="AP13" s="118">
        <f t="shared" si="15"/>
        <v>131.66666666666666</v>
      </c>
      <c r="AQ13" s="118">
        <f t="shared" si="16"/>
        <v>0</v>
      </c>
      <c r="AR13" s="119">
        <f t="shared" si="17"/>
        <v>834.16666666666663</v>
      </c>
      <c r="AS13" s="184"/>
      <c r="AZ13" s="120">
        <f t="shared" si="34"/>
        <v>13</v>
      </c>
      <c r="BA13" s="120">
        <f t="shared" si="18"/>
        <v>2.3310810810810811</v>
      </c>
      <c r="BB13" s="120">
        <f t="shared" si="35"/>
        <v>2.3499999999999996</v>
      </c>
      <c r="BC13" s="121">
        <f t="shared" si="19"/>
        <v>4</v>
      </c>
      <c r="BD13" s="121">
        <f t="shared" si="20"/>
        <v>3</v>
      </c>
      <c r="BE13" s="120">
        <f t="shared" si="36"/>
        <v>5.5</v>
      </c>
      <c r="BF13" s="120">
        <f t="shared" si="21"/>
        <v>5.4305555555555545</v>
      </c>
      <c r="BG13" s="120">
        <f t="shared" si="22"/>
        <v>85</v>
      </c>
      <c r="BH13" s="120" t="e">
        <f t="shared" si="23"/>
        <v>#DIV/0!</v>
      </c>
      <c r="BI13" s="122">
        <f t="shared" si="24"/>
        <v>6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ref="J12:J30" si="37">IF(F14="l","left",IF(F14="r","right",IF(F14="f","flat",IF(F14="d","dead",IF(F14="s","sor",IF(F14="st","sor t&amp;b",0))))))</f>
        <v>0</v>
      </c>
      <c r="K14" s="245">
        <f t="shared" ref="K12:K30" si="38">+G14</f>
        <v>0</v>
      </c>
      <c r="L14" s="246">
        <f t="shared" ref="L12:L30" si="39">IF(F14&gt;"r",0,IF(G14&gt;0,"+",0))</f>
        <v>0</v>
      </c>
      <c r="M14" s="247">
        <f t="shared" si="0"/>
        <v>3</v>
      </c>
      <c r="N14" s="248">
        <f t="shared" ref="N12:N30" si="40">IF(G14&gt;0,"x",0)</f>
        <v>0</v>
      </c>
      <c r="O14" s="249">
        <f t="shared" si="1"/>
        <v>0</v>
      </c>
      <c r="P14" s="250" t="str">
        <f t="shared" si="2"/>
        <v xml:space="preserve"> </v>
      </c>
      <c r="Q14" s="351">
        <f t="shared" ref="Q12:Q30" si="41">IF(D14+E14&gt;0,IF(F14&gt;"u",0,IF(BA14="RR","RR",+BB14)),0)</f>
        <v>0</v>
      </c>
      <c r="R14" s="250" t="str">
        <f t="shared" si="3"/>
        <v xml:space="preserve"> </v>
      </c>
      <c r="S14" s="352" t="str">
        <f t="shared" ref="S12:S30" si="42">IF($C14&gt;0,ROUND(IF($R14&lt;59,($K14+$M14)/23,IF($R14&lt;65,($K14+$M14)/25,IF($R14&lt;75,($K14+$M14)/30,"RR"))),1)," ")</f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9">
        <f t="shared" si="5"/>
        <v>0</v>
      </c>
      <c r="AB14" s="354">
        <f t="shared" si="6"/>
        <v>0</v>
      </c>
      <c r="AC14" s="355">
        <f t="shared" si="7"/>
        <v>0</v>
      </c>
      <c r="AD14" s="356" t="str">
        <f t="shared" si="8"/>
        <v xml:space="preserve"> </v>
      </c>
      <c r="AE14" s="365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34"/>
        <v>3</v>
      </c>
      <c r="BA14" s="120" t="str">
        <f t="shared" si="18"/>
        <v>RR</v>
      </c>
      <c r="BB14" s="120" t="e">
        <f t="shared" si="35"/>
        <v>#VALUE!</v>
      </c>
      <c r="BC14" s="121">
        <f t="shared" si="19"/>
        <v>0</v>
      </c>
      <c r="BD14" s="121">
        <f t="shared" si="20"/>
        <v>0</v>
      </c>
      <c r="BE14" s="120">
        <f t="shared" si="36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37"/>
        <v>0</v>
      </c>
      <c r="K15" s="245">
        <f t="shared" si="38"/>
        <v>0</v>
      </c>
      <c r="L15" s="246">
        <f t="shared" si="39"/>
        <v>0</v>
      </c>
      <c r="M15" s="247">
        <f t="shared" si="0"/>
        <v>3</v>
      </c>
      <c r="N15" s="248">
        <f t="shared" si="40"/>
        <v>0</v>
      </c>
      <c r="O15" s="249">
        <f t="shared" si="1"/>
        <v>0</v>
      </c>
      <c r="P15" s="250" t="str">
        <f t="shared" si="2"/>
        <v xml:space="preserve"> </v>
      </c>
      <c r="Q15" s="351">
        <f t="shared" si="41"/>
        <v>0</v>
      </c>
      <c r="R15" s="250" t="str">
        <f t="shared" si="3"/>
        <v xml:space="preserve"> </v>
      </c>
      <c r="S15" s="352" t="str">
        <f t="shared" si="42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9">
        <f t="shared" si="5"/>
        <v>0</v>
      </c>
      <c r="AB15" s="354">
        <f t="shared" si="6"/>
        <v>0</v>
      </c>
      <c r="AC15" s="355">
        <f t="shared" si="7"/>
        <v>0</v>
      </c>
      <c r="AD15" s="356" t="str">
        <f t="shared" si="8"/>
        <v xml:space="preserve"> </v>
      </c>
      <c r="AE15" s="365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34"/>
        <v>3</v>
      </c>
      <c r="BA15" s="120" t="str">
        <f t="shared" si="18"/>
        <v>RR</v>
      </c>
      <c r="BB15" s="120" t="e">
        <f t="shared" si="35"/>
        <v>#VALUE!</v>
      </c>
      <c r="BC15" s="121">
        <f t="shared" si="19"/>
        <v>0</v>
      </c>
      <c r="BD15" s="121">
        <f t="shared" si="20"/>
        <v>0</v>
      </c>
      <c r="BE15" s="120">
        <f t="shared" si="36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37"/>
        <v>0</v>
      </c>
      <c r="K16" s="245">
        <f t="shared" si="38"/>
        <v>0</v>
      </c>
      <c r="L16" s="246">
        <f t="shared" si="39"/>
        <v>0</v>
      </c>
      <c r="M16" s="247">
        <f t="shared" si="0"/>
        <v>3</v>
      </c>
      <c r="N16" s="248">
        <f t="shared" si="40"/>
        <v>0</v>
      </c>
      <c r="O16" s="249">
        <f t="shared" si="1"/>
        <v>0</v>
      </c>
      <c r="P16" s="250" t="str">
        <f t="shared" si="2"/>
        <v xml:space="preserve"> </v>
      </c>
      <c r="Q16" s="351">
        <f t="shared" si="41"/>
        <v>0</v>
      </c>
      <c r="R16" s="250" t="str">
        <f t="shared" si="3"/>
        <v xml:space="preserve"> </v>
      </c>
      <c r="S16" s="352" t="str">
        <f t="shared" si="42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9">
        <f t="shared" si="5"/>
        <v>0</v>
      </c>
      <c r="AB16" s="354">
        <f t="shared" si="6"/>
        <v>0</v>
      </c>
      <c r="AC16" s="355">
        <f t="shared" si="7"/>
        <v>0</v>
      </c>
      <c r="AD16" s="356" t="str">
        <f t="shared" si="8"/>
        <v xml:space="preserve"> </v>
      </c>
      <c r="AE16" s="365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34"/>
        <v>3</v>
      </c>
      <c r="BA16" s="120" t="str">
        <f t="shared" si="18"/>
        <v>RR</v>
      </c>
      <c r="BB16" s="120" t="e">
        <f t="shared" si="35"/>
        <v>#VALUE!</v>
      </c>
      <c r="BC16" s="121">
        <f t="shared" si="19"/>
        <v>0</v>
      </c>
      <c r="BD16" s="121">
        <f t="shared" si="20"/>
        <v>0</v>
      </c>
      <c r="BE16" s="120">
        <f t="shared" si="36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37"/>
        <v>0</v>
      </c>
      <c r="K17" s="245">
        <f t="shared" si="38"/>
        <v>0</v>
      </c>
      <c r="L17" s="246">
        <f t="shared" si="39"/>
        <v>0</v>
      </c>
      <c r="M17" s="247">
        <f t="shared" si="0"/>
        <v>3</v>
      </c>
      <c r="N17" s="248">
        <f t="shared" si="40"/>
        <v>0</v>
      </c>
      <c r="O17" s="249">
        <f t="shared" si="1"/>
        <v>0</v>
      </c>
      <c r="P17" s="250" t="str">
        <f t="shared" si="2"/>
        <v xml:space="preserve"> </v>
      </c>
      <c r="Q17" s="351">
        <f t="shared" si="41"/>
        <v>0</v>
      </c>
      <c r="R17" s="250" t="str">
        <f t="shared" si="3"/>
        <v xml:space="preserve"> </v>
      </c>
      <c r="S17" s="352" t="str">
        <f t="shared" si="42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9">
        <f t="shared" si="5"/>
        <v>0</v>
      </c>
      <c r="AB17" s="354">
        <f t="shared" si="6"/>
        <v>0</v>
      </c>
      <c r="AC17" s="355">
        <f t="shared" si="7"/>
        <v>0</v>
      </c>
      <c r="AD17" s="356" t="str">
        <f t="shared" si="8"/>
        <v xml:space="preserve"> </v>
      </c>
      <c r="AE17" s="365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34"/>
        <v>3</v>
      </c>
      <c r="BA17" s="120" t="str">
        <f t="shared" si="18"/>
        <v>RR</v>
      </c>
      <c r="BB17" s="120" t="e">
        <f t="shared" si="35"/>
        <v>#VALUE!</v>
      </c>
      <c r="BC17" s="121">
        <f t="shared" si="19"/>
        <v>0</v>
      </c>
      <c r="BD17" s="121">
        <f t="shared" si="20"/>
        <v>0</v>
      </c>
      <c r="BE17" s="120">
        <f t="shared" si="36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37"/>
        <v>0</v>
      </c>
      <c r="K18" s="245">
        <f t="shared" si="38"/>
        <v>0</v>
      </c>
      <c r="L18" s="246">
        <f t="shared" si="39"/>
        <v>0</v>
      </c>
      <c r="M18" s="247">
        <f t="shared" si="0"/>
        <v>3</v>
      </c>
      <c r="N18" s="248">
        <f t="shared" si="40"/>
        <v>0</v>
      </c>
      <c r="O18" s="249">
        <f t="shared" si="1"/>
        <v>0</v>
      </c>
      <c r="P18" s="250" t="str">
        <f t="shared" si="2"/>
        <v xml:space="preserve"> </v>
      </c>
      <c r="Q18" s="351">
        <f t="shared" si="41"/>
        <v>0</v>
      </c>
      <c r="R18" s="250" t="str">
        <f t="shared" si="3"/>
        <v xml:space="preserve"> </v>
      </c>
      <c r="S18" s="352" t="str">
        <f t="shared" si="42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9">
        <f t="shared" si="5"/>
        <v>0</v>
      </c>
      <c r="AB18" s="354">
        <f t="shared" si="6"/>
        <v>0</v>
      </c>
      <c r="AC18" s="355">
        <f t="shared" si="7"/>
        <v>0</v>
      </c>
      <c r="AD18" s="356" t="str">
        <f t="shared" si="8"/>
        <v xml:space="preserve"> </v>
      </c>
      <c r="AE18" s="365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34"/>
        <v>3</v>
      </c>
      <c r="BA18" s="120" t="str">
        <f t="shared" si="18"/>
        <v>RR</v>
      </c>
      <c r="BB18" s="120" t="e">
        <f t="shared" si="35"/>
        <v>#VALUE!</v>
      </c>
      <c r="BC18" s="121">
        <f t="shared" si="19"/>
        <v>0</v>
      </c>
      <c r="BD18" s="121">
        <f t="shared" si="20"/>
        <v>0</v>
      </c>
      <c r="BE18" s="120">
        <f t="shared" si="36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7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1">
        <f t="shared" si="41"/>
        <v>0</v>
      </c>
      <c r="R19" s="250" t="str">
        <f t="shared" si="3"/>
        <v xml:space="preserve"> </v>
      </c>
      <c r="S19" s="352" t="str">
        <f t="shared" si="42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9">
        <f t="shared" si="5"/>
        <v>0</v>
      </c>
      <c r="AB19" s="354">
        <f t="shared" si="6"/>
        <v>0</v>
      </c>
      <c r="AC19" s="355">
        <f t="shared" si="7"/>
        <v>0</v>
      </c>
      <c r="AD19" s="356" t="str">
        <f t="shared" si="8"/>
        <v xml:space="preserve"> </v>
      </c>
      <c r="AE19" s="365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34"/>
        <v>3</v>
      </c>
      <c r="BA19" s="120" t="str">
        <f t="shared" si="18"/>
        <v>RR</v>
      </c>
      <c r="BB19" s="120" t="e">
        <f t="shared" si="35"/>
        <v>#VALUE!</v>
      </c>
      <c r="BC19" s="121">
        <f t="shared" si="19"/>
        <v>0</v>
      </c>
      <c r="BD19" s="121">
        <f t="shared" si="20"/>
        <v>0</v>
      </c>
      <c r="BE19" s="120">
        <f t="shared" si="36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7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1">
        <f t="shared" si="41"/>
        <v>0</v>
      </c>
      <c r="R20" s="250" t="str">
        <f t="shared" si="3"/>
        <v xml:space="preserve"> </v>
      </c>
      <c r="S20" s="352" t="str">
        <f t="shared" si="42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5"/>
        <v>0</v>
      </c>
      <c r="AB20" s="354">
        <f t="shared" si="6"/>
        <v>0</v>
      </c>
      <c r="AC20" s="355">
        <f t="shared" si="7"/>
        <v>0</v>
      </c>
      <c r="AD20" s="356" t="str">
        <f t="shared" si="8"/>
        <v xml:space="preserve"> </v>
      </c>
      <c r="AE20" s="365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34"/>
        <v>3</v>
      </c>
      <c r="BA20" s="120" t="str">
        <f t="shared" si="18"/>
        <v>RR</v>
      </c>
      <c r="BB20" s="120" t="e">
        <f t="shared" si="35"/>
        <v>#VALUE!</v>
      </c>
      <c r="BC20" s="121">
        <f t="shared" si="19"/>
        <v>0</v>
      </c>
      <c r="BD20" s="121">
        <f t="shared" si="20"/>
        <v>0</v>
      </c>
      <c r="BE20" s="120">
        <f t="shared" si="36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7"/>
        <v>0</v>
      </c>
      <c r="K21" s="245">
        <f t="shared" si="38"/>
        <v>0</v>
      </c>
      <c r="L21" s="246">
        <f t="shared" si="39"/>
        <v>0</v>
      </c>
      <c r="M21" s="247">
        <f t="shared" si="0"/>
        <v>3</v>
      </c>
      <c r="N21" s="248">
        <f t="shared" si="40"/>
        <v>0</v>
      </c>
      <c r="O21" s="249">
        <f t="shared" si="1"/>
        <v>0</v>
      </c>
      <c r="P21" s="250" t="str">
        <f t="shared" si="2"/>
        <v xml:space="preserve"> </v>
      </c>
      <c r="Q21" s="351">
        <f t="shared" si="41"/>
        <v>0</v>
      </c>
      <c r="R21" s="250" t="str">
        <f t="shared" si="3"/>
        <v xml:space="preserve"> </v>
      </c>
      <c r="S21" s="352" t="str">
        <f t="shared" si="42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9">
        <f t="shared" si="5"/>
        <v>0</v>
      </c>
      <c r="AB21" s="354">
        <f t="shared" si="6"/>
        <v>0</v>
      </c>
      <c r="AC21" s="355">
        <f t="shared" si="7"/>
        <v>0</v>
      </c>
      <c r="AD21" s="356" t="str">
        <f t="shared" si="8"/>
        <v xml:space="preserve"> </v>
      </c>
      <c r="AE21" s="365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34"/>
        <v>3</v>
      </c>
      <c r="BA21" s="120" t="str">
        <f t="shared" si="18"/>
        <v>RR</v>
      </c>
      <c r="BB21" s="120" t="e">
        <f t="shared" si="35"/>
        <v>#VALUE!</v>
      </c>
      <c r="BC21" s="121">
        <f t="shared" si="19"/>
        <v>0</v>
      </c>
      <c r="BD21" s="121">
        <f t="shared" si="20"/>
        <v>0</v>
      </c>
      <c r="BE21" s="120">
        <f t="shared" si="36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7"/>
        <v>0</v>
      </c>
      <c r="K22" s="245">
        <f t="shared" si="38"/>
        <v>0</v>
      </c>
      <c r="L22" s="246">
        <f t="shared" si="39"/>
        <v>0</v>
      </c>
      <c r="M22" s="247">
        <f t="shared" si="0"/>
        <v>3</v>
      </c>
      <c r="N22" s="248">
        <f t="shared" si="40"/>
        <v>0</v>
      </c>
      <c r="O22" s="249">
        <f t="shared" si="1"/>
        <v>0</v>
      </c>
      <c r="P22" s="250" t="str">
        <f t="shared" si="2"/>
        <v xml:space="preserve"> </v>
      </c>
      <c r="Q22" s="351">
        <f t="shared" si="41"/>
        <v>0</v>
      </c>
      <c r="R22" s="250" t="str">
        <f t="shared" si="3"/>
        <v xml:space="preserve"> </v>
      </c>
      <c r="S22" s="352" t="str">
        <f t="shared" si="42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9">
        <f t="shared" si="5"/>
        <v>0</v>
      </c>
      <c r="AB22" s="354">
        <f t="shared" si="6"/>
        <v>0</v>
      </c>
      <c r="AC22" s="355">
        <f t="shared" si="7"/>
        <v>0</v>
      </c>
      <c r="AD22" s="356" t="str">
        <f t="shared" si="8"/>
        <v xml:space="preserve"> </v>
      </c>
      <c r="AE22" s="365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34"/>
        <v>3</v>
      </c>
      <c r="BA22" s="120" t="str">
        <f t="shared" si="18"/>
        <v>RR</v>
      </c>
      <c r="BB22" s="120" t="e">
        <f t="shared" si="35"/>
        <v>#VALUE!</v>
      </c>
      <c r="BC22" s="121">
        <f t="shared" si="19"/>
        <v>0</v>
      </c>
      <c r="BD22" s="121">
        <f t="shared" si="20"/>
        <v>0</v>
      </c>
      <c r="BE22" s="120">
        <f t="shared" si="36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6"/>
      <c r="C23" s="155"/>
      <c r="D23" s="112"/>
      <c r="E23" s="113"/>
      <c r="F23" s="113"/>
      <c r="G23" s="111"/>
      <c r="H23" s="114"/>
      <c r="I23" s="111"/>
      <c r="J23" s="245">
        <f t="shared" si="37"/>
        <v>0</v>
      </c>
      <c r="K23" s="245">
        <f t="shared" si="38"/>
        <v>0</v>
      </c>
      <c r="L23" s="246">
        <f t="shared" si="39"/>
        <v>0</v>
      </c>
      <c r="M23" s="247">
        <f t="shared" si="0"/>
        <v>3</v>
      </c>
      <c r="N23" s="248">
        <f t="shared" si="40"/>
        <v>0</v>
      </c>
      <c r="O23" s="249">
        <f t="shared" si="1"/>
        <v>0</v>
      </c>
      <c r="P23" s="250" t="str">
        <f t="shared" si="2"/>
        <v xml:space="preserve"> </v>
      </c>
      <c r="Q23" s="351">
        <f t="shared" si="41"/>
        <v>0</v>
      </c>
      <c r="R23" s="250" t="str">
        <f t="shared" si="3"/>
        <v xml:space="preserve"> </v>
      </c>
      <c r="S23" s="352" t="str">
        <f t="shared" si="42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9">
        <f t="shared" si="5"/>
        <v>0</v>
      </c>
      <c r="AB23" s="354">
        <f t="shared" si="6"/>
        <v>0</v>
      </c>
      <c r="AC23" s="355">
        <f t="shared" si="7"/>
        <v>0</v>
      </c>
      <c r="AD23" s="356" t="str">
        <f t="shared" si="8"/>
        <v xml:space="preserve"> </v>
      </c>
      <c r="AE23" s="365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34"/>
        <v>3</v>
      </c>
      <c r="BA23" s="120" t="str">
        <f t="shared" si="18"/>
        <v>RR</v>
      </c>
      <c r="BB23" s="120" t="e">
        <f t="shared" si="35"/>
        <v>#VALUE!</v>
      </c>
      <c r="BC23" s="121">
        <f t="shared" si="19"/>
        <v>0</v>
      </c>
      <c r="BD23" s="121">
        <f t="shared" si="20"/>
        <v>0</v>
      </c>
      <c r="BE23" s="120">
        <f t="shared" si="36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7"/>
        <v>0</v>
      </c>
      <c r="K24" s="245">
        <f t="shared" si="38"/>
        <v>0</v>
      </c>
      <c r="L24" s="246">
        <f t="shared" si="39"/>
        <v>0</v>
      </c>
      <c r="M24" s="247">
        <f t="shared" si="0"/>
        <v>3</v>
      </c>
      <c r="N24" s="248">
        <f t="shared" si="40"/>
        <v>0</v>
      </c>
      <c r="O24" s="249">
        <f t="shared" si="1"/>
        <v>0</v>
      </c>
      <c r="P24" s="250" t="str">
        <f t="shared" si="2"/>
        <v xml:space="preserve"> </v>
      </c>
      <c r="Q24" s="351">
        <f t="shared" si="41"/>
        <v>0</v>
      </c>
      <c r="R24" s="250" t="str">
        <f t="shared" si="3"/>
        <v xml:space="preserve"> </v>
      </c>
      <c r="S24" s="352" t="str">
        <f t="shared" si="42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9">
        <f t="shared" si="5"/>
        <v>0</v>
      </c>
      <c r="AB24" s="354">
        <f t="shared" si="6"/>
        <v>0</v>
      </c>
      <c r="AC24" s="355">
        <f t="shared" si="7"/>
        <v>0</v>
      </c>
      <c r="AD24" s="356" t="str">
        <f t="shared" si="8"/>
        <v xml:space="preserve"> </v>
      </c>
      <c r="AE24" s="365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34"/>
        <v>3</v>
      </c>
      <c r="BA24" s="120" t="str">
        <f t="shared" si="18"/>
        <v>RR</v>
      </c>
      <c r="BB24" s="120" t="e">
        <f t="shared" si="35"/>
        <v>#VALUE!</v>
      </c>
      <c r="BC24" s="121">
        <f t="shared" si="19"/>
        <v>0</v>
      </c>
      <c r="BD24" s="121">
        <f t="shared" si="20"/>
        <v>0</v>
      </c>
      <c r="BE24" s="120">
        <f t="shared" si="36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7"/>
        <v>0</v>
      </c>
      <c r="K25" s="245">
        <f t="shared" si="38"/>
        <v>0</v>
      </c>
      <c r="L25" s="246">
        <f t="shared" si="39"/>
        <v>0</v>
      </c>
      <c r="M25" s="247">
        <f t="shared" si="0"/>
        <v>3</v>
      </c>
      <c r="N25" s="248">
        <f t="shared" si="40"/>
        <v>0</v>
      </c>
      <c r="O25" s="249">
        <f t="shared" si="1"/>
        <v>0</v>
      </c>
      <c r="P25" s="250" t="str">
        <f t="shared" si="2"/>
        <v xml:space="preserve"> </v>
      </c>
      <c r="Q25" s="351">
        <f t="shared" si="41"/>
        <v>0</v>
      </c>
      <c r="R25" s="250" t="str">
        <f t="shared" si="3"/>
        <v xml:space="preserve"> </v>
      </c>
      <c r="S25" s="352" t="str">
        <f t="shared" si="42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9">
        <f t="shared" si="5"/>
        <v>0</v>
      </c>
      <c r="AB25" s="354">
        <f t="shared" si="6"/>
        <v>0</v>
      </c>
      <c r="AC25" s="355">
        <f t="shared" si="7"/>
        <v>0</v>
      </c>
      <c r="AD25" s="356" t="str">
        <f t="shared" si="8"/>
        <v xml:space="preserve"> </v>
      </c>
      <c r="AE25" s="365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34"/>
        <v>3</v>
      </c>
      <c r="BA25" s="120" t="str">
        <f t="shared" si="18"/>
        <v>RR</v>
      </c>
      <c r="BB25" s="120" t="e">
        <f t="shared" si="35"/>
        <v>#VALUE!</v>
      </c>
      <c r="BC25" s="121">
        <f t="shared" si="19"/>
        <v>0</v>
      </c>
      <c r="BD25" s="121">
        <f t="shared" si="20"/>
        <v>0</v>
      </c>
      <c r="BE25" s="120">
        <f t="shared" si="36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7"/>
        <v>0</v>
      </c>
      <c r="K26" s="245">
        <f t="shared" si="38"/>
        <v>0</v>
      </c>
      <c r="L26" s="246">
        <f t="shared" si="39"/>
        <v>0</v>
      </c>
      <c r="M26" s="247">
        <f t="shared" si="0"/>
        <v>3</v>
      </c>
      <c r="N26" s="248">
        <f t="shared" si="40"/>
        <v>0</v>
      </c>
      <c r="O26" s="249">
        <f t="shared" si="1"/>
        <v>0</v>
      </c>
      <c r="P26" s="250" t="str">
        <f t="shared" si="2"/>
        <v xml:space="preserve"> </v>
      </c>
      <c r="Q26" s="351">
        <f t="shared" si="41"/>
        <v>0</v>
      </c>
      <c r="R26" s="250" t="str">
        <f t="shared" si="3"/>
        <v xml:space="preserve"> </v>
      </c>
      <c r="S26" s="352" t="str">
        <f t="shared" si="42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9">
        <f t="shared" si="5"/>
        <v>0</v>
      </c>
      <c r="AB26" s="354">
        <f t="shared" si="6"/>
        <v>0</v>
      </c>
      <c r="AC26" s="355">
        <f t="shared" si="7"/>
        <v>0</v>
      </c>
      <c r="AD26" s="356" t="str">
        <f t="shared" si="8"/>
        <v xml:space="preserve"> </v>
      </c>
      <c r="AE26" s="365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34"/>
        <v>3</v>
      </c>
      <c r="BA26" s="120" t="str">
        <f t="shared" si="18"/>
        <v>RR</v>
      </c>
      <c r="BB26" s="120" t="e">
        <f t="shared" si="35"/>
        <v>#VALUE!</v>
      </c>
      <c r="BC26" s="121">
        <f t="shared" si="19"/>
        <v>0</v>
      </c>
      <c r="BD26" s="121">
        <f t="shared" si="20"/>
        <v>0</v>
      </c>
      <c r="BE26" s="120">
        <f t="shared" si="36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7"/>
        <v>0</v>
      </c>
      <c r="K27" s="245">
        <f t="shared" si="38"/>
        <v>0</v>
      </c>
      <c r="L27" s="246">
        <f t="shared" si="39"/>
        <v>0</v>
      </c>
      <c r="M27" s="247">
        <f t="shared" si="0"/>
        <v>3</v>
      </c>
      <c r="N27" s="248">
        <f t="shared" si="40"/>
        <v>0</v>
      </c>
      <c r="O27" s="249">
        <f t="shared" si="1"/>
        <v>0</v>
      </c>
      <c r="P27" s="250" t="str">
        <f t="shared" si="2"/>
        <v xml:space="preserve"> </v>
      </c>
      <c r="Q27" s="351">
        <f t="shared" si="41"/>
        <v>0</v>
      </c>
      <c r="R27" s="250" t="str">
        <f t="shared" si="3"/>
        <v xml:space="preserve"> </v>
      </c>
      <c r="S27" s="352" t="str">
        <f t="shared" si="42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9">
        <f t="shared" si="5"/>
        <v>0</v>
      </c>
      <c r="AB27" s="354">
        <f t="shared" si="6"/>
        <v>0</v>
      </c>
      <c r="AC27" s="355">
        <f t="shared" si="7"/>
        <v>0</v>
      </c>
      <c r="AD27" s="356" t="str">
        <f t="shared" si="8"/>
        <v xml:space="preserve"> </v>
      </c>
      <c r="AE27" s="365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4"/>
        <v>3</v>
      </c>
      <c r="BA27" s="120" t="str">
        <f t="shared" si="18"/>
        <v>RR</v>
      </c>
      <c r="BB27" s="120" t="e">
        <f t="shared" si="35"/>
        <v>#VALUE!</v>
      </c>
      <c r="BC27" s="121">
        <f t="shared" si="19"/>
        <v>0</v>
      </c>
      <c r="BD27" s="121">
        <f t="shared" si="20"/>
        <v>0</v>
      </c>
      <c r="BE27" s="120">
        <f t="shared" si="36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7"/>
        <v>0</v>
      </c>
      <c r="K28" s="245">
        <f t="shared" si="38"/>
        <v>0</v>
      </c>
      <c r="L28" s="246">
        <f t="shared" si="39"/>
        <v>0</v>
      </c>
      <c r="M28" s="247">
        <f t="shared" si="0"/>
        <v>3</v>
      </c>
      <c r="N28" s="248">
        <f t="shared" si="40"/>
        <v>0</v>
      </c>
      <c r="O28" s="249">
        <f t="shared" si="1"/>
        <v>0</v>
      </c>
      <c r="P28" s="250" t="str">
        <f t="shared" si="2"/>
        <v xml:space="preserve"> </v>
      </c>
      <c r="Q28" s="351">
        <f t="shared" si="41"/>
        <v>0</v>
      </c>
      <c r="R28" s="250" t="str">
        <f t="shared" si="3"/>
        <v xml:space="preserve"> </v>
      </c>
      <c r="S28" s="352" t="str">
        <f t="shared" si="42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9">
        <f t="shared" si="5"/>
        <v>0</v>
      </c>
      <c r="AB28" s="354">
        <f t="shared" si="6"/>
        <v>0</v>
      </c>
      <c r="AC28" s="355">
        <f t="shared" si="7"/>
        <v>0</v>
      </c>
      <c r="AD28" s="356" t="str">
        <f t="shared" si="8"/>
        <v xml:space="preserve"> </v>
      </c>
      <c r="AE28" s="365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4"/>
        <v>3</v>
      </c>
      <c r="BA28" s="120" t="str">
        <f t="shared" si="18"/>
        <v>RR</v>
      </c>
      <c r="BB28" s="120" t="e">
        <f t="shared" si="35"/>
        <v>#VALUE!</v>
      </c>
      <c r="BC28" s="121">
        <f t="shared" si="19"/>
        <v>0</v>
      </c>
      <c r="BD28" s="121">
        <f t="shared" si="20"/>
        <v>0</v>
      </c>
      <c r="BE28" s="120">
        <f t="shared" si="36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7"/>
        <v>0</v>
      </c>
      <c r="K29" s="245">
        <f t="shared" si="38"/>
        <v>0</v>
      </c>
      <c r="L29" s="246">
        <f t="shared" si="39"/>
        <v>0</v>
      </c>
      <c r="M29" s="247">
        <f t="shared" si="0"/>
        <v>3</v>
      </c>
      <c r="N29" s="248">
        <f t="shared" si="40"/>
        <v>0</v>
      </c>
      <c r="O29" s="249">
        <f t="shared" si="1"/>
        <v>0</v>
      </c>
      <c r="P29" s="250" t="str">
        <f t="shared" si="2"/>
        <v xml:space="preserve"> </v>
      </c>
      <c r="Q29" s="351">
        <f t="shared" si="41"/>
        <v>0</v>
      </c>
      <c r="R29" s="250" t="str">
        <f t="shared" si="3"/>
        <v xml:space="preserve"> </v>
      </c>
      <c r="S29" s="352" t="str">
        <f t="shared" si="42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9">
        <f t="shared" si="5"/>
        <v>0</v>
      </c>
      <c r="AB29" s="354">
        <f t="shared" si="6"/>
        <v>0</v>
      </c>
      <c r="AC29" s="355">
        <f t="shared" si="7"/>
        <v>0</v>
      </c>
      <c r="AD29" s="356" t="str">
        <f t="shared" si="8"/>
        <v xml:space="preserve"> </v>
      </c>
      <c r="AE29" s="365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4"/>
        <v>3</v>
      </c>
      <c r="BA29" s="120" t="str">
        <f t="shared" si="18"/>
        <v>RR</v>
      </c>
      <c r="BB29" s="120" t="e">
        <f t="shared" si="35"/>
        <v>#VALUE!</v>
      </c>
      <c r="BC29" s="121">
        <f t="shared" si="19"/>
        <v>0</v>
      </c>
      <c r="BD29" s="121">
        <f t="shared" si="20"/>
        <v>0</v>
      </c>
      <c r="BE29" s="120">
        <f t="shared" si="36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7"/>
        <v>0</v>
      </c>
      <c r="K30" s="245">
        <f t="shared" si="38"/>
        <v>0</v>
      </c>
      <c r="L30" s="246">
        <f t="shared" si="39"/>
        <v>0</v>
      </c>
      <c r="M30" s="247">
        <f t="shared" si="0"/>
        <v>3</v>
      </c>
      <c r="N30" s="248">
        <f t="shared" si="40"/>
        <v>0</v>
      </c>
      <c r="O30" s="249">
        <f t="shared" si="1"/>
        <v>0</v>
      </c>
      <c r="P30" s="250" t="str">
        <f t="shared" si="2"/>
        <v xml:space="preserve"> </v>
      </c>
      <c r="Q30" s="351">
        <f t="shared" si="41"/>
        <v>0</v>
      </c>
      <c r="R30" s="250" t="str">
        <f t="shared" si="3"/>
        <v xml:space="preserve"> </v>
      </c>
      <c r="S30" s="352" t="str">
        <f t="shared" si="42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9">
        <f t="shared" si="5"/>
        <v>0</v>
      </c>
      <c r="AB30" s="354">
        <f t="shared" si="6"/>
        <v>0</v>
      </c>
      <c r="AC30" s="355">
        <f t="shared" si="7"/>
        <v>0</v>
      </c>
      <c r="AD30" s="356" t="str">
        <f t="shared" si="8"/>
        <v xml:space="preserve"> </v>
      </c>
      <c r="AE30" s="365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v>32</v>
      </c>
      <c r="AR30" s="119">
        <f t="shared" si="17"/>
        <v>32</v>
      </c>
      <c r="AS30" s="184"/>
      <c r="AZ30" s="120">
        <f t="shared" si="34"/>
        <v>3</v>
      </c>
      <c r="BA30" s="120" t="str">
        <f t="shared" si="18"/>
        <v>RR</v>
      </c>
      <c r="BB30" s="120" t="e">
        <f t="shared" si="35"/>
        <v>#VALUE!</v>
      </c>
      <c r="BC30" s="121">
        <f t="shared" si="19"/>
        <v>0</v>
      </c>
      <c r="BD30" s="121">
        <f t="shared" si="20"/>
        <v>0</v>
      </c>
      <c r="BE30" s="120">
        <f t="shared" si="36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16.5</v>
      </c>
      <c r="AD31" s="358"/>
      <c r="AE31" s="353">
        <f>SUM(AE11:AE30)</f>
        <v>19.75</v>
      </c>
      <c r="AF31" s="123" t="s">
        <v>16</v>
      </c>
      <c r="AG31" s="124"/>
      <c r="AL31" s="125">
        <f t="shared" ref="AL31:AQ31" si="43">SUM(AL11:AL30)</f>
        <v>1080</v>
      </c>
      <c r="AM31" s="126">
        <f t="shared" si="43"/>
        <v>240</v>
      </c>
      <c r="AN31" s="127">
        <f t="shared" si="43"/>
        <v>45</v>
      </c>
      <c r="AO31" s="162">
        <f t="shared" si="43"/>
        <v>742.5</v>
      </c>
      <c r="AP31" s="162">
        <f t="shared" si="43"/>
        <v>395</v>
      </c>
      <c r="AQ31" s="162">
        <f t="shared" si="43"/>
        <v>32</v>
      </c>
      <c r="AR31" s="158">
        <f>SUM(AL31:AQ31)</f>
        <v>2534.5</v>
      </c>
      <c r="AS31" s="184"/>
      <c r="AW31" s="397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 t="s">
        <v>39</v>
      </c>
      <c r="W32" s="255"/>
      <c r="X32" s="255"/>
      <c r="Y32" s="300" t="s">
        <v>2537</v>
      </c>
      <c r="Z32" s="339">
        <f>AC31+'Worksheet 2'!AC31</f>
        <v>16.5</v>
      </c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6" t="s">
        <v>37</v>
      </c>
      <c r="AQ32" s="394">
        <f>'Worksheet 2'!AR31</f>
        <v>0</v>
      </c>
      <c r="AR32" s="393">
        <f>AR31+AQ32+AM35</f>
        <v>2535</v>
      </c>
      <c r="AS32" s="392" t="s">
        <v>2582</v>
      </c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 t="s">
        <v>2606</v>
      </c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0" t="s">
        <v>2538</v>
      </c>
      <c r="Z33" s="339">
        <f>AE31+'Worksheet 2'!AE31</f>
        <v>19.75</v>
      </c>
      <c r="AA33" s="43"/>
      <c r="AB33" s="424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400">
        <v>10</v>
      </c>
      <c r="AR33" s="401">
        <v>700</v>
      </c>
      <c r="AS33" s="186"/>
      <c r="AX33" s="416" t="s">
        <v>2589</v>
      </c>
      <c r="AY33" s="416"/>
      <c r="AZ33" s="416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1" t="s">
        <v>2539</v>
      </c>
      <c r="O34" s="339">
        <f>SUM(Q43+S43+'Worksheet 2'!O34)/sew_price*10</f>
        <v>2.5749999999999993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2">
        <f>+IF(AR32&lt;500,AZ34,IF(AR32&lt;1000,AZ35,IF(AR32&lt;3000,AZ36,IF(AR32&lt;8000,AZ37,IF(AR32&gt;7999,AZ38," ")))))</f>
        <v>175</v>
      </c>
      <c r="AS34" s="186"/>
      <c r="AX34" s="425" t="s">
        <v>2584</v>
      </c>
      <c r="AY34" s="425"/>
      <c r="AZ34" s="398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2606</v>
      </c>
      <c r="G35" s="57" t="s">
        <v>2607</v>
      </c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0" t="s">
        <v>2593</v>
      </c>
      <c r="AM35" s="409">
        <v>0.5</v>
      </c>
      <c r="AN35" s="408" t="s">
        <v>12</v>
      </c>
      <c r="AP35" s="137" t="s">
        <v>2518</v>
      </c>
      <c r="AQ35" s="128"/>
      <c r="AR35" s="193"/>
      <c r="AS35" s="187"/>
      <c r="AX35" s="425" t="s">
        <v>2585</v>
      </c>
      <c r="AY35" s="425"/>
      <c r="AZ35" s="398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5" t="s">
        <v>18</v>
      </c>
      <c r="AQ36" s="43"/>
      <c r="AR36" s="143">
        <f>AR32+AQ33+AR33+AR34+AR35</f>
        <v>3420</v>
      </c>
      <c r="AS36" s="187"/>
      <c r="AT36" s="182" t="b">
        <v>0</v>
      </c>
      <c r="AX36" s="415" t="s">
        <v>2586</v>
      </c>
      <c r="AY36" s="415"/>
      <c r="AZ36" s="399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7" t="s">
        <v>20</v>
      </c>
      <c r="W37" s="418"/>
      <c r="X37" s="78" t="s">
        <v>2605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5" t="s">
        <v>21</v>
      </c>
      <c r="AR37" s="406">
        <f>IF($AT$36=TRUE,(AR32-(AL31+AM31+'Worksheet 2'!AL31+'Worksheet 2'!AM31))*AN37, AR36*AN37)</f>
        <v>0</v>
      </c>
      <c r="AS37" s="186"/>
      <c r="AT37" s="198"/>
      <c r="AX37" s="415" t="s">
        <v>2587</v>
      </c>
      <c r="AY37" s="415"/>
      <c r="AZ37" s="399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P38" s="382"/>
      <c r="AQ38" s="407" t="s">
        <v>22</v>
      </c>
      <c r="AR38" s="404">
        <f>SUM(AR36:AR37)</f>
        <v>3420</v>
      </c>
      <c r="AS38" s="188"/>
      <c r="AX38" s="415" t="s">
        <v>2588</v>
      </c>
      <c r="AY38" s="415"/>
      <c r="AZ38" s="399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3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9">
        <f>SUM(Q11:Q30)</f>
        <v>7.0499999999999989</v>
      </c>
      <c r="S43" s="349">
        <f>SUM(S11:S30)</f>
        <v>8.3999999999999986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 D14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3 E28:E29 E16:E17 E19:E20 E22:E23 E25:E26 E14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hyperlinks>
    <hyperlink ref="J7" r:id="rId2" xr:uid="{E5A67A10-C01A-459D-BD98-82F88CD1EE9C}"/>
  </hyperlinks>
  <pageMargins left="0.18" right="0.25" top="0.25" bottom="0.28000000000000003" header="0.5" footer="0.5"/>
  <pageSetup scale="68" orientation="landscape" r:id="rId3"/>
  <headerFooter alignWithMargins="0">
    <oddFooter>&amp;Z&amp;F</oddFooter>
  </headerFooter>
  <rowBreaks count="1" manualBreakCount="1">
    <brk id="39" max="16383" man="1"/>
  </rowBreaks>
  <ignoredErrors>
    <ignoredError sqref="U14:U18 U21:U30" unlockedFormula="1"/>
  </ignoredError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6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7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8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9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0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1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2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R12" sqref="C1:R1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West York, York, Columbia WO#C5006244-00287</v>
      </c>
      <c r="E1" s="22"/>
      <c r="F1" s="23"/>
      <c r="G1" s="22"/>
      <c r="H1" s="24"/>
      <c r="I1" s="25">
        <f>+Worksheet!$AR$1</f>
        <v>33655</v>
      </c>
      <c r="J1" s="26"/>
      <c r="L1" s="164" t="s">
        <v>107</v>
      </c>
      <c r="M1" s="21" t="str">
        <f>+Worksheet!$W$4</f>
        <v>West York, York, Columbia WO#C5006244-00287</v>
      </c>
      <c r="N1" s="22"/>
      <c r="O1" s="23"/>
      <c r="P1" s="22"/>
      <c r="Q1" s="24"/>
      <c r="R1" s="25">
        <f>+Worksheet!$AR$1</f>
        <v>33655</v>
      </c>
    </row>
    <row r="2" spans="1:18" ht="33" customHeight="1">
      <c r="C2" s="165" t="s">
        <v>122</v>
      </c>
      <c r="D2" s="150" cm="1">
        <f t="array" aca="1" ref="D2" ca="1">INDIRECT("'Worksheet'!$K"&amp;$B1)</f>
        <v>56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69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56</v>
      </c>
      <c r="N2" s="151" t="s">
        <v>109</v>
      </c>
      <c r="O2" s="152">
        <f ca="1">F2</f>
        <v>13</v>
      </c>
      <c r="P2" s="151" t="s">
        <v>116</v>
      </c>
      <c r="Q2" s="153">
        <f ca="1">H2</f>
        <v>69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86.25</v>
      </c>
      <c r="E3" s="19" t="s">
        <v>116</v>
      </c>
      <c r="F3" s="366">
        <f ca="1">H2+15</f>
        <v>84</v>
      </c>
      <c r="G3" s="442" cm="1">
        <f t="array" aca="1" ref="G3" ca="1">INDIRECT("'Worksheet'!$Y"&amp;$B1)</f>
        <v>0</v>
      </c>
      <c r="H3" s="442"/>
      <c r="I3" s="443"/>
      <c r="L3" s="164" t="s">
        <v>115</v>
      </c>
      <c r="M3">
        <f t="shared" ca="1" si="0"/>
        <v>86.25</v>
      </c>
      <c r="N3" s="19" t="s">
        <v>116</v>
      </c>
      <c r="O3" s="366">
        <f ca="1">F3</f>
        <v>84</v>
      </c>
      <c r="P3" s="444">
        <f ca="1">G3</f>
        <v>0</v>
      </c>
      <c r="Q3" s="444"/>
      <c r="R3" s="445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1.1749999999999998</v>
      </c>
      <c r="E4" s="42" t="s">
        <v>40</v>
      </c>
      <c r="F4" s="367"/>
      <c r="G4" s="442"/>
      <c r="H4" s="442"/>
      <c r="I4" s="443"/>
      <c r="L4" s="166"/>
      <c r="M4" s="161">
        <f t="shared" ca="1" si="0"/>
        <v>1.1749999999999998</v>
      </c>
      <c r="N4" s="42" t="s">
        <v>40</v>
      </c>
      <c r="O4" s="367"/>
      <c r="P4" s="444"/>
      <c r="Q4" s="446"/>
      <c r="R4" s="447"/>
    </row>
    <row r="5" spans="1:18" ht="15.75">
      <c r="C5" s="164" t="s">
        <v>129</v>
      </c>
      <c r="D5" s="19">
        <f ca="1">+IF(D9="yes",IF($D11="Left of Pair",($D6*$H9),IF($D11="Panel",$D6*$H9,IF($H11="SOR",$D6*$H9," ")))," ")</f>
        <v>84</v>
      </c>
      <c r="E5" s="19" t="s">
        <v>116</v>
      </c>
      <c r="F5" s="366">
        <f ca="1">IF(D9="YES",H2+12," ")</f>
        <v>81</v>
      </c>
      <c r="H5" s="340" t="s">
        <v>10</v>
      </c>
      <c r="I5" s="368" cm="1">
        <f t="array" aca="1" ref="I5" ca="1">INDIRECT("'Worksheet'!$Q"&amp;B1)</f>
        <v>2.3499999999999996</v>
      </c>
      <c r="L5" s="164" t="s">
        <v>129</v>
      </c>
      <c r="M5">
        <f t="shared" ca="1" si="0"/>
        <v>84</v>
      </c>
      <c r="N5" s="19" t="s">
        <v>116</v>
      </c>
      <c r="O5" s="366">
        <f ca="1">F5</f>
        <v>81</v>
      </c>
      <c r="P5" s="19"/>
      <c r="Q5" s="340" t="s">
        <v>10</v>
      </c>
      <c r="R5" s="160">
        <f ca="1">I5</f>
        <v>2.3499999999999996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1.4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34.5</v>
      </c>
      <c r="L6" s="167"/>
      <c r="M6" s="341">
        <f t="shared" ca="1" si="0"/>
        <v>1.4</v>
      </c>
      <c r="N6" s="342" t="s">
        <v>40</v>
      </c>
      <c r="O6" s="369"/>
      <c r="P6" s="20"/>
      <c r="Q6" s="340" t="s">
        <v>110</v>
      </c>
      <c r="R6" s="32">
        <f ca="1">I6</f>
        <v>34.5</v>
      </c>
    </row>
    <row r="7" spans="1:18" ht="15" customHeight="1">
      <c r="C7" s="168" t="s">
        <v>108</v>
      </c>
      <c r="D7" s="370" t="str" cm="1">
        <f t="array" aca="1" ref="D7" ca="1">INDIRECT("'Worksheet'!$B"&amp;$B1)</f>
        <v>next to YW rm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8" t="s">
        <v>108</v>
      </c>
      <c r="M7" s="31" t="str">
        <f t="shared" ca="1" si="0"/>
        <v>next to YW rm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4" t="s">
        <v>111</v>
      </c>
      <c r="D8" s="343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0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>YES</v>
      </c>
      <c r="E9" s="344" t="str" cm="1">
        <f t="array" aca="1" ref="E9" ca="1">INDIRECT("'Worksheet'!$X"&amp;$B1)</f>
        <v xml:space="preserve">Liteless </v>
      </c>
      <c r="F9" s="39"/>
      <c r="G9" s="20"/>
      <c r="H9" s="389" cm="1">
        <f t="array" aca="1" ref="H9" ca="1">INDIRECT("'Worksheet'!$R"&amp;$B1)</f>
        <v>60</v>
      </c>
      <c r="I9" s="450"/>
      <c r="J9" s="40"/>
      <c r="L9" s="164" t="s">
        <v>113</v>
      </c>
      <c r="M9" s="37" t="str">
        <f t="shared" ca="1" si="0"/>
        <v>YES</v>
      </c>
      <c r="N9" s="38" t="str">
        <f ca="1">E9</f>
        <v xml:space="preserve">Liteless </v>
      </c>
      <c r="O9" s="39"/>
      <c r="P9" s="20"/>
      <c r="Q9" s="390">
        <f ca="1">H9</f>
        <v>60</v>
      </c>
      <c r="R9" s="450"/>
    </row>
    <row r="10" spans="1:18" ht="15.75" customHeight="1">
      <c r="C10" s="164" t="s">
        <v>12</v>
      </c>
      <c r="D10" s="344" t="str" cm="1">
        <f t="array" aca="1" ref="D10" ca="1">INDIRECT("'Worksheet'!$W"&amp;$B1)</f>
        <v>5th Avenue 72</v>
      </c>
      <c r="E10" s="22"/>
      <c r="F10" s="23"/>
      <c r="G10" s="22"/>
      <c r="H10" s="389" cm="1">
        <f t="array" aca="1" ref="H10" ca="1">INDIRECT("'Worksheet'!$P"&amp;$B1)</f>
        <v>74</v>
      </c>
      <c r="I10" s="451"/>
      <c r="L10" s="164" t="s">
        <v>12</v>
      </c>
      <c r="M10" s="21" t="str">
        <f t="shared" ca="1" si="0"/>
        <v>5th Avenue 72</v>
      </c>
      <c r="N10" s="22"/>
      <c r="O10" s="23"/>
      <c r="P10" s="22"/>
      <c r="Q10" s="390">
        <f ca="1">H10</f>
        <v>74</v>
      </c>
      <c r="R10" s="451"/>
    </row>
    <row r="11" spans="1:18" ht="23.25">
      <c r="C11" s="345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1"/>
      <c r="H11" s="371" t="str" cm="1">
        <f t="array" aca="1" ref="H11" ca="1">IF(INDIRECT("'Worksheet'!$F"&amp;$B1)="st","SOR T&amp;B"," ")</f>
        <v xml:space="preserve"> </v>
      </c>
      <c r="I11" s="372"/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West York, York, Columbia WO#C5006244-00287</v>
      </c>
      <c r="E15" s="22"/>
      <c r="F15" s="23"/>
      <c r="G15" s="22"/>
      <c r="H15" s="24"/>
      <c r="I15" s="25">
        <f>+Worksheet!$AR$1</f>
        <v>33655</v>
      </c>
      <c r="J15" s="26"/>
      <c r="L15" s="164" t="s">
        <v>107</v>
      </c>
      <c r="M15" s="21" t="str">
        <f>+Worksheet!$W$4</f>
        <v>West York, York, Columbia WO#C5006244-00287</v>
      </c>
      <c r="N15" s="22"/>
      <c r="O15" s="23"/>
      <c r="P15" s="22"/>
      <c r="Q15" s="24"/>
      <c r="R15" s="25">
        <f>+Worksheet!$AR$1</f>
        <v>33655</v>
      </c>
    </row>
    <row r="16" spans="1:18" ht="33" customHeight="1">
      <c r="C16" s="165" t="s">
        <v>122</v>
      </c>
      <c r="D16" s="150" cm="1">
        <f t="array" aca="1" ref="D16" ca="1">INDIRECT("'Worksheet'!$K"&amp;$B15)</f>
        <v>56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69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56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69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86.25</v>
      </c>
      <c r="E17" s="19" t="s">
        <v>116</v>
      </c>
      <c r="F17" s="366">
        <f ca="1">H16+15</f>
        <v>84</v>
      </c>
      <c r="G17" s="442" cm="1">
        <f t="array" aca="1" ref="G17" ca="1">INDIRECT("'Worksheet'!$Y"&amp;$B15)</f>
        <v>0</v>
      </c>
      <c r="H17" s="442"/>
      <c r="I17" s="443"/>
      <c r="L17" s="164" t="s">
        <v>115</v>
      </c>
      <c r="M17">
        <f t="shared" ca="1" si="1"/>
        <v>86.25</v>
      </c>
      <c r="N17" s="19" t="s">
        <v>116</v>
      </c>
      <c r="O17" s="366">
        <f ca="1">F17</f>
        <v>84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1.1749999999999998</v>
      </c>
      <c r="E18" s="42" t="s">
        <v>40</v>
      </c>
      <c r="F18" s="367"/>
      <c r="G18" s="442"/>
      <c r="H18" s="442"/>
      <c r="I18" s="443"/>
      <c r="L18" s="166"/>
      <c r="M18" s="161">
        <f t="shared" ca="1" si="1"/>
        <v>1.1749999999999998</v>
      </c>
      <c r="N18" s="42" t="s">
        <v>40</v>
      </c>
      <c r="O18" s="367"/>
      <c r="P18" s="444"/>
      <c r="Q18" s="446"/>
      <c r="R18" s="447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84</v>
      </c>
      <c r="E19" s="19" t="s">
        <v>116</v>
      </c>
      <c r="F19" s="366">
        <f ca="1">IF(D23="YES",H16+12," ")</f>
        <v>81</v>
      </c>
      <c r="H19" s="340" t="s">
        <v>10</v>
      </c>
      <c r="I19" s="368" cm="1">
        <f t="array" aca="1" ref="I19" ca="1">INDIRECT("'Worksheet'!$Q"&amp;B15)</f>
        <v>2.3499999999999996</v>
      </c>
      <c r="L19" s="164" t="s">
        <v>129</v>
      </c>
      <c r="M19">
        <f t="shared" ca="1" si="1"/>
        <v>84</v>
      </c>
      <c r="N19" s="19" t="s">
        <v>116</v>
      </c>
      <c r="O19" s="366">
        <f ca="1">F19</f>
        <v>81</v>
      </c>
      <c r="P19" s="19"/>
      <c r="Q19" s="340" t="s">
        <v>10</v>
      </c>
      <c r="R19" s="160">
        <f ca="1">I19</f>
        <v>2.3499999999999996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1.4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34.5</v>
      </c>
      <c r="L20" s="167"/>
      <c r="M20" s="341">
        <f t="shared" ca="1" si="1"/>
        <v>1.4</v>
      </c>
      <c r="N20" s="342" t="s">
        <v>40</v>
      </c>
      <c r="O20" s="369"/>
      <c r="P20" s="20"/>
      <c r="Q20" s="340" t="s">
        <v>110</v>
      </c>
      <c r="R20" s="32">
        <f ca="1">I20</f>
        <v>34.5</v>
      </c>
    </row>
    <row r="21" spans="1:18" ht="12.75" customHeight="1">
      <c r="C21" s="168" t="s">
        <v>108</v>
      </c>
      <c r="D21" s="370" t="str" cm="1">
        <f t="array" aca="1" ref="D21" ca="1">INDIRECT("'Worksheet'!$B"&amp;$B15)</f>
        <v>next to YW rm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8" t="s">
        <v>108</v>
      </c>
      <c r="M21" s="31" t="str">
        <f t="shared" ca="1" si="1"/>
        <v>next to YW rm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4" t="s">
        <v>111</v>
      </c>
      <c r="D22" s="343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0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>YES</v>
      </c>
      <c r="E23" s="344" t="str" cm="1">
        <f t="array" aca="1" ref="E23" ca="1">INDIRECT("'Worksheet'!$X"&amp;$B15)</f>
        <v xml:space="preserve">Liteless </v>
      </c>
      <c r="F23" s="39"/>
      <c r="G23" s="20"/>
      <c r="H23" s="389" cm="1">
        <f t="array" aca="1" ref="H23" ca="1">INDIRECT("'Worksheet'!$R"&amp;$B15)</f>
        <v>60</v>
      </c>
      <c r="I23" s="450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Liteless </v>
      </c>
      <c r="O23" s="39"/>
      <c r="P23" s="20"/>
      <c r="Q23" s="390">
        <f ca="1">H23</f>
        <v>60</v>
      </c>
      <c r="R23" s="450"/>
    </row>
    <row r="24" spans="1:18" ht="15.75" customHeight="1">
      <c r="C24" s="164" t="s">
        <v>12</v>
      </c>
      <c r="D24" s="344" t="str" cm="1">
        <f t="array" aca="1" ref="D24" ca="1">INDIRECT("'Worksheet'!$W"&amp;$B15)</f>
        <v>5th Avenue 72</v>
      </c>
      <c r="E24" s="22"/>
      <c r="F24" s="23"/>
      <c r="G24" s="22"/>
      <c r="H24" s="389" cm="1">
        <f t="array" aca="1" ref="H24" ca="1">INDIRECT("'Worksheet'!$P"&amp;$B15)</f>
        <v>74</v>
      </c>
      <c r="I24" s="451"/>
      <c r="L24" s="164" t="s">
        <v>12</v>
      </c>
      <c r="M24" s="21" t="str">
        <f t="shared" ca="1" si="1"/>
        <v>5th Avenue 72</v>
      </c>
      <c r="N24" s="22"/>
      <c r="O24" s="23"/>
      <c r="P24" s="22"/>
      <c r="Q24" s="390">
        <f ca="1">H24</f>
        <v>74</v>
      </c>
      <c r="R24" s="451"/>
    </row>
    <row r="25" spans="1:18" ht="23.25">
      <c r="C25" s="345" cm="1">
        <f t="array" aca="1" ref="C25" ca="1">INDIRECT("'Worksheet'!$J"&amp;$B15)</f>
        <v>0</v>
      </c>
      <c r="D25" s="448" t="str" cm="1">
        <f t="array" aca="1" ref="D25" ca="1">IF(INDIRECT("'Worksheet'!$D"&amp;$B15)=1, "Left of Pair", IF(INDIRECT("'Worksheet'!$E"&amp;$B15)=1, "Panel"))</f>
        <v>Left of Pair</v>
      </c>
      <c r="E25" s="448"/>
      <c r="F25" s="448"/>
      <c r="G25" s="371"/>
      <c r="H25" s="371" t="str" cm="1">
        <f t="array" aca="1" ref="H25" ca="1">IF(INDIRECT("'Worksheet'!$F"&amp;$B15)="st","SOR T&amp;B"," ")</f>
        <v xml:space="preserve"> </v>
      </c>
      <c r="I25" s="372"/>
      <c r="L25" s="41">
        <f ca="1">$C25</f>
        <v>0</v>
      </c>
      <c r="M25" s="448" t="str" cm="1">
        <f t="array" aca="1" ref="M25" ca="1">IF(INDIRECT("'Worksheet'!$D"&amp;$B15)=1, "Right of Pair", IF(INDIRECT("'Worksheet'!$E"&amp;$B15)=1, "Do Not Use"))</f>
        <v>Right of Pair</v>
      </c>
      <c r="N25" s="448"/>
      <c r="O25" s="448"/>
      <c r="P25" s="371"/>
      <c r="Q25" s="371"/>
      <c r="R25" s="372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West York, York, Columbia WO#C5006244-00287</v>
      </c>
      <c r="E29" s="22"/>
      <c r="F29" s="23"/>
      <c r="G29" s="22"/>
      <c r="H29" s="24"/>
      <c r="I29" s="25">
        <f>+Worksheet!$AR$1</f>
        <v>33655</v>
      </c>
      <c r="J29" s="26"/>
      <c r="L29" s="164" t="s">
        <v>107</v>
      </c>
      <c r="M29" s="21" t="str">
        <f>+Worksheet!$W$4</f>
        <v>West York, York, Columbia WO#C5006244-00287</v>
      </c>
      <c r="N29" s="22"/>
      <c r="O29" s="23"/>
      <c r="P29" s="22"/>
      <c r="Q29" s="24"/>
      <c r="R29" s="25">
        <f>+Worksheet!$AR$1</f>
        <v>33655</v>
      </c>
    </row>
    <row r="30" spans="1:18" ht="33" customHeight="1">
      <c r="C30" s="165" t="s">
        <v>122</v>
      </c>
      <c r="D30" s="150" cm="1">
        <f t="array" aca="1" ref="D30" ca="1">INDIRECT("'Worksheet'!$K"&amp;$B29)</f>
        <v>56</v>
      </c>
      <c r="E30" s="151" t="s">
        <v>109</v>
      </c>
      <c r="F30" s="150" cm="1">
        <f t="array" aca="1" ref="F30" ca="1">INDIRECT("'Worksheet'!$M"&amp;$B29)</f>
        <v>13</v>
      </c>
      <c r="G30" s="151" t="s">
        <v>116</v>
      </c>
      <c r="H30" s="150" cm="1">
        <f t="array" aca="1" ref="H30" ca="1">INDIRECT("'Worksheet'!$O"&amp;$B29)</f>
        <v>69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56</v>
      </c>
      <c r="N30" s="151" t="s">
        <v>109</v>
      </c>
      <c r="O30" s="152">
        <f ca="1">F30</f>
        <v>13</v>
      </c>
      <c r="P30" s="151" t="s">
        <v>116</v>
      </c>
      <c r="Q30" s="153">
        <f ca="1">H30</f>
        <v>69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>
        <f ca="1">+IF($D39="Left of Pair",((D30+F30)*Worksheet!$AE$7)/2,IF($D39="Panel",(D30+F30)*Worksheet!$AE$7,IF($H39="SOR",D30*2.5+6,IF($H39="SOR T&amp;B",D30*2.5+6))))</f>
        <v>86.25</v>
      </c>
      <c r="E31" s="19" t="s">
        <v>116</v>
      </c>
      <c r="F31" s="366">
        <f ca="1">H30+15</f>
        <v>84</v>
      </c>
      <c r="G31" s="442" cm="1">
        <f t="array" aca="1" ref="G31" ca="1">INDIRECT("'Worksheet'!$Y"&amp;$B29)</f>
        <v>0</v>
      </c>
      <c r="H31" s="442"/>
      <c r="I31" s="443"/>
      <c r="L31" s="164" t="s">
        <v>115</v>
      </c>
      <c r="M31">
        <f t="shared" ca="1" si="2"/>
        <v>86.25</v>
      </c>
      <c r="N31" s="19" t="s">
        <v>116</v>
      </c>
      <c r="O31" s="366">
        <f ca="1">F31</f>
        <v>84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1.1749999999999998</v>
      </c>
      <c r="E32" s="42" t="s">
        <v>40</v>
      </c>
      <c r="F32" s="367"/>
      <c r="G32" s="442"/>
      <c r="H32" s="442"/>
      <c r="I32" s="443"/>
      <c r="L32" s="166"/>
      <c r="M32" s="161">
        <f t="shared" ca="1" si="2"/>
        <v>1.1749999999999998</v>
      </c>
      <c r="N32" s="42" t="s">
        <v>40</v>
      </c>
      <c r="O32" s="367"/>
      <c r="P32" s="444"/>
      <c r="Q32" s="446"/>
      <c r="R32" s="447"/>
    </row>
    <row r="33" spans="1:18" ht="15.75">
      <c r="C33" s="164" t="s">
        <v>129</v>
      </c>
      <c r="D33" s="19">
        <f ca="1">+IF(D37="yes",IF($D39="Left of Pair",($D34*$H37),IF($D39="Panel",$D34*$H37,IF($H39="SOR",$D34*$H37," ")))," ")</f>
        <v>84</v>
      </c>
      <c r="E33" s="19" t="s">
        <v>116</v>
      </c>
      <c r="F33" s="366">
        <f ca="1">IF(D37="YES",H30+12," ")</f>
        <v>81</v>
      </c>
      <c r="H33" s="340" t="s">
        <v>10</v>
      </c>
      <c r="I33" s="368" cm="1">
        <f t="array" aca="1" ref="I33" ca="1">INDIRECT("'Worksheet'!$Q"&amp;B29)</f>
        <v>2.3499999999999996</v>
      </c>
      <c r="L33" s="164" t="s">
        <v>129</v>
      </c>
      <c r="M33">
        <f t="shared" ca="1" si="2"/>
        <v>84</v>
      </c>
      <c r="N33" s="19" t="s">
        <v>116</v>
      </c>
      <c r="O33" s="366">
        <f ca="1">F33</f>
        <v>81</v>
      </c>
      <c r="P33" s="19"/>
      <c r="Q33" s="340" t="s">
        <v>10</v>
      </c>
      <c r="R33" s="160">
        <f ca="1">I33</f>
        <v>2.3499999999999996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1.4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34.5</v>
      </c>
      <c r="L34" s="167"/>
      <c r="M34" s="341">
        <f t="shared" ca="1" si="2"/>
        <v>1.4</v>
      </c>
      <c r="N34" s="342" t="s">
        <v>40</v>
      </c>
      <c r="O34" s="369"/>
      <c r="P34" s="20"/>
      <c r="Q34" s="340" t="s">
        <v>110</v>
      </c>
      <c r="R34" s="32">
        <f ca="1">I34</f>
        <v>34.5</v>
      </c>
    </row>
    <row r="35" spans="1:18" ht="12.75" customHeight="1">
      <c r="C35" s="168" t="s">
        <v>108</v>
      </c>
      <c r="D35" s="370" t="str" cm="1">
        <f t="array" aca="1" ref="D35" ca="1">INDIRECT("'Worksheet'!$B"&amp;$B29)</f>
        <v>next to YW rm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8" t="s">
        <v>108</v>
      </c>
      <c r="M35" s="31" t="str">
        <f t="shared" ca="1" si="2"/>
        <v>next to YW rm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4" t="s">
        <v>111</v>
      </c>
      <c r="D36" s="343" cm="1">
        <f t="array" aca="1" ref="D36" ca="1">INDIRECT("'Worksheet'!$H"&amp;$B29)</f>
        <v>3.5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0"/>
      <c r="L36" s="164" t="s">
        <v>111</v>
      </c>
      <c r="M36" s="34">
        <f t="shared" ca="1" si="2"/>
        <v>3.5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>YES</v>
      </c>
      <c r="E37" s="344" t="str" cm="1">
        <f t="array" aca="1" ref="E37" ca="1">INDIRECT("'Worksheet'!$X"&amp;$B29)</f>
        <v xml:space="preserve">Liteless </v>
      </c>
      <c r="F37" s="39"/>
      <c r="G37" s="20"/>
      <c r="H37" s="389" cm="1">
        <f t="array" aca="1" ref="H37" ca="1">INDIRECT("'Worksheet'!$R"&amp;$B29)</f>
        <v>60</v>
      </c>
      <c r="I37" s="450"/>
      <c r="J37" s="40"/>
      <c r="L37" s="164" t="s">
        <v>113</v>
      </c>
      <c r="M37" s="37" t="str">
        <f t="shared" ca="1" si="2"/>
        <v>YES</v>
      </c>
      <c r="N37" s="38" t="str">
        <f ca="1">E37</f>
        <v xml:space="preserve">Liteless </v>
      </c>
      <c r="O37" s="39"/>
      <c r="P37" s="20"/>
      <c r="Q37" s="390">
        <f ca="1">H37</f>
        <v>60</v>
      </c>
      <c r="R37" s="450"/>
    </row>
    <row r="38" spans="1:18" ht="15.75" customHeight="1">
      <c r="C38" s="164" t="s">
        <v>12</v>
      </c>
      <c r="D38" s="344" t="str" cm="1">
        <f t="array" aca="1" ref="D38" ca="1">INDIRECT("'Worksheet'!$W"&amp;$B29)</f>
        <v>5th Avenue 72</v>
      </c>
      <c r="E38" s="22"/>
      <c r="F38" s="23"/>
      <c r="G38" s="22"/>
      <c r="H38" s="389" cm="1">
        <f t="array" aca="1" ref="H38" ca="1">INDIRECT("'Worksheet'!$P"&amp;$B29)</f>
        <v>74</v>
      </c>
      <c r="I38" s="451"/>
      <c r="L38" s="164" t="s">
        <v>12</v>
      </c>
      <c r="M38" s="21" t="str">
        <f t="shared" ca="1" si="2"/>
        <v>5th Avenue 72</v>
      </c>
      <c r="N38" s="22"/>
      <c r="O38" s="23"/>
      <c r="P38" s="22"/>
      <c r="Q38" s="390">
        <f ca="1">H38</f>
        <v>74</v>
      </c>
      <c r="R38" s="451"/>
    </row>
    <row r="39" spans="1:18" ht="20.25" customHeight="1">
      <c r="C39" s="345" cm="1">
        <f t="array" aca="1" ref="C39" ca="1">INDIRECT("'Worksheet'!$J"&amp;$B29)</f>
        <v>0</v>
      </c>
      <c r="D39" s="448" t="str" cm="1">
        <f t="array" aca="1" ref="D39" ca="1">IF(INDIRECT("'Worksheet'!$D"&amp;$B29)=1, "Left of Pair", IF(INDIRECT("'Worksheet'!$E"&amp;$B29)=1, "Panel"))</f>
        <v>Left of Pair</v>
      </c>
      <c r="E39" s="448"/>
      <c r="F39" s="448"/>
      <c r="G39" s="371"/>
      <c r="H39" s="371" t="str" cm="1">
        <f t="array" aca="1" ref="H39" ca="1">IF(INDIRECT("'Worksheet'!$F"&amp;$B29)="st","SOR T&amp;B"," ")</f>
        <v xml:space="preserve"> </v>
      </c>
      <c r="I39" s="372"/>
      <c r="L39" s="41">
        <f ca="1">$C39</f>
        <v>0</v>
      </c>
      <c r="M39" s="448" t="str" cm="1">
        <f t="array" aca="1" ref="M39" ca="1">IF(INDIRECT("'Worksheet'!$D"&amp;$B29)=1, "Right of Pair", IF(INDIRECT("'Worksheet'!$E"&amp;$B29)=1, "Do Not Use"))</f>
        <v>Right of Pair</v>
      </c>
      <c r="N39" s="448"/>
      <c r="O39" s="448"/>
      <c r="P39" s="371"/>
      <c r="Q39" s="371"/>
      <c r="R39" s="372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West York, York, Columbia WO#C5006244-00287</v>
      </c>
      <c r="E43" s="22"/>
      <c r="F43" s="23"/>
      <c r="G43" s="22"/>
      <c r="H43" s="24"/>
      <c r="I43" s="25">
        <f>+Worksheet!$AR$1</f>
        <v>33655</v>
      </c>
      <c r="J43" s="26"/>
      <c r="L43" s="164" t="s">
        <v>107</v>
      </c>
      <c r="M43" s="21" t="str">
        <f>+Worksheet!$W$4</f>
        <v>West York, York, Columbia WO#C5006244-00287</v>
      </c>
      <c r="N43" s="22"/>
      <c r="O43" s="23"/>
      <c r="P43" s="22"/>
      <c r="Q43" s="24"/>
      <c r="R43" s="25">
        <f>+Worksheet!$AR$1</f>
        <v>33655</v>
      </c>
    </row>
    <row r="44" spans="1:18" ht="32.25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6">
        <f ca="1">H44+15</f>
        <v>15</v>
      </c>
      <c r="G45" s="442" cm="1">
        <f t="array" aca="1" ref="G45" ca="1">INDIRECT("'Worksheet'!$Y"&amp;$B43)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7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7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3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3</v>
      </c>
    </row>
    <row r="49" spans="1:18" ht="12.75" customHeight="1">
      <c r="C49" s="168" t="s">
        <v>108</v>
      </c>
      <c r="D49" s="370" cm="1">
        <f t="array" aca="1" ref="D49" ca="1">INDIRECT("'Worksheet'!$B"&amp;$B43)</f>
        <v>0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4" t="s">
        <v>111</v>
      </c>
      <c r="D50" s="343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INDIRECT("'Worksheet'!$X"&amp;$B43)</f>
        <v>0</v>
      </c>
      <c r="F51" s="39"/>
      <c r="G51" s="20"/>
      <c r="H51" s="389" t="str" cm="1">
        <f t="array" aca="1" ref="H51" ca="1">INDIRECT("'Worksheet'!$R"&amp;$B43)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90" t="str">
        <f ca="1">H51</f>
        <v xml:space="preserve"> </v>
      </c>
      <c r="R51" s="450"/>
    </row>
    <row r="52" spans="1:18" ht="15.75" customHeight="1">
      <c r="C52" s="164" t="s">
        <v>12</v>
      </c>
      <c r="D52" s="344" cm="1">
        <f t="array" aca="1" ref="D52" ca="1">INDIRECT("'Worksheet'!$W"&amp;$B43)</f>
        <v>0</v>
      </c>
      <c r="E52" s="22"/>
      <c r="F52" s="23"/>
      <c r="G52" s="22"/>
      <c r="H52" s="389" t="str" cm="1">
        <f t="array" aca="1" ref="H52" ca="1">INDIRECT("'Worksheet'!$P"&amp;$B43)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390" t="str">
        <f ca="1">H52</f>
        <v xml:space="preserve"> </v>
      </c>
      <c r="R52" s="451"/>
    </row>
    <row r="53" spans="1:18" ht="23.25">
      <c r="C53" s="345" cm="1">
        <f t="array" aca="1" ref="C53" ca="1">INDIRECT("'Worksheet'!$J"&amp;$B43)</f>
        <v>0</v>
      </c>
      <c r="D53" s="448" t="b" cm="1">
        <f t="array" aca="1" ref="D53" ca="1">IF(INDIRECT("'Worksheet'!$D"&amp;$B43)=1, "Left of Pair", IF(INDIRECT("'Worksheet'!$E"&amp;$B43)=1, "Panel"))</f>
        <v>0</v>
      </c>
      <c r="E53" s="448"/>
      <c r="F53" s="448"/>
      <c r="G53" s="371"/>
      <c r="H53" s="371" t="str" cm="1">
        <f t="array" aca="1" ref="H53" ca="1">IF(INDIRECT("'Worksheet'!$F"&amp;$B43)="st","SOR T&amp;B"," ")</f>
        <v xml:space="preserve"> </v>
      </c>
      <c r="I53" s="372"/>
      <c r="L53" s="41">
        <f ca="1">$C53</f>
        <v>0</v>
      </c>
      <c r="M53" s="448" t="b" cm="1">
        <f t="array" aca="1" ref="M53" ca="1">IF(INDIRECT("'Worksheet'!$D"&amp;$B43)=1, "Right of Pair", IF(INDIRECT("'Worksheet'!$E"&amp;$B43)=1, "Do Not Use"))</f>
        <v>0</v>
      </c>
      <c r="N53" s="448"/>
      <c r="O53" s="448"/>
      <c r="P53" s="371"/>
      <c r="Q53" s="371"/>
      <c r="R53" s="372"/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West York, York, Columbia WO#C5006244-00287</v>
      </c>
      <c r="E55" s="22"/>
      <c r="F55" s="23"/>
      <c r="G55" s="22"/>
      <c r="H55" s="24"/>
      <c r="I55" s="25">
        <f>+Worksheet!$AR$1</f>
        <v>33655</v>
      </c>
      <c r="J55" s="26"/>
      <c r="L55" s="164" t="s">
        <v>107</v>
      </c>
      <c r="M55" s="21" t="str">
        <f>+Worksheet!$W$4</f>
        <v>West York, York, Columbia WO#C5006244-00287</v>
      </c>
      <c r="N55" s="22"/>
      <c r="O55" s="23"/>
      <c r="P55" s="22"/>
      <c r="Q55" s="24"/>
      <c r="R55" s="25">
        <f>+Worksheet!$AR$1</f>
        <v>33655</v>
      </c>
    </row>
    <row r="56" spans="1:18" ht="32.25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6">
        <f ca="1">H56+15</f>
        <v>15</v>
      </c>
      <c r="G57" s="442" cm="1">
        <f t="array" aca="1" ref="G57" ca="1">INDIRECT("'Worksheet'!$Y"&amp;$B55)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7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7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3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3</v>
      </c>
    </row>
    <row r="61" spans="1:18" ht="12.75" customHeight="1">
      <c r="C61" s="168" t="s">
        <v>108</v>
      </c>
      <c r="D61" s="370" cm="1">
        <f t="array" aca="1" ref="D61" ca="1">INDIRECT("'Worksheet'!$B"&amp;$B55)</f>
        <v>0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4" t="s">
        <v>111</v>
      </c>
      <c r="D62" s="343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INDIRECT("'Worksheet'!$X"&amp;$B55)</f>
        <v>0</v>
      </c>
      <c r="F63" s="39"/>
      <c r="G63" s="20"/>
      <c r="H63" s="389" t="str" cm="1">
        <f t="array" aca="1" ref="H63" ca="1">INDIRECT("'Worksheet'!$R"&amp;$B55)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90" t="str">
        <f ca="1">H63</f>
        <v xml:space="preserve"> </v>
      </c>
      <c r="R63" s="450"/>
    </row>
    <row r="64" spans="1:18" ht="15.75" customHeight="1">
      <c r="C64" s="164" t="s">
        <v>12</v>
      </c>
      <c r="D64" s="344" cm="1">
        <f t="array" aca="1" ref="D64" ca="1">INDIRECT("'Worksheet'!$W"&amp;$B55)</f>
        <v>0</v>
      </c>
      <c r="E64" s="22"/>
      <c r="F64" s="23"/>
      <c r="G64" s="22"/>
      <c r="H64" s="389" t="str" cm="1">
        <f t="array" aca="1" ref="H64" ca="1">INDIRECT("'Worksheet'!$P"&amp;$B55)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390" t="str">
        <f ca="1">H64</f>
        <v xml:space="preserve"> </v>
      </c>
      <c r="R64" s="451"/>
    </row>
    <row r="65" spans="1:18" ht="23.25">
      <c r="C65" s="345" cm="1">
        <f t="array" aca="1" ref="C65" ca="1">INDIRECT("'Worksheet'!$J"&amp;$B55)</f>
        <v>0</v>
      </c>
      <c r="D65" s="448" t="b" cm="1">
        <f t="array" aca="1" ref="D65" ca="1">IF(INDIRECT("'Worksheet'!$D"&amp;$B55)=1, "Left of Pair", IF(INDIRECT("'Worksheet'!$E"&amp;$B55)=1, "Panel"))</f>
        <v>0</v>
      </c>
      <c r="E65" s="448"/>
      <c r="F65" s="448"/>
      <c r="G65" s="371"/>
      <c r="H65" s="371" t="str" cm="1">
        <f t="array" aca="1" ref="H65" ca="1">IF(INDIRECT("'Worksheet'!$F"&amp;$B55)="st","SOR T&amp;B"," ")</f>
        <v xml:space="preserve"> </v>
      </c>
      <c r="I65" s="372"/>
      <c r="L65" s="41">
        <f ca="1">$C65</f>
        <v>0</v>
      </c>
      <c r="M65" s="448" t="b" cm="1">
        <f t="array" aca="1" ref="M65" ca="1">IF(INDIRECT("'Worksheet'!$D"&amp;$B55)=1, "Right of Pair", IF(INDIRECT("'Worksheet'!$E"&amp;$B55)=1, "Do Not Use"))</f>
        <v>0</v>
      </c>
      <c r="N65" s="448"/>
      <c r="O65" s="448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West York, York, Columbia WO#C5006244-00287</v>
      </c>
      <c r="E69" s="22"/>
      <c r="F69" s="23"/>
      <c r="G69" s="22"/>
      <c r="H69" s="24"/>
      <c r="I69" s="25">
        <f>+Worksheet!$AR$1</f>
        <v>33655</v>
      </c>
      <c r="J69" s="26"/>
      <c r="L69" s="164" t="s">
        <v>107</v>
      </c>
      <c r="M69" s="21" t="str">
        <f>+Worksheet!$W$4</f>
        <v>West York, York, Columbia WO#C5006244-00287</v>
      </c>
      <c r="N69" s="22"/>
      <c r="O69" s="23"/>
      <c r="P69" s="22"/>
      <c r="Q69" s="24"/>
      <c r="R69" s="25">
        <f>+Worksheet!$AR$1</f>
        <v>33655</v>
      </c>
    </row>
    <row r="70" spans="1:18" ht="32.25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6">
        <f ca="1">H70+15</f>
        <v>15</v>
      </c>
      <c r="G71" s="442" cm="1">
        <f t="array" aca="1" ref="G71" ca="1">INDIRECT("'Worksheet'!$Y"&amp;$B69)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7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7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3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3</v>
      </c>
    </row>
    <row r="75" spans="1:18" ht="12.75" customHeight="1">
      <c r="C75" s="168" t="s">
        <v>108</v>
      </c>
      <c r="D75" s="370" cm="1">
        <f t="array" aca="1" ref="D75" ca="1">INDIRECT("'Worksheet'!$B"&amp;$B69)</f>
        <v>0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4" t="s">
        <v>111</v>
      </c>
      <c r="D76" s="343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INDIRECT("'Worksheet'!$X"&amp;$B69)</f>
        <v>0</v>
      </c>
      <c r="F77" s="39"/>
      <c r="G77" s="20"/>
      <c r="H77" s="389" t="str" cm="1">
        <f t="array" aca="1" ref="H77" ca="1">INDIRECT("'Worksheet'!$R"&amp;$B69)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0" t="str">
        <f ca="1">H77</f>
        <v xml:space="preserve"> </v>
      </c>
      <c r="R77" s="450"/>
    </row>
    <row r="78" spans="1:18" ht="15.75" customHeight="1">
      <c r="C78" s="164" t="s">
        <v>12</v>
      </c>
      <c r="D78" s="344" cm="1">
        <f t="array" aca="1" ref="D78" ca="1">INDIRECT("'Worksheet'!$W"&amp;$B69)</f>
        <v>0</v>
      </c>
      <c r="E78" s="22"/>
      <c r="F78" s="23"/>
      <c r="G78" s="22"/>
      <c r="H78" s="389" t="str" cm="1">
        <f t="array" aca="1" ref="H78" ca="1">INDIRECT("'Worksheet'!$P"&amp;$B69)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390" t="str">
        <f ca="1">H78</f>
        <v xml:space="preserve"> </v>
      </c>
      <c r="R78" s="451"/>
    </row>
    <row r="79" spans="1:18" ht="23.25">
      <c r="C79" s="345" cm="1">
        <f t="array" aca="1" ref="C79" ca="1">INDIRECT("'Worksheet'!$J"&amp;$B69)</f>
        <v>0</v>
      </c>
      <c r="D79" s="448" t="b" cm="1">
        <f t="array" aca="1" ref="D79" ca="1">IF(INDIRECT("'Worksheet'!$D"&amp;$B69)=1, "Left of Pair", IF(INDIRECT("'Worksheet'!$E"&amp;$B69)=1, "Panel"))</f>
        <v>0</v>
      </c>
      <c r="E79" s="448"/>
      <c r="F79" s="448"/>
      <c r="G79" s="371"/>
      <c r="H79" s="371" t="str" cm="1">
        <f t="array" aca="1" ref="H79" ca="1">IF(INDIRECT("'Worksheet'!$F"&amp;$B69)="st","SOR T&amp;B"," ")</f>
        <v xml:space="preserve"> </v>
      </c>
      <c r="I79" s="372"/>
      <c r="L79" s="41">
        <f ca="1">$C79</f>
        <v>0</v>
      </c>
      <c r="M79" s="448" t="b" cm="1">
        <f t="array" aca="1" ref="M79" ca="1">IF(INDIRECT("'Worksheet'!$D"&amp;$B69)=1, "Right of Pair", IF(INDIRECT("'Worksheet'!$E"&amp;$B69)=1, "Do Not Use"))</f>
        <v>0</v>
      </c>
      <c r="N79" s="448"/>
      <c r="O79" s="448"/>
      <c r="P79" s="371"/>
      <c r="Q79" s="371"/>
      <c r="R79" s="372"/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West York, York, Columbia WO#C5006244-00287</v>
      </c>
      <c r="E83" s="22"/>
      <c r="F83" s="23"/>
      <c r="G83" s="22"/>
      <c r="H83" s="24"/>
      <c r="I83" s="25">
        <f>+Worksheet!$AR$1</f>
        <v>33655</v>
      </c>
      <c r="J83" s="26"/>
      <c r="L83" s="164" t="s">
        <v>107</v>
      </c>
      <c r="M83" s="21" t="str">
        <f>+Worksheet!$W$4</f>
        <v>West York, York, Columbia WO#C5006244-00287</v>
      </c>
      <c r="N83" s="22"/>
      <c r="O83" s="23"/>
      <c r="P83" s="22"/>
      <c r="Q83" s="24"/>
      <c r="R83" s="25">
        <f>+Worksheet!$AR$1</f>
        <v>33655</v>
      </c>
    </row>
    <row r="84" spans="1:18" ht="32.25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6">
        <f ca="1">H84+15</f>
        <v>15</v>
      </c>
      <c r="G85" s="442" cm="1">
        <f t="array" aca="1" ref="G85" ca="1">INDIRECT("'Worksheet'!$Y"&amp;$B83)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7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7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3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3</v>
      </c>
    </row>
    <row r="89" spans="1:18" ht="12.75" customHeight="1">
      <c r="C89" s="168" t="s">
        <v>108</v>
      </c>
      <c r="D89" s="370" cm="1">
        <f t="array" aca="1" ref="D89" ca="1">INDIRECT("'Worksheet'!$B"&amp;$B83)</f>
        <v>0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4" t="s">
        <v>111</v>
      </c>
      <c r="D90" s="343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INDIRECT("'Worksheet'!$X"&amp;$B83)</f>
        <v>0</v>
      </c>
      <c r="F91" s="39"/>
      <c r="G91" s="20"/>
      <c r="H91" s="389" t="str" cm="1">
        <f t="array" aca="1" ref="H91" ca="1">INDIRECT("'Worksheet'!$R"&amp;$B83)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0" t="str">
        <f ca="1">H91</f>
        <v xml:space="preserve"> </v>
      </c>
      <c r="R91" s="450"/>
    </row>
    <row r="92" spans="1:18" ht="15.75" customHeight="1">
      <c r="C92" s="164" t="s">
        <v>12</v>
      </c>
      <c r="D92" s="344" cm="1">
        <f t="array" aca="1" ref="D92" ca="1">INDIRECT("'Worksheet'!$W"&amp;$B83)</f>
        <v>0</v>
      </c>
      <c r="E92" s="22"/>
      <c r="F92" s="23"/>
      <c r="G92" s="22"/>
      <c r="H92" s="389" t="str" cm="1">
        <f t="array" aca="1" ref="H92" ca="1">INDIRECT("'Worksheet'!$P"&amp;$B83)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390" t="str">
        <f ca="1">H92</f>
        <v xml:space="preserve"> </v>
      </c>
      <c r="R92" s="451"/>
    </row>
    <row r="93" spans="1:18" ht="23.25">
      <c r="C93" s="345" cm="1">
        <f t="array" aca="1" ref="C93" ca="1">INDIRECT("'Worksheet'!$J"&amp;$B83)</f>
        <v>0</v>
      </c>
      <c r="D93" s="448" t="b" cm="1">
        <f t="array" aca="1" ref="D93" ca="1">IF(INDIRECT("'Worksheet'!$D"&amp;$B83)=1, "Left of Pair", IF(INDIRECT("'Worksheet'!$E"&amp;$B83)=1, "Panel"))</f>
        <v>0</v>
      </c>
      <c r="E93" s="448"/>
      <c r="F93" s="448"/>
      <c r="G93" s="371"/>
      <c r="H93" s="371" t="str" cm="1">
        <f t="array" aca="1" ref="H93" ca="1">IF(INDIRECT("'Worksheet'!$F"&amp;$B83)="st","SOR T&amp;B"," ")</f>
        <v xml:space="preserve"> </v>
      </c>
      <c r="I93" s="372"/>
      <c r="L93" s="41">
        <f ca="1">$C93</f>
        <v>0</v>
      </c>
      <c r="M93" s="448" t="b" cm="1">
        <f t="array" aca="1" ref="M93" ca="1">IF(INDIRECT("'Worksheet'!$D"&amp;$B83)=1, "Right of Pair", IF(INDIRECT("'Worksheet'!$E"&amp;$B83)=1, "Do Not Use"))</f>
        <v>0</v>
      </c>
      <c r="N93" s="448"/>
      <c r="O93" s="448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West York, York, Columbia WO#C5006244-00287</v>
      </c>
      <c r="E97" s="22"/>
      <c r="F97" s="23"/>
      <c r="G97" s="22"/>
      <c r="H97" s="24"/>
      <c r="I97" s="25">
        <f>+Worksheet!$AR$1</f>
        <v>33655</v>
      </c>
      <c r="J97" s="26"/>
      <c r="L97" s="164" t="s">
        <v>107</v>
      </c>
      <c r="M97" s="21" t="str">
        <f>+Worksheet!$W$4</f>
        <v>West York, York, Columbia WO#C5006244-00287</v>
      </c>
      <c r="N97" s="22"/>
      <c r="O97" s="23"/>
      <c r="P97" s="22"/>
      <c r="Q97" s="24"/>
      <c r="R97" s="25">
        <f>+Worksheet!$AR$1</f>
        <v>33655</v>
      </c>
    </row>
    <row r="98" spans="1:18" ht="32.25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6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7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7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3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3</v>
      </c>
    </row>
    <row r="103" spans="1:18" ht="12.75" customHeight="1">
      <c r="C103" s="168" t="s">
        <v>108</v>
      </c>
      <c r="D103" s="370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4" t="s">
        <v>111</v>
      </c>
      <c r="D104" s="343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INDIRECT("'Worksheet'!$X"&amp;$B97)</f>
        <v>0</v>
      </c>
      <c r="F105" s="39"/>
      <c r="G105" s="20"/>
      <c r="H105" s="389" t="str" cm="1">
        <f t="array" aca="1" ref="H105" ca="1">INDIRECT("'Worksheet'!$R"&amp;$B97)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0" t="str">
        <f ca="1">H105</f>
        <v xml:space="preserve"> </v>
      </c>
      <c r="R105" s="450"/>
    </row>
    <row r="106" spans="1:18" ht="15.75" customHeight="1">
      <c r="C106" s="164" t="s">
        <v>12</v>
      </c>
      <c r="D106" s="344" cm="1">
        <f t="array" aca="1" ref="D106" ca="1">INDIRECT("'Worksheet'!$W"&amp;$B97)</f>
        <v>0</v>
      </c>
      <c r="E106" s="22"/>
      <c r="F106" s="23"/>
      <c r="G106" s="22"/>
      <c r="H106" s="389" t="str" cm="1">
        <f t="array" aca="1" ref="H106" ca="1">INDIRECT("'Worksheet'!$P"&amp;$B97)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390" t="str">
        <f ca="1">H106</f>
        <v xml:space="preserve"> </v>
      </c>
      <c r="R106" s="451"/>
    </row>
    <row r="107" spans="1:18" ht="23.25">
      <c r="C107" s="345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1"/>
      <c r="H107" s="371" t="str" cm="1">
        <f t="array" aca="1" ref="H107" ca="1">IF(INDIRECT("'Worksheet'!$F"&amp;$B97)="st","SOR T&amp;B"," ")</f>
        <v xml:space="preserve"> </v>
      </c>
      <c r="I107" s="372"/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1"/>
      <c r="Q107" s="371"/>
      <c r="R107" s="372"/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West York, York, Columbia WO#C5006244-00287</v>
      </c>
      <c r="E109" s="22"/>
      <c r="F109" s="23"/>
      <c r="G109" s="22"/>
      <c r="H109" s="24"/>
      <c r="I109" s="25">
        <f>+Worksheet!$AR$1</f>
        <v>33655</v>
      </c>
      <c r="J109" s="26"/>
      <c r="L109" s="164" t="s">
        <v>107</v>
      </c>
      <c r="M109" s="21" t="str">
        <f>+Worksheet!$W$4</f>
        <v>West York, York, Columbia WO#C5006244-00287</v>
      </c>
      <c r="N109" s="22"/>
      <c r="O109" s="23"/>
      <c r="P109" s="22"/>
      <c r="Q109" s="24"/>
      <c r="R109" s="25">
        <f>+Worksheet!$AR$1</f>
        <v>33655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6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7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7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3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3</v>
      </c>
    </row>
    <row r="115" spans="1:18" ht="12.75" customHeight="1">
      <c r="C115" s="168" t="s">
        <v>108</v>
      </c>
      <c r="D115" s="370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4" t="s">
        <v>111</v>
      </c>
      <c r="D116" s="343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INDIRECT("'Worksheet'!$X"&amp;$B109)</f>
        <v>0</v>
      </c>
      <c r="F117" s="39"/>
      <c r="G117" s="20"/>
      <c r="H117" s="389" t="str" cm="1">
        <f t="array" aca="1" ref="H117" ca="1">INDIRECT("'Worksheet'!$R"&amp;$B109)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0" t="str">
        <f ca="1">H117</f>
        <v xml:space="preserve"> </v>
      </c>
      <c r="R117" s="450"/>
    </row>
    <row r="118" spans="1:18" ht="15.75" customHeight="1">
      <c r="C118" s="164" t="s">
        <v>12</v>
      </c>
      <c r="D118" s="344" cm="1">
        <f t="array" aca="1" ref="D118" ca="1">INDIRECT("'Worksheet'!$W"&amp;$B109)</f>
        <v>0</v>
      </c>
      <c r="E118" s="22"/>
      <c r="F118" s="23"/>
      <c r="G118" s="22"/>
      <c r="H118" s="389" t="str" cm="1">
        <f t="array" aca="1" ref="H118" ca="1">INDIRECT("'Worksheet'!$P"&amp;$B109)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390" t="str">
        <f ca="1">H118</f>
        <v xml:space="preserve"> </v>
      </c>
      <c r="R118" s="451"/>
    </row>
    <row r="119" spans="1:18" ht="23.25">
      <c r="C119" s="345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1"/>
      <c r="H119" s="371" t="str" cm="1">
        <f t="array" aca="1" ref="H119" ca="1">IF(INDIRECT("'Worksheet'!$F"&amp;$B109)="st","SOR T&amp;B"," ")</f>
        <v xml:space="preserve"> </v>
      </c>
      <c r="I119" s="372"/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West York, York, Columbia WO#C5006244-00287</v>
      </c>
      <c r="E123" s="22"/>
      <c r="F123" s="23"/>
      <c r="G123" s="22"/>
      <c r="H123" s="24"/>
      <c r="I123" s="25">
        <f>+Worksheet!$AR$1</f>
        <v>33655</v>
      </c>
      <c r="J123" s="26"/>
      <c r="L123" s="164" t="s">
        <v>107</v>
      </c>
      <c r="M123" s="21" t="str">
        <f>+Worksheet!$W$4</f>
        <v>West York, York, Columbia WO#C5006244-00287</v>
      </c>
      <c r="N123" s="22"/>
      <c r="O123" s="23"/>
      <c r="P123" s="22"/>
      <c r="Q123" s="24"/>
      <c r="R123" s="25">
        <f>+Worksheet!$AR$1</f>
        <v>33655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6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7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7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3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3</v>
      </c>
    </row>
    <row r="129" spans="1:18" ht="12.75" customHeight="1">
      <c r="C129" s="168" t="s">
        <v>108</v>
      </c>
      <c r="D129" s="370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4" t="s">
        <v>111</v>
      </c>
      <c r="D130" s="343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INDIRECT("'Worksheet'!$X"&amp;$B123)</f>
        <v>0</v>
      </c>
      <c r="F131" s="39"/>
      <c r="G131" s="20"/>
      <c r="H131" s="389" t="str" cm="1">
        <f t="array" aca="1" ref="H131" ca="1">INDIRECT("'Worksheet'!$R"&amp;$B123)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0" t="str">
        <f ca="1">H131</f>
        <v xml:space="preserve"> </v>
      </c>
      <c r="R131" s="450"/>
    </row>
    <row r="132" spans="1:18" ht="15.75" customHeight="1">
      <c r="C132" s="164" t="s">
        <v>12</v>
      </c>
      <c r="D132" s="344" cm="1">
        <f t="array" aca="1" ref="D132" ca="1">INDIRECT("'Worksheet'!$W"&amp;$B123)</f>
        <v>0</v>
      </c>
      <c r="E132" s="22"/>
      <c r="F132" s="23"/>
      <c r="G132" s="22"/>
      <c r="H132" s="389" t="str" cm="1">
        <f t="array" aca="1" ref="H132" ca="1">INDIRECT("'Worksheet'!$P"&amp;$B123)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390" t="str">
        <f ca="1">H132</f>
        <v xml:space="preserve"> </v>
      </c>
      <c r="R132" s="451"/>
    </row>
    <row r="133" spans="1:18" ht="23.25">
      <c r="C133" s="345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1"/>
      <c r="H133" s="371" t="str" cm="1">
        <f t="array" aca="1" ref="H133" ca="1">IF(INDIRECT("'Worksheet'!$F"&amp;$B123)="st","SOR T&amp;B"," ")</f>
        <v xml:space="preserve"> </v>
      </c>
      <c r="I133" s="372"/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1"/>
      <c r="Q133" s="371"/>
      <c r="R133" s="372"/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West York, York, Columbia WO#C5006244-00287</v>
      </c>
      <c r="E137" s="22"/>
      <c r="F137" s="23"/>
      <c r="G137" s="22"/>
      <c r="H137" s="24"/>
      <c r="I137" s="25">
        <f>+Worksheet!$AR$1</f>
        <v>33655</v>
      </c>
      <c r="J137" s="26"/>
      <c r="L137" s="164" t="s">
        <v>107</v>
      </c>
      <c r="M137" s="21" t="str">
        <f>+Worksheet!$W$4</f>
        <v>West York, York, Columbia WO#C5006244-00287</v>
      </c>
      <c r="N137" s="22"/>
      <c r="O137" s="23"/>
      <c r="P137" s="22"/>
      <c r="Q137" s="24"/>
      <c r="R137" s="25">
        <f>+Worksheet!$AR$1</f>
        <v>33655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6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7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7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3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3</v>
      </c>
    </row>
    <row r="143" spans="1:18" ht="12.75" customHeight="1">
      <c r="C143" s="168" t="s">
        <v>108</v>
      </c>
      <c r="D143" s="370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4" t="s">
        <v>111</v>
      </c>
      <c r="D144" s="343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INDIRECT("'Worksheet'!$X"&amp;$B137)</f>
        <v>0</v>
      </c>
      <c r="F145" s="39"/>
      <c r="G145" s="20"/>
      <c r="H145" s="389" t="str" cm="1">
        <f t="array" aca="1" ref="H145" ca="1">INDIRECT("'Worksheet'!$R"&amp;$B137)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0" t="str">
        <f ca="1">H145</f>
        <v xml:space="preserve"> </v>
      </c>
      <c r="R145" s="450"/>
    </row>
    <row r="146" spans="1:18" ht="15.75" customHeight="1">
      <c r="C146" s="164" t="s">
        <v>12</v>
      </c>
      <c r="D146" s="344" cm="1">
        <f t="array" aca="1" ref="D146" ca="1">INDIRECT("'Worksheet'!$W"&amp;$B137)</f>
        <v>0</v>
      </c>
      <c r="E146" s="22"/>
      <c r="F146" s="23"/>
      <c r="G146" s="22"/>
      <c r="H146" s="389" t="str" cm="1">
        <f t="array" aca="1" ref="H146" ca="1">INDIRECT("'Worksheet'!$P"&amp;$B137)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390" t="str">
        <f ca="1">H146</f>
        <v xml:space="preserve"> </v>
      </c>
      <c r="R146" s="451"/>
    </row>
    <row r="147" spans="1:18" ht="23.25">
      <c r="C147" s="345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1"/>
      <c r="H147" s="371" t="str" cm="1">
        <f t="array" aca="1" ref="H147" ca="1">IF(INDIRECT("'Worksheet'!$F"&amp;$B137)="st","SOR T&amp;B"," ")</f>
        <v xml:space="preserve"> </v>
      </c>
      <c r="I147" s="372"/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West York, York, Columbia WO#C5006244-00287</v>
      </c>
      <c r="E151" s="22"/>
      <c r="F151" s="23"/>
      <c r="G151" s="22"/>
      <c r="H151" s="24"/>
      <c r="I151" s="25">
        <f>+Worksheet!$AR$1</f>
        <v>33655</v>
      </c>
      <c r="J151" s="26"/>
      <c r="L151" s="164" t="s">
        <v>107</v>
      </c>
      <c r="M151" s="21" t="str">
        <f>+Worksheet!$W$4</f>
        <v>West York, York, Columbia WO#C5006244-00287</v>
      </c>
      <c r="N151" s="22"/>
      <c r="O151" s="23"/>
      <c r="P151" s="22"/>
      <c r="Q151" s="24"/>
      <c r="R151" s="25">
        <f>+Worksheet!$AR$1</f>
        <v>33655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6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7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7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3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3</v>
      </c>
    </row>
    <row r="157" spans="1:18" ht="12.75" customHeight="1">
      <c r="C157" s="168" t="s">
        <v>108</v>
      </c>
      <c r="D157" s="370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4" t="s">
        <v>111</v>
      </c>
      <c r="D158" s="343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INDIRECT("'Worksheet'!$X"&amp;$B151)</f>
        <v>0</v>
      </c>
      <c r="F159" s="39"/>
      <c r="G159" s="20"/>
      <c r="H159" s="389" t="str" cm="1">
        <f t="array" aca="1" ref="H159" ca="1">INDIRECT("'Worksheet'!$R"&amp;$B151)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0" t="str">
        <f ca="1">H159</f>
        <v xml:space="preserve"> </v>
      </c>
      <c r="R159" s="450"/>
    </row>
    <row r="160" spans="1:18" ht="15.75" customHeight="1">
      <c r="C160" s="164" t="s">
        <v>12</v>
      </c>
      <c r="D160" s="344" cm="1">
        <f t="array" aca="1" ref="D160" ca="1">INDIRECT("'Worksheet'!$W"&amp;$B151)</f>
        <v>0</v>
      </c>
      <c r="E160" s="22"/>
      <c r="F160" s="23"/>
      <c r="G160" s="22"/>
      <c r="H160" s="389" t="str" cm="1">
        <f t="array" aca="1" ref="H160" ca="1">INDIRECT("'Worksheet'!$P"&amp;$B151)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390" t="str">
        <f ca="1">H160</f>
        <v xml:space="preserve"> </v>
      </c>
      <c r="R160" s="451"/>
    </row>
    <row r="161" spans="1:18" ht="23.25">
      <c r="C161" s="345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1"/>
      <c r="H161" s="371" t="str" cm="1">
        <f t="array" aca="1" ref="H161" ca="1">IF(INDIRECT("'Worksheet'!$F"&amp;$B151)="st","SOR T&amp;B"," ")</f>
        <v xml:space="preserve"> </v>
      </c>
      <c r="I161" s="372"/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1"/>
      <c r="Q161" s="371"/>
      <c r="R161" s="372"/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West York, York, Columbia WO#C5006244-00287</v>
      </c>
      <c r="E163" s="22"/>
      <c r="F163" s="23"/>
      <c r="G163" s="22"/>
      <c r="H163" s="24"/>
      <c r="I163" s="25">
        <f>+Worksheet!$AR$1</f>
        <v>33655</v>
      </c>
      <c r="J163" s="26"/>
      <c r="L163" s="164" t="s">
        <v>107</v>
      </c>
      <c r="M163" s="21" t="str">
        <f>+Worksheet!$W$4</f>
        <v>West York, York, Columbia WO#C5006244-00287</v>
      </c>
      <c r="N163" s="22"/>
      <c r="O163" s="23"/>
      <c r="P163" s="22"/>
      <c r="Q163" s="24"/>
      <c r="R163" s="25">
        <f>+Worksheet!$AR$1</f>
        <v>33655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6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7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7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3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3</v>
      </c>
    </row>
    <row r="169" spans="1:18" ht="12.75" customHeight="1">
      <c r="C169" s="168" t="s">
        <v>108</v>
      </c>
      <c r="D169" s="370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4" t="s">
        <v>111</v>
      </c>
      <c r="D170" s="343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INDIRECT("'Worksheet'!$X"&amp;$B163)</f>
        <v>0</v>
      </c>
      <c r="F171" s="39"/>
      <c r="G171" s="20"/>
      <c r="H171" s="389" t="str" cm="1">
        <f t="array" aca="1" ref="H171" ca="1">INDIRECT("'Worksheet'!$R"&amp;$B163)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0" t="str">
        <f ca="1">H171</f>
        <v xml:space="preserve"> </v>
      </c>
      <c r="R171" s="450"/>
    </row>
    <row r="172" spans="1:18" ht="15.75" customHeight="1">
      <c r="C172" s="164" t="s">
        <v>12</v>
      </c>
      <c r="D172" s="344" cm="1">
        <f t="array" aca="1" ref="D172" ca="1">INDIRECT("'Worksheet'!$W"&amp;$B163)</f>
        <v>0</v>
      </c>
      <c r="E172" s="22"/>
      <c r="F172" s="23"/>
      <c r="G172" s="22"/>
      <c r="H172" s="389" t="str" cm="1">
        <f t="array" aca="1" ref="H172" ca="1">INDIRECT("'Worksheet'!$P"&amp;$B163)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390" t="str">
        <f ca="1">H172</f>
        <v xml:space="preserve"> </v>
      </c>
      <c r="R172" s="451"/>
    </row>
    <row r="173" spans="1:18" ht="23.25">
      <c r="C173" s="345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1"/>
      <c r="H173" s="371" t="str" cm="1">
        <f t="array" aca="1" ref="H173" ca="1">IF(INDIRECT("'Worksheet'!$F"&amp;$B163)="st","SOR T&amp;B"," ")</f>
        <v xml:space="preserve"> </v>
      </c>
      <c r="I173" s="372"/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West York, York, Columbia WO#C5006244-00287</v>
      </c>
      <c r="E177" s="22"/>
      <c r="F177" s="23"/>
      <c r="G177" s="22"/>
      <c r="H177" s="24"/>
      <c r="I177" s="25">
        <f>+Worksheet!$AR$1</f>
        <v>33655</v>
      </c>
      <c r="J177" s="26"/>
      <c r="L177" s="164" t="s">
        <v>107</v>
      </c>
      <c r="M177" s="21" t="str">
        <f>+Worksheet!$W$4</f>
        <v>West York, York, Columbia WO#C5006244-00287</v>
      </c>
      <c r="N177" s="22"/>
      <c r="O177" s="23"/>
      <c r="P177" s="22"/>
      <c r="Q177" s="24"/>
      <c r="R177" s="25">
        <f>+Worksheet!$AR$1</f>
        <v>33655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6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7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7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3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3</v>
      </c>
    </row>
    <row r="183" spans="1:18" ht="12.75" customHeight="1">
      <c r="C183" s="168" t="s">
        <v>108</v>
      </c>
      <c r="D183" s="370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4" t="s">
        <v>111</v>
      </c>
      <c r="D184" s="343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INDIRECT("'Worksheet'!$X"&amp;$B177)</f>
        <v>0</v>
      </c>
      <c r="F185" s="39"/>
      <c r="G185" s="20"/>
      <c r="H185" s="389" t="str" cm="1">
        <f t="array" aca="1" ref="H185" ca="1">INDIRECT("'Worksheet'!$R"&amp;$B177)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0" t="str">
        <f ca="1">H185</f>
        <v xml:space="preserve"> </v>
      </c>
      <c r="R185" s="450"/>
    </row>
    <row r="186" spans="1:18" ht="15.75" customHeight="1">
      <c r="C186" s="164" t="s">
        <v>12</v>
      </c>
      <c r="D186" s="344" cm="1">
        <f t="array" aca="1" ref="D186" ca="1">INDIRECT("'Worksheet'!$W"&amp;$B177)</f>
        <v>0</v>
      </c>
      <c r="E186" s="22"/>
      <c r="F186" s="23"/>
      <c r="G186" s="22"/>
      <c r="H186" s="389" t="str" cm="1">
        <f t="array" aca="1" ref="H186" ca="1">INDIRECT("'Worksheet'!$P"&amp;$B177)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390" t="str">
        <f ca="1">H186</f>
        <v xml:space="preserve"> </v>
      </c>
      <c r="R186" s="451"/>
    </row>
    <row r="187" spans="1:18" ht="23.25">
      <c r="C187" s="345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1"/>
      <c r="H187" s="371" t="str" cm="1">
        <f t="array" aca="1" ref="H187" ca="1">IF(INDIRECT("'Worksheet'!$F"&amp;$B177)="st","SOR T&amp;B"," ")</f>
        <v xml:space="preserve"> </v>
      </c>
      <c r="I187" s="372"/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1"/>
      <c r="Q187" s="371"/>
      <c r="R187" s="372"/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West York, York, Columbia WO#C5006244-00287</v>
      </c>
      <c r="E191" s="22"/>
      <c r="F191" s="23"/>
      <c r="G191" s="22"/>
      <c r="H191" s="24"/>
      <c r="I191" s="25">
        <f>+Worksheet!$AR$1</f>
        <v>33655</v>
      </c>
      <c r="J191" s="26"/>
      <c r="L191" s="164" t="s">
        <v>107</v>
      </c>
      <c r="M191" s="21" t="str">
        <f>+Worksheet!$W$4</f>
        <v>West York, York, Columbia WO#C5006244-00287</v>
      </c>
      <c r="N191" s="22"/>
      <c r="O191" s="23"/>
      <c r="P191" s="22"/>
      <c r="Q191" s="24"/>
      <c r="R191" s="25">
        <f>+Worksheet!$AR$1</f>
        <v>33655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6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7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7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3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3</v>
      </c>
    </row>
    <row r="197" spans="1:18" ht="12.75" customHeight="1">
      <c r="C197" s="168" t="s">
        <v>108</v>
      </c>
      <c r="D197" s="370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4" t="s">
        <v>111</v>
      </c>
      <c r="D198" s="343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INDIRECT("'Worksheet'!$X"&amp;$B191)</f>
        <v>0</v>
      </c>
      <c r="F199" s="39"/>
      <c r="G199" s="20"/>
      <c r="H199" s="389" t="str" cm="1">
        <f t="array" aca="1" ref="H199" ca="1">INDIRECT("'Worksheet'!$R"&amp;$B191)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0" t="str">
        <f ca="1">H199</f>
        <v xml:space="preserve"> </v>
      </c>
      <c r="R199" s="450"/>
    </row>
    <row r="200" spans="1:18" ht="15.75" customHeight="1">
      <c r="C200" s="164" t="s">
        <v>12</v>
      </c>
      <c r="D200" s="344" cm="1">
        <f t="array" aca="1" ref="D200" ca="1">INDIRECT("'Worksheet'!$W"&amp;$B191)</f>
        <v>0</v>
      </c>
      <c r="E200" s="22"/>
      <c r="F200" s="23"/>
      <c r="G200" s="22"/>
      <c r="H200" s="389" t="str" cm="1">
        <f t="array" aca="1" ref="H200" ca="1">INDIRECT("'Worksheet'!$P"&amp;$B191)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390" t="str">
        <f ca="1">H200</f>
        <v xml:space="preserve"> </v>
      </c>
      <c r="R200" s="451"/>
    </row>
    <row r="201" spans="1:18" ht="23.25">
      <c r="C201" s="345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1"/>
      <c r="H201" s="371" t="str" cm="1">
        <f t="array" aca="1" ref="H201" ca="1">IF(INDIRECT("'Worksheet'!$F"&amp;$B191)="st","SOR T&amp;B"," ")</f>
        <v xml:space="preserve"> </v>
      </c>
      <c r="I201" s="372"/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West York, York, Columbia WO#C5006244-00287</v>
      </c>
      <c r="E205" s="22"/>
      <c r="F205" s="23"/>
      <c r="G205" s="22"/>
      <c r="H205" s="24"/>
      <c r="I205" s="25">
        <f>+Worksheet!$AR$1</f>
        <v>33655</v>
      </c>
      <c r="J205" s="26"/>
      <c r="L205" s="164" t="s">
        <v>107</v>
      </c>
      <c r="M205" s="21" t="str">
        <f>+Worksheet!$W$4</f>
        <v>West York, York, Columbia WO#C5006244-00287</v>
      </c>
      <c r="N205" s="22"/>
      <c r="O205" s="23"/>
      <c r="P205" s="22"/>
      <c r="Q205" s="24"/>
      <c r="R205" s="25">
        <f>+Worksheet!$AR$1</f>
        <v>33655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6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7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7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3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3</v>
      </c>
    </row>
    <row r="211" spans="1:18" ht="12.75" customHeight="1">
      <c r="C211" s="168" t="s">
        <v>108</v>
      </c>
      <c r="D211" s="370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4" t="s">
        <v>111</v>
      </c>
      <c r="D212" s="343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INDIRECT("'Worksheet'!$X"&amp;$B205)</f>
        <v>0</v>
      </c>
      <c r="F213" s="39"/>
      <c r="G213" s="20"/>
      <c r="H213" s="389" t="str" cm="1">
        <f t="array" aca="1" ref="H213" ca="1">INDIRECT("'Worksheet'!$R"&amp;$B205)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0" t="str">
        <f ca="1">H213</f>
        <v xml:space="preserve"> </v>
      </c>
      <c r="R213" s="450"/>
    </row>
    <row r="214" spans="1:18" ht="15.75" customHeight="1">
      <c r="C214" s="164" t="s">
        <v>12</v>
      </c>
      <c r="D214" s="344" cm="1">
        <f t="array" aca="1" ref="D214" ca="1">INDIRECT("'Worksheet'!$W"&amp;$B205)</f>
        <v>0</v>
      </c>
      <c r="E214" s="22"/>
      <c r="F214" s="23"/>
      <c r="G214" s="22"/>
      <c r="H214" s="389" t="str" cm="1">
        <f t="array" aca="1" ref="H214" ca="1">INDIRECT("'Worksheet'!$P"&amp;$B205)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390" t="str">
        <f ca="1">H214</f>
        <v xml:space="preserve"> </v>
      </c>
      <c r="R214" s="451"/>
    </row>
    <row r="215" spans="1:18" ht="23.25">
      <c r="C215" s="345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1"/>
      <c r="H215" s="371" t="str" cm="1">
        <f t="array" aca="1" ref="H215" ca="1">IF(INDIRECT("'Worksheet'!$F"&amp;$B205)="st","SOR T&amp;B"," ")</f>
        <v xml:space="preserve"> </v>
      </c>
      <c r="I215" s="372"/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1"/>
      <c r="Q215" s="371"/>
      <c r="R215" s="372"/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West York, York, Columbia WO#C5006244-00287</v>
      </c>
      <c r="E217" s="22"/>
      <c r="F217" s="23"/>
      <c r="G217" s="22"/>
      <c r="H217" s="24"/>
      <c r="I217" s="25">
        <f>+Worksheet!$AR$1</f>
        <v>33655</v>
      </c>
      <c r="J217" s="26"/>
      <c r="L217" s="164" t="s">
        <v>107</v>
      </c>
      <c r="M217" s="21" t="str">
        <f>+Worksheet!$W$4</f>
        <v>West York, York, Columbia WO#C5006244-00287</v>
      </c>
      <c r="N217" s="22"/>
      <c r="O217" s="23"/>
      <c r="P217" s="22"/>
      <c r="Q217" s="24"/>
      <c r="R217" s="25">
        <f>+Worksheet!$AR$1</f>
        <v>33655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6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7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7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3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3</v>
      </c>
    </row>
    <row r="223" spans="1:18" ht="12.75" customHeight="1">
      <c r="C223" s="168" t="s">
        <v>108</v>
      </c>
      <c r="D223" s="370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4" t="s">
        <v>111</v>
      </c>
      <c r="D224" s="343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INDIRECT("'Worksheet'!$X"&amp;$B217)</f>
        <v>0</v>
      </c>
      <c r="F225" s="39"/>
      <c r="G225" s="20"/>
      <c r="H225" s="389" t="str" cm="1">
        <f t="array" aca="1" ref="H225" ca="1">INDIRECT("'Worksheet'!$R"&amp;$B217)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0" t="str">
        <f ca="1">H225</f>
        <v xml:space="preserve"> </v>
      </c>
      <c r="R225" s="450"/>
    </row>
    <row r="226" spans="1:18" ht="15.75" customHeight="1">
      <c r="C226" s="164" t="s">
        <v>12</v>
      </c>
      <c r="D226" s="344" cm="1">
        <f t="array" aca="1" ref="D226" ca="1">INDIRECT("'Worksheet'!$W"&amp;$B217)</f>
        <v>0</v>
      </c>
      <c r="E226" s="22"/>
      <c r="F226" s="23"/>
      <c r="G226" s="22"/>
      <c r="H226" s="389" t="str" cm="1">
        <f t="array" aca="1" ref="H226" ca="1">INDIRECT("'Worksheet'!$P"&amp;$B217)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390" t="str">
        <f ca="1">H226</f>
        <v xml:space="preserve"> </v>
      </c>
      <c r="R226" s="451"/>
    </row>
    <row r="227" spans="1:18" ht="23.25">
      <c r="C227" s="345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1"/>
      <c r="H227" s="371" t="str" cm="1">
        <f t="array" aca="1" ref="H227" ca="1">IF(INDIRECT("'Worksheet'!$F"&amp;$B217)="st","SOR T&amp;B"," ")</f>
        <v xml:space="preserve"> </v>
      </c>
      <c r="I227" s="372"/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West York, York, Columbia WO#C5006244-00287</v>
      </c>
      <c r="E231" s="22"/>
      <c r="F231" s="23"/>
      <c r="G231" s="22"/>
      <c r="H231" s="24"/>
      <c r="I231" s="25">
        <f>+Worksheet!$AR$1</f>
        <v>33655</v>
      </c>
      <c r="J231" s="26"/>
      <c r="L231" s="164" t="s">
        <v>107</v>
      </c>
      <c r="M231" s="21" t="str">
        <f>+Worksheet!$W$4</f>
        <v>West York, York, Columbia WO#C5006244-00287</v>
      </c>
      <c r="N231" s="22"/>
      <c r="O231" s="23"/>
      <c r="P231" s="22"/>
      <c r="Q231" s="24"/>
      <c r="R231" s="25">
        <f>+Worksheet!$AR$1</f>
        <v>33655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6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7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7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3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3</v>
      </c>
    </row>
    <row r="237" spans="1:18" ht="12.75" customHeight="1">
      <c r="C237" s="168" t="s">
        <v>108</v>
      </c>
      <c r="D237" s="370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4" t="s">
        <v>111</v>
      </c>
      <c r="D238" s="343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INDIRECT("'Worksheet'!$X"&amp;$B231)</f>
        <v>0</v>
      </c>
      <c r="F239" s="39"/>
      <c r="G239" s="20"/>
      <c r="H239" s="389" t="str" cm="1">
        <f t="array" aca="1" ref="H239" ca="1">INDIRECT("'Worksheet'!$R"&amp;$B231)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0" t="str">
        <f ca="1">H239</f>
        <v xml:space="preserve"> </v>
      </c>
      <c r="R239" s="450"/>
    </row>
    <row r="240" spans="1:18" ht="15.75" customHeight="1">
      <c r="C240" s="164" t="s">
        <v>12</v>
      </c>
      <c r="D240" s="344" cm="1">
        <f t="array" aca="1" ref="D240" ca="1">INDIRECT("'Worksheet'!$W"&amp;$B231)</f>
        <v>0</v>
      </c>
      <c r="E240" s="22"/>
      <c r="F240" s="23"/>
      <c r="G240" s="22"/>
      <c r="H240" s="389" t="str" cm="1">
        <f t="array" aca="1" ref="H240" ca="1">INDIRECT("'Worksheet'!$P"&amp;$B231)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390" t="str">
        <f ca="1">H240</f>
        <v xml:space="preserve"> </v>
      </c>
      <c r="R240" s="451"/>
    </row>
    <row r="241" spans="1:18" ht="23.25">
      <c r="C241" s="345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1"/>
      <c r="H241" s="371" t="str" cm="1">
        <f t="array" aca="1" ref="H241" ca="1">IF(INDIRECT("'Worksheet'!$F"&amp;$B231)="st","SOR T&amp;B"," ")</f>
        <v xml:space="preserve"> </v>
      </c>
      <c r="I241" s="372"/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1"/>
      <c r="Q241" s="371"/>
      <c r="R241" s="372"/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West York, York, Columbia WO#C5006244-00287</v>
      </c>
      <c r="E245" s="22"/>
      <c r="F245" s="23"/>
      <c r="G245" s="22"/>
      <c r="H245" s="24"/>
      <c r="I245" s="25">
        <f>+Worksheet!$AR$1</f>
        <v>33655</v>
      </c>
      <c r="J245" s="26"/>
      <c r="L245" s="164" t="s">
        <v>107</v>
      </c>
      <c r="M245" s="21" t="str">
        <f>+Worksheet!$W$4</f>
        <v>West York, York, Columbia WO#C5006244-00287</v>
      </c>
      <c r="N245" s="22"/>
      <c r="O245" s="23"/>
      <c r="P245" s="22"/>
      <c r="Q245" s="24"/>
      <c r="R245" s="25">
        <f>+Worksheet!$AR$1</f>
        <v>33655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6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7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7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3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3</v>
      </c>
    </row>
    <row r="251" spans="1:18" ht="12.75" customHeight="1">
      <c r="C251" s="168" t="s">
        <v>108</v>
      </c>
      <c r="D251" s="370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4" t="s">
        <v>111</v>
      </c>
      <c r="D252" s="343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INDIRECT("'Worksheet'!$X"&amp;$B245)</f>
        <v>0</v>
      </c>
      <c r="F253" s="39"/>
      <c r="G253" s="20"/>
      <c r="H253" s="389" t="str" cm="1">
        <f t="array" aca="1" ref="H253" ca="1">INDIRECT("'Worksheet'!$R"&amp;$B245)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0" t="str">
        <f ca="1">H253</f>
        <v xml:space="preserve"> </v>
      </c>
      <c r="R253" s="450"/>
    </row>
    <row r="254" spans="1:18" ht="15.75" customHeight="1">
      <c r="C254" s="164" t="s">
        <v>12</v>
      </c>
      <c r="D254" s="344" cm="1">
        <f t="array" aca="1" ref="D254" ca="1">INDIRECT("'Worksheet'!$W"&amp;$B245)</f>
        <v>0</v>
      </c>
      <c r="E254" s="22"/>
      <c r="F254" s="23"/>
      <c r="G254" s="22"/>
      <c r="H254" s="389" t="str" cm="1">
        <f t="array" aca="1" ref="H254" ca="1">INDIRECT("'Worksheet'!$P"&amp;$B245)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390" t="str">
        <f ca="1">H254</f>
        <v xml:space="preserve"> </v>
      </c>
      <c r="R254" s="451"/>
    </row>
    <row r="255" spans="1:18" ht="23.25">
      <c r="C255" s="345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1"/>
      <c r="H255" s="371" t="str" cm="1">
        <f t="array" aca="1" ref="H255" ca="1">IF(INDIRECT("'Worksheet'!$F"&amp;$B245)="st","SOR T&amp;B"," ")</f>
        <v xml:space="preserve"> </v>
      </c>
      <c r="I255" s="372"/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West York, York, Columbia WO#C5006244-00287</v>
      </c>
      <c r="E259" s="22"/>
      <c r="F259" s="23"/>
      <c r="G259" s="22"/>
      <c r="H259" s="24"/>
      <c r="I259" s="25">
        <f>+Worksheet!$AR$1</f>
        <v>33655</v>
      </c>
      <c r="J259" s="26"/>
      <c r="L259" s="164" t="s">
        <v>107</v>
      </c>
      <c r="M259" s="21" t="str">
        <f>+Worksheet!$W$4</f>
        <v>West York, York, Columbia WO#C5006244-00287</v>
      </c>
      <c r="N259" s="22"/>
      <c r="O259" s="23"/>
      <c r="P259" s="22"/>
      <c r="Q259" s="24"/>
      <c r="R259" s="25">
        <f>+Worksheet!$AR$1</f>
        <v>33655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6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7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7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3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3</v>
      </c>
    </row>
    <row r="265" spans="1:18" ht="12.75" customHeight="1">
      <c r="C265" s="168" t="s">
        <v>108</v>
      </c>
      <c r="D265" s="370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4" t="s">
        <v>111</v>
      </c>
      <c r="D266" s="343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INDIRECT("'Worksheet'!$X"&amp;$B259)</f>
        <v>0</v>
      </c>
      <c r="F267" s="39"/>
      <c r="G267" s="20"/>
      <c r="H267" s="389" t="str" cm="1">
        <f t="array" aca="1" ref="H267" ca="1">INDIRECT("'Worksheet'!$R"&amp;$B259)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0" t="str">
        <f ca="1">H267</f>
        <v xml:space="preserve"> </v>
      </c>
      <c r="R267" s="450"/>
    </row>
    <row r="268" spans="1:18" ht="15.75" customHeight="1">
      <c r="C268" s="164" t="s">
        <v>12</v>
      </c>
      <c r="D268" s="344" cm="1">
        <f t="array" aca="1" ref="D268" ca="1">INDIRECT("'Worksheet'!$W"&amp;$B259)</f>
        <v>0</v>
      </c>
      <c r="E268" s="22"/>
      <c r="F268" s="23"/>
      <c r="G268" s="22"/>
      <c r="H268" s="389" t="str" cm="1">
        <f t="array" aca="1" ref="H268" ca="1">INDIRECT("'Worksheet'!$P"&amp;$B259)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390" t="str">
        <f ca="1">H268</f>
        <v xml:space="preserve"> </v>
      </c>
      <c r="R268" s="451"/>
    </row>
    <row r="269" spans="1:18" ht="23.25">
      <c r="C269" s="345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1"/>
      <c r="H269" s="371" t="str" cm="1">
        <f t="array" aca="1" ref="H269" ca="1">IF(INDIRECT("'Worksheet'!$F"&amp;$B259)="st","SOR T&amp;B"," ")</f>
        <v xml:space="preserve"> </v>
      </c>
      <c r="I269" s="372"/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1"/>
      <c r="Q269" s="371"/>
      <c r="R269" s="372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4" t="s">
        <v>2542</v>
      </c>
      <c r="Y1" s="305">
        <f>Worksheet!AR1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2543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Y4" s="300" t="s">
        <v>2291</v>
      </c>
      <c r="Z4" s="211">
        <f>Worksheet!Z4</f>
        <v>1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15"/>
      <c r="N6" s="315"/>
      <c r="O6" s="315"/>
      <c r="P6" s="57"/>
      <c r="Q6" s="172"/>
      <c r="R6" s="317"/>
      <c r="S6" s="57"/>
      <c r="T6" s="171"/>
      <c r="U6" s="75"/>
      <c r="V6" s="69" t="s">
        <v>4</v>
      </c>
      <c r="W6" s="452" t="str">
        <f>Worksheet!W4</f>
        <v>West York, York, Columbia WO#C5006244-00287</v>
      </c>
      <c r="X6" s="452"/>
      <c r="Y6" s="318"/>
      <c r="Z6" s="66"/>
    </row>
    <row r="7" spans="1:26" s="53" customFormat="1" ht="15.75" customHeight="1">
      <c r="A7" s="198"/>
      <c r="B7" s="311"/>
      <c r="C7" s="319"/>
      <c r="D7" s="316" t="s">
        <v>2545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next to YW rm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56</v>
      </c>
      <c r="H11" s="114">
        <f>Worksheet!H11</f>
        <v>3.5</v>
      </c>
      <c r="I11" s="111">
        <f>Worksheet!I11</f>
        <v>69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69</v>
      </c>
      <c r="P11" s="250">
        <f>Worksheet!P11</f>
        <v>74</v>
      </c>
      <c r="Q11" s="321">
        <f>Worksheet!Q11</f>
        <v>2.3499999999999996</v>
      </c>
      <c r="R11" s="250">
        <f>Worksheet!R11</f>
        <v>60</v>
      </c>
      <c r="S11" s="322">
        <f>Worksheet!S11</f>
        <v>2.8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>5th Avenue 72</v>
      </c>
      <c r="X11" s="222" t="str">
        <f>Worksheet!X11</f>
        <v xml:space="preserve">Liteless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next to YW rm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56</v>
      </c>
      <c r="H12" s="114">
        <f>Worksheet!H12</f>
        <v>3.5</v>
      </c>
      <c r="I12" s="111">
        <f>Worksheet!I12</f>
        <v>69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56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69</v>
      </c>
      <c r="P12" s="250">
        <f>Worksheet!P12</f>
        <v>74</v>
      </c>
      <c r="Q12" s="321">
        <f>Worksheet!Q12</f>
        <v>2.3499999999999996</v>
      </c>
      <c r="R12" s="250">
        <f>Worksheet!R12</f>
        <v>60</v>
      </c>
      <c r="S12" s="322">
        <f>Worksheet!S12</f>
        <v>2.8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>5th Avenue 72</v>
      </c>
      <c r="X12" s="222" t="str">
        <f>Worksheet!X12</f>
        <v xml:space="preserve">Liteless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next to YW rm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56</v>
      </c>
      <c r="H13" s="114">
        <f>Worksheet!H13</f>
        <v>3.5</v>
      </c>
      <c r="I13" s="111">
        <f>Worksheet!I13</f>
        <v>69</v>
      </c>
      <c r="J13" s="245">
        <f t="shared" si="1"/>
        <v>0</v>
      </c>
      <c r="K13" s="245">
        <f t="shared" si="2"/>
        <v>56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69</v>
      </c>
      <c r="P13" s="250">
        <f>Worksheet!P13</f>
        <v>74</v>
      </c>
      <c r="Q13" s="321">
        <f>Worksheet!Q13</f>
        <v>2.3499999999999996</v>
      </c>
      <c r="R13" s="250">
        <f>Worksheet!R13</f>
        <v>60</v>
      </c>
      <c r="S13" s="322">
        <f>Worksheet!S13</f>
        <v>2.8</v>
      </c>
      <c r="T13" s="113"/>
      <c r="U13" s="244">
        <f t="shared" si="5"/>
        <v>1</v>
      </c>
      <c r="V13" s="221" t="str">
        <f>Worksheet!V13</f>
        <v>tp&amp;carriers</v>
      </c>
      <c r="W13" s="221" t="str">
        <f>Worksheet!W13</f>
        <v>5th Avenue 72</v>
      </c>
      <c r="X13" s="222" t="str">
        <f>Worksheet!X13</f>
        <v xml:space="preserve">Liteless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300" t="s">
        <v>2537</v>
      </c>
      <c r="Z32" s="339">
        <f>Worksheet!Z32</f>
        <v>16.5</v>
      </c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  <c r="Y33" s="300" t="s">
        <v>2538</v>
      </c>
      <c r="Z33" s="339">
        <f>Worksheet!Z33</f>
        <v>19.75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2.5749999999999993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5"/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455" t="str">
        <f>Worksheet!W4</f>
        <v>West York, York, Columbia WO#C5006244-00287</v>
      </c>
      <c r="X4" s="455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4" t="s">
        <v>2544</v>
      </c>
      <c r="E5" s="320"/>
      <c r="F5" s="320"/>
      <c r="G5" s="320"/>
      <c r="H5" s="320"/>
      <c r="I5" s="315"/>
      <c r="J5" s="315"/>
      <c r="K5" s="315"/>
      <c r="L5" s="315"/>
      <c r="M5" s="315"/>
      <c r="N5" s="315"/>
      <c r="O5" s="315"/>
      <c r="P5" s="57"/>
      <c r="Q5" s="57"/>
      <c r="R5" s="57"/>
      <c r="T5" s="57"/>
      <c r="U5" s="57"/>
      <c r="V5" s="66"/>
      <c r="W5" s="439" t="str">
        <f>Worksheet!W5</f>
        <v>2100 Hollywood Dr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5"/>
      <c r="E6" s="315"/>
      <c r="F6" s="315"/>
      <c r="G6" s="315"/>
      <c r="H6" s="315"/>
      <c r="I6" s="315"/>
      <c r="J6" s="315"/>
      <c r="K6" s="315"/>
      <c r="L6" s="315"/>
      <c r="M6" s="315"/>
      <c r="N6" s="315"/>
      <c r="O6" s="315"/>
      <c r="P6" s="57"/>
      <c r="Q6" s="456">
        <f>Worksheet!AR1</f>
        <v>33655</v>
      </c>
      <c r="R6" s="457"/>
      <c r="S6" s="57"/>
      <c r="T6" s="171"/>
      <c r="U6" s="75"/>
      <c r="V6" s="66"/>
      <c r="W6" s="439" t="str">
        <f>Worksheet!W6</f>
        <v>York, PA  17403-4847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4" t="s">
        <v>2550</v>
      </c>
      <c r="E7" s="320"/>
      <c r="F7" s="320"/>
      <c r="G7" s="320"/>
      <c r="H7" s="320"/>
      <c r="I7" s="315"/>
      <c r="J7" s="315"/>
      <c r="K7" s="315"/>
      <c r="L7" s="315"/>
      <c r="M7" s="315"/>
      <c r="N7" s="315"/>
      <c r="O7" s="315"/>
      <c r="P7" s="172" t="s">
        <v>2549</v>
      </c>
      <c r="Q7" s="458"/>
      <c r="R7" s="459"/>
      <c r="S7" s="57"/>
      <c r="T7" s="57"/>
      <c r="U7" s="75"/>
      <c r="V7" s="66" t="s">
        <v>102</v>
      </c>
      <c r="W7" s="335" t="str">
        <f>Worksheet!D6</f>
        <v>Jeff Beaudette</v>
      </c>
      <c r="X7" s="163" t="str">
        <f>Worksheet!J6</f>
        <v>240-351-7172</v>
      </c>
      <c r="Y7" s="163"/>
      <c r="Z7" s="66"/>
    </row>
    <row r="8" spans="1:26" s="53" customFormat="1" ht="21" customHeight="1">
      <c r="A8" s="198"/>
      <c r="B8" s="64"/>
      <c r="C8" s="57"/>
      <c r="D8" s="320"/>
      <c r="E8" s="320"/>
      <c r="F8" s="320"/>
      <c r="G8" s="320"/>
      <c r="H8" s="320"/>
      <c r="I8" s="320"/>
      <c r="J8" s="320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 58343 south side entrance by the shed</v>
      </c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next to YW rm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56</v>
      </c>
      <c r="H11" s="114">
        <f>Worksheet!H11</f>
        <v>3.5</v>
      </c>
      <c r="I11" s="111">
        <f>Worksheet!I11</f>
        <v>69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69</v>
      </c>
      <c r="P11" s="250">
        <f>Worksheet!P11</f>
        <v>74</v>
      </c>
      <c r="Q11" s="321">
        <f>Worksheet!Q11</f>
        <v>2.3499999999999996</v>
      </c>
      <c r="R11" s="250">
        <f>Worksheet!R11</f>
        <v>60</v>
      </c>
      <c r="S11" s="322">
        <f>Worksheet!S11</f>
        <v>2.8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>5th Avenue 72</v>
      </c>
      <c r="X11" s="222" t="str">
        <f>Worksheet!X11</f>
        <v xml:space="preserve">Liteless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next to YW rm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56</v>
      </c>
      <c r="H12" s="114">
        <f>Worksheet!H12</f>
        <v>3.5</v>
      </c>
      <c r="I12" s="111">
        <f>Worksheet!I12</f>
        <v>69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56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69</v>
      </c>
      <c r="P12" s="250">
        <f>Worksheet!P12</f>
        <v>74</v>
      </c>
      <c r="Q12" s="321">
        <f>Worksheet!Q12</f>
        <v>2.3499999999999996</v>
      </c>
      <c r="R12" s="250">
        <f>Worksheet!R12</f>
        <v>60</v>
      </c>
      <c r="S12" s="322">
        <f>Worksheet!S12</f>
        <v>2.8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>5th Avenue 72</v>
      </c>
      <c r="X12" s="222" t="str">
        <f>Worksheet!X12</f>
        <v xml:space="preserve">Liteless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next to YW rm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56</v>
      </c>
      <c r="H13" s="114">
        <f>Worksheet!H13</f>
        <v>3.5</v>
      </c>
      <c r="I13" s="111">
        <f>Worksheet!I13</f>
        <v>69</v>
      </c>
      <c r="J13" s="245">
        <f t="shared" si="1"/>
        <v>0</v>
      </c>
      <c r="K13" s="245">
        <f t="shared" si="2"/>
        <v>56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69</v>
      </c>
      <c r="P13" s="250">
        <f>Worksheet!P13</f>
        <v>74</v>
      </c>
      <c r="Q13" s="321">
        <f>Worksheet!Q13</f>
        <v>2.3499999999999996</v>
      </c>
      <c r="R13" s="250">
        <f>Worksheet!R13</f>
        <v>60</v>
      </c>
      <c r="S13" s="322">
        <f>Worksheet!S13</f>
        <v>2.8</v>
      </c>
      <c r="T13" s="113"/>
      <c r="U13" s="244">
        <f t="shared" si="5"/>
        <v>1</v>
      </c>
      <c r="V13" s="221" t="str">
        <f>Worksheet!V13</f>
        <v>tp&amp;carriers</v>
      </c>
      <c r="W13" s="221" t="str">
        <f>Worksheet!W13</f>
        <v>5th Avenue 72</v>
      </c>
      <c r="X13" s="222" t="str">
        <f>Worksheet!X13</f>
        <v xml:space="preserve">Liteless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4" t="s">
        <v>2542</v>
      </c>
      <c r="Y1" s="305">
        <f>Worksheet!AR1</f>
        <v>33655</v>
      </c>
    </row>
    <row r="2" spans="1:26" s="53" customFormat="1">
      <c r="A2" s="198"/>
      <c r="B2" s="306"/>
      <c r="C2" s="307"/>
      <c r="D2" s="308"/>
      <c r="E2" s="309"/>
      <c r="F2" s="309"/>
      <c r="G2" s="309"/>
      <c r="H2" s="310"/>
      <c r="I2" s="309"/>
      <c r="J2" s="309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</row>
    <row r="3" spans="1:26" s="53" customFormat="1" ht="15.95" customHeight="1" thickBot="1">
      <c r="A3" s="198"/>
      <c r="B3" s="311"/>
      <c r="C3" s="309"/>
      <c r="D3" s="312" t="s">
        <v>2551</v>
      </c>
      <c r="E3" s="313"/>
      <c r="F3" s="313"/>
      <c r="G3" s="313"/>
      <c r="H3" s="313"/>
      <c r="I3" s="314"/>
      <c r="J3" s="314"/>
      <c r="K3" s="315"/>
      <c r="L3" s="315"/>
      <c r="M3" s="315"/>
      <c r="N3" s="315"/>
      <c r="O3" s="315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1"/>
      <c r="C4" s="309"/>
      <c r="D4" s="314"/>
      <c r="E4" s="314"/>
      <c r="F4" s="314"/>
      <c r="G4" s="314"/>
      <c r="H4" s="314"/>
      <c r="I4" s="314"/>
      <c r="J4" s="314"/>
      <c r="K4" s="315"/>
      <c r="L4" s="315"/>
      <c r="M4" s="315"/>
      <c r="N4" s="315"/>
      <c r="O4" s="315"/>
      <c r="P4" s="428" t="s">
        <v>2522</v>
      </c>
      <c r="Q4" s="428"/>
      <c r="R4" s="427">
        <f>Worksheet!R4</f>
        <v>0</v>
      </c>
      <c r="S4" s="427"/>
      <c r="T4" s="427"/>
      <c r="U4" s="171"/>
      <c r="V4" s="254" t="s">
        <v>39</v>
      </c>
      <c r="W4" s="255">
        <f>Worksheet!W32</f>
        <v>0</v>
      </c>
      <c r="X4" s="255"/>
      <c r="Y4" s="300" t="s">
        <v>2291</v>
      </c>
      <c r="Z4" s="211">
        <f>Worksheet!Z4</f>
        <v>1</v>
      </c>
    </row>
    <row r="5" spans="1:26" s="53" customFormat="1" ht="15.95" customHeight="1">
      <c r="A5" s="198"/>
      <c r="B5" s="311"/>
      <c r="C5" s="309"/>
      <c r="D5" s="316" t="s">
        <v>2544</v>
      </c>
      <c r="E5" s="313"/>
      <c r="F5" s="313"/>
      <c r="G5" s="313"/>
      <c r="H5" s="313"/>
      <c r="I5" s="314"/>
      <c r="J5" s="314"/>
      <c r="K5" s="315"/>
      <c r="L5" s="315"/>
      <c r="M5" s="315"/>
      <c r="N5" s="315"/>
      <c r="O5" s="315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8"/>
      <c r="Z5" s="66"/>
    </row>
    <row r="6" spans="1:26" s="53" customFormat="1" ht="15.95" customHeight="1">
      <c r="A6" s="198"/>
      <c r="B6" s="311"/>
      <c r="C6" s="309"/>
      <c r="D6" s="314"/>
      <c r="E6" s="314"/>
      <c r="F6" s="314"/>
      <c r="G6" s="314"/>
      <c r="H6" s="314"/>
      <c r="I6" s="314"/>
      <c r="J6" s="314"/>
      <c r="K6" s="315"/>
      <c r="L6" s="315"/>
      <c r="M6" s="334" t="s">
        <v>2553</v>
      </c>
      <c r="N6" s="320" t="str">
        <f>Worksheet!W4</f>
        <v>West York, York, Columbia WO#C5006244-00287</v>
      </c>
      <c r="O6" s="320"/>
      <c r="P6" s="65"/>
      <c r="Q6" s="336"/>
      <c r="R6" s="337"/>
      <c r="S6" s="57"/>
      <c r="T6" s="171"/>
      <c r="U6" s="75"/>
      <c r="V6" s="163"/>
      <c r="W6" s="163">
        <f>Worksheet!W34</f>
        <v>0</v>
      </c>
      <c r="X6" s="163"/>
      <c r="Y6" s="318"/>
      <c r="Z6" s="66"/>
    </row>
    <row r="7" spans="1:26" s="53" customFormat="1" ht="15.75" customHeight="1">
      <c r="A7" s="198"/>
      <c r="B7" s="311"/>
      <c r="C7" s="319"/>
      <c r="D7" s="316" t="s">
        <v>2552</v>
      </c>
      <c r="E7" s="313"/>
      <c r="F7" s="313"/>
      <c r="G7" s="313"/>
      <c r="H7" s="313"/>
      <c r="I7" s="314"/>
      <c r="J7" s="314"/>
      <c r="K7" s="315"/>
      <c r="L7" s="315"/>
      <c r="M7" s="315"/>
      <c r="N7" s="315"/>
      <c r="O7" s="315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1"/>
      <c r="C8" s="309"/>
      <c r="D8" s="313"/>
      <c r="E8" s="313"/>
      <c r="F8" s="313"/>
      <c r="G8" s="313"/>
      <c r="H8" s="313"/>
      <c r="I8" s="313"/>
      <c r="J8" s="313"/>
      <c r="K8" s="320"/>
      <c r="L8" s="320"/>
      <c r="M8" s="320"/>
      <c r="N8" s="320"/>
      <c r="O8" s="320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next to YW rm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56</v>
      </c>
      <c r="H11" s="114">
        <f>Worksheet!H11</f>
        <v>3.5</v>
      </c>
      <c r="I11" s="111">
        <f>Worksheet!I11</f>
        <v>69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56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69</v>
      </c>
      <c r="P11" s="250">
        <f>Worksheet!P11</f>
        <v>74</v>
      </c>
      <c r="Q11" s="321">
        <f>Worksheet!Q11</f>
        <v>2.3499999999999996</v>
      </c>
      <c r="R11" s="250">
        <f>Worksheet!R11</f>
        <v>60</v>
      </c>
      <c r="S11" s="322">
        <f>Worksheet!S11</f>
        <v>2.8</v>
      </c>
      <c r="T11" s="113"/>
      <c r="U11" s="244">
        <f>+D11+E11</f>
        <v>1</v>
      </c>
      <c r="V11" s="221" t="str">
        <f>Worksheet!V11</f>
        <v>tp&amp;carriers</v>
      </c>
      <c r="W11" s="221" t="str">
        <f>Worksheet!W11</f>
        <v>5th Avenue 72</v>
      </c>
      <c r="X11" s="222" t="str">
        <f>Worksheet!X11</f>
        <v xml:space="preserve">Liteless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next to YW rm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56</v>
      </c>
      <c r="H12" s="114">
        <f>Worksheet!H12</f>
        <v>3.5</v>
      </c>
      <c r="I12" s="111">
        <f>Worksheet!I12</f>
        <v>69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56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69</v>
      </c>
      <c r="P12" s="250">
        <f>Worksheet!P12</f>
        <v>74</v>
      </c>
      <c r="Q12" s="321">
        <f>Worksheet!Q12</f>
        <v>2.3499999999999996</v>
      </c>
      <c r="R12" s="250">
        <f>Worksheet!R12</f>
        <v>60</v>
      </c>
      <c r="S12" s="322">
        <f>Worksheet!S12</f>
        <v>2.8</v>
      </c>
      <c r="T12" s="113"/>
      <c r="U12" s="244">
        <f t="shared" ref="U12:U30" si="5">+D12+E12</f>
        <v>1</v>
      </c>
      <c r="V12" s="221" t="str">
        <f>Worksheet!V12</f>
        <v>tp&amp;carriers</v>
      </c>
      <c r="W12" s="221" t="str">
        <f>Worksheet!W12</f>
        <v>5th Avenue 72</v>
      </c>
      <c r="X12" s="222" t="str">
        <f>Worksheet!X12</f>
        <v xml:space="preserve">Liteless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next to YW rm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56</v>
      </c>
      <c r="H13" s="114">
        <f>Worksheet!H13</f>
        <v>3.5</v>
      </c>
      <c r="I13" s="111">
        <f>Worksheet!I13</f>
        <v>69</v>
      </c>
      <c r="J13" s="245">
        <f t="shared" si="1"/>
        <v>0</v>
      </c>
      <c r="K13" s="245">
        <f t="shared" si="2"/>
        <v>56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69</v>
      </c>
      <c r="P13" s="250">
        <f>Worksheet!P13</f>
        <v>74</v>
      </c>
      <c r="Q13" s="321">
        <f>Worksheet!Q13</f>
        <v>2.3499999999999996</v>
      </c>
      <c r="R13" s="250">
        <f>Worksheet!R13</f>
        <v>60</v>
      </c>
      <c r="S13" s="322">
        <f>Worksheet!S13</f>
        <v>2.8</v>
      </c>
      <c r="T13" s="113"/>
      <c r="U13" s="244">
        <f t="shared" si="5"/>
        <v>1</v>
      </c>
      <c r="V13" s="221" t="str">
        <f>Worksheet!V13</f>
        <v>tp&amp;carriers</v>
      </c>
      <c r="W13" s="221" t="str">
        <f>Worksheet!W13</f>
        <v>5th Avenue 72</v>
      </c>
      <c r="X13" s="222" t="str">
        <f>Worksheet!X13</f>
        <v xml:space="preserve">Liteless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1">
        <f>Worksheet!Q14</f>
        <v>0</v>
      </c>
      <c r="R14" s="250" t="str">
        <f>Worksheet!R14</f>
        <v xml:space="preserve"> </v>
      </c>
      <c r="S14" s="322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1">
        <f>Worksheet!Q15</f>
        <v>0</v>
      </c>
      <c r="R15" s="250" t="str">
        <f>Worksheet!R15</f>
        <v xml:space="preserve"> </v>
      </c>
      <c r="S15" s="322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1">
        <f>Worksheet!Q16</f>
        <v>0</v>
      </c>
      <c r="R16" s="250" t="str">
        <f>Worksheet!R16</f>
        <v xml:space="preserve"> </v>
      </c>
      <c r="S16" s="322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1">
        <f>Worksheet!Q17</f>
        <v>0</v>
      </c>
      <c r="R17" s="250" t="str">
        <f>Worksheet!R17</f>
        <v xml:space="preserve"> </v>
      </c>
      <c r="S17" s="322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1">
        <f>Worksheet!Q18</f>
        <v>0</v>
      </c>
      <c r="R18" s="250" t="str">
        <f>Worksheet!R18</f>
        <v xml:space="preserve"> </v>
      </c>
      <c r="S18" s="322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1">
        <f>Worksheet!Q19</f>
        <v>0</v>
      </c>
      <c r="R19" s="250" t="str">
        <f>Worksheet!R19</f>
        <v xml:space="preserve"> </v>
      </c>
      <c r="S19" s="322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1">
        <f>Worksheet!Q20</f>
        <v>0</v>
      </c>
      <c r="R20" s="250" t="str">
        <f>Worksheet!R20</f>
        <v xml:space="preserve"> </v>
      </c>
      <c r="S20" s="322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1">
        <f>Worksheet!Q21</f>
        <v>0</v>
      </c>
      <c r="R21" s="250" t="str">
        <f>Worksheet!R21</f>
        <v xml:space="preserve"> </v>
      </c>
      <c r="S21" s="322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1">
        <f>Worksheet!Q22</f>
        <v>0</v>
      </c>
      <c r="R22" s="250" t="str">
        <f>Worksheet!R22</f>
        <v xml:space="preserve"> </v>
      </c>
      <c r="S22" s="322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1">
        <f>Worksheet!Q23</f>
        <v>0</v>
      </c>
      <c r="R23" s="250" t="str">
        <f>Worksheet!R23</f>
        <v xml:space="preserve"> </v>
      </c>
      <c r="S23" s="322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1">
        <f>Worksheet!Q24</f>
        <v>0</v>
      </c>
      <c r="R24" s="250" t="str">
        <f>Worksheet!R24</f>
        <v xml:space="preserve"> </v>
      </c>
      <c r="S24" s="322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1">
        <f>Worksheet!Q25</f>
        <v>0</v>
      </c>
      <c r="R25" s="250" t="str">
        <f>Worksheet!R25</f>
        <v xml:space="preserve"> </v>
      </c>
      <c r="S25" s="322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1">
        <f>Worksheet!Q26</f>
        <v>0</v>
      </c>
      <c r="R26" s="250" t="str">
        <f>Worksheet!R26</f>
        <v xml:space="preserve"> </v>
      </c>
      <c r="S26" s="322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1">
        <f>Worksheet!Q27</f>
        <v>0</v>
      </c>
      <c r="R27" s="250" t="str">
        <f>Worksheet!R27</f>
        <v xml:space="preserve"> </v>
      </c>
      <c r="S27" s="322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1">
        <f>Worksheet!Q28</f>
        <v>0</v>
      </c>
      <c r="R28" s="250" t="str">
        <f>Worksheet!R28</f>
        <v xml:space="preserve"> </v>
      </c>
      <c r="S28" s="322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1">
        <f>Worksheet!Q29</f>
        <v>0</v>
      </c>
      <c r="R29" s="250" t="str">
        <f>Worksheet!R29</f>
        <v xml:space="preserve"> </v>
      </c>
      <c r="S29" s="322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3">
        <f t="shared" si="1"/>
        <v>0</v>
      </c>
      <c r="K30" s="323">
        <f t="shared" si="2"/>
        <v>0</v>
      </c>
      <c r="L30" s="324">
        <f t="shared" si="3"/>
        <v>0</v>
      </c>
      <c r="M30" s="247">
        <f>Worksheet!M30</f>
        <v>3</v>
      </c>
      <c r="N30" s="325">
        <f t="shared" si="4"/>
        <v>0</v>
      </c>
      <c r="O30" s="326">
        <f t="shared" si="0"/>
        <v>0</v>
      </c>
      <c r="P30" s="250" t="str">
        <f>Worksheet!P30</f>
        <v xml:space="preserve"> </v>
      </c>
      <c r="Q30" s="321">
        <f>Worksheet!Q30</f>
        <v>0</v>
      </c>
      <c r="R30" s="250" t="str">
        <f>Worksheet!R30</f>
        <v xml:space="preserve"> </v>
      </c>
      <c r="S30" s="322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7"/>
      <c r="J31" s="327"/>
      <c r="K31" s="328"/>
      <c r="L31" s="328"/>
      <c r="M31" s="328"/>
      <c r="N31" s="328"/>
      <c r="O31" s="329"/>
      <c r="P31" s="328"/>
      <c r="Q31" s="328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2"/>
      <c r="P32" s="303"/>
      <c r="Q32" s="303"/>
      <c r="R32" s="57"/>
      <c r="S32" s="57"/>
      <c r="T32" s="57"/>
      <c r="U32" s="66"/>
      <c r="V32" s="300" t="s">
        <v>2546</v>
      </c>
      <c r="W32" s="330">
        <f>Worksheet!Z32</f>
        <v>16.5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0" t="s">
        <v>2547</v>
      </c>
      <c r="W33" s="330">
        <f>Worksheet!Z33</f>
        <v>19.75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1" t="s">
        <v>2539</v>
      </c>
      <c r="P34" s="339">
        <f>Worksheet!O34</f>
        <v>2.5749999999999993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tp&amp;carriers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tp&amp;carriers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tp&amp;carriers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16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16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16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5.4305555555555545</v>
      </c>
      <c r="C68">
        <f>Worksheet!AE11</f>
        <v>6.583333333333333</v>
      </c>
      <c r="D68">
        <f>IF(Worksheet!AA11&gt;0,(Worksheet!AA11*Worksheet!P11+8)/36,0)</f>
        <v>4.9499999999999993</v>
      </c>
      <c r="E68">
        <f>IF(Worksheet!M11&gt;0,Worksheet!AA11+1,0)</f>
        <v>3.3</v>
      </c>
      <c r="F68">
        <f ca="1">IF(Worksheet!M11&gt;0,I39+2,0)</f>
        <v>18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5.4305555555555545</v>
      </c>
      <c r="C69">
        <f>Worksheet!AE12</f>
        <v>6.583333333333333</v>
      </c>
      <c r="D69">
        <f>IF(Worksheet!AA12&gt;0,(Worksheet!AA12*Worksheet!P12+8)/36,0)</f>
        <v>4.9499999999999993</v>
      </c>
      <c r="E69">
        <f>IF(Worksheet!M12&gt;0,Worksheet!AA12+1,0)</f>
        <v>3.3</v>
      </c>
      <c r="F69">
        <f ca="1">IF(Worksheet!M12&gt;0,I40+2,0)</f>
        <v>18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5.4305555555555545</v>
      </c>
      <c r="C70">
        <f>Worksheet!AE13</f>
        <v>6.583333333333333</v>
      </c>
      <c r="D70">
        <f>IF(Worksheet!AA13&gt;0,(Worksheet!AA13*Worksheet!P13+8)/36,0)</f>
        <v>4.9499999999999993</v>
      </c>
      <c r="E70">
        <f>IF(Worksheet!M13&gt;0,Worksheet!AA13+1,0)</f>
        <v>3.3</v>
      </c>
      <c r="F70">
        <f ca="1">IF(Worksheet!M13&gt;0,I41+2,0)</f>
        <v>18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105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tp&amp;carriers</v>
      </c>
    </row>
    <row r="130" spans="2:2">
      <c r="B130" t="str">
        <f>Worksheet!V12</f>
        <v>tp&amp;carriers</v>
      </c>
    </row>
    <row r="131" spans="2:2">
      <c r="B131" t="str">
        <f>Worksheet!V13</f>
        <v>tp&amp;carriers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11">
        <f>Worksheet!AR1</f>
        <v>33655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45834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6" t="str">
        <f>Worksheet!D3</f>
        <v>CBRE</v>
      </c>
      <c r="E3" s="346"/>
      <c r="F3" s="346"/>
      <c r="G3" s="346"/>
      <c r="H3" s="346"/>
      <c r="I3" s="346"/>
      <c r="J3" s="346"/>
      <c r="K3" s="346"/>
      <c r="L3" s="346"/>
      <c r="M3" s="346"/>
      <c r="N3" s="346"/>
      <c r="O3" s="346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7">
        <f>Worksheet!D4</f>
        <v>0</v>
      </c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386" t="str">
        <f>Worksheet!W4</f>
        <v>West York, York, Columbia WO#C5006244-00287</v>
      </c>
      <c r="X4" s="374"/>
      <c r="Y4" s="207" t="s">
        <v>2291</v>
      </c>
      <c r="Z4" s="211">
        <v>2</v>
      </c>
      <c r="AB4" s="431" t="s">
        <v>2581</v>
      </c>
      <c r="AC4" s="432"/>
      <c r="AD4" s="432"/>
      <c r="AE4" s="432"/>
      <c r="AF4" s="433"/>
      <c r="AG4" s="388" t="s">
        <v>4</v>
      </c>
      <c r="AH4" s="421" t="str">
        <f>W4</f>
        <v>West York, York, Columbia WO#C5006244-00287</v>
      </c>
      <c r="AI4" s="421"/>
      <c r="AJ4" s="421"/>
      <c r="AK4" s="421"/>
      <c r="AM4" s="62"/>
      <c r="AN4" s="67"/>
      <c r="AO4" s="62"/>
      <c r="AP4" s="62"/>
      <c r="AQ4" s="378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47">
        <f>Worksheet!D5</f>
        <v>0</v>
      </c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57"/>
      <c r="Q5" s="57"/>
      <c r="R5" s="57"/>
      <c r="T5" s="57"/>
      <c r="U5" s="57"/>
      <c r="V5" s="66"/>
      <c r="W5" s="373" t="str">
        <f>Worksheet!W5</f>
        <v>2100 Hollywood Dr</v>
      </c>
      <c r="X5" s="373"/>
      <c r="Y5" s="37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379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7" t="str">
        <f>Worksheet!D6</f>
        <v>Jeff Beaudette</v>
      </c>
      <c r="E6" s="347"/>
      <c r="F6" s="347"/>
      <c r="G6" s="347"/>
      <c r="H6" s="347"/>
      <c r="I6" s="77" t="s">
        <v>103</v>
      </c>
      <c r="J6" s="348" t="str">
        <f>Worksheet!J6</f>
        <v>240-351-7172</v>
      </c>
      <c r="K6" s="348"/>
      <c r="L6" s="348"/>
      <c r="M6" s="348"/>
      <c r="N6" s="348"/>
      <c r="O6" s="348"/>
      <c r="P6" s="57"/>
      <c r="Q6" s="172"/>
      <c r="R6" s="57"/>
      <c r="S6" s="57"/>
      <c r="T6" s="171"/>
      <c r="U6" s="75"/>
      <c r="V6" s="66"/>
      <c r="W6" s="373" t="str">
        <f>Worksheet!W6</f>
        <v>York, PA  17403-4847</v>
      </c>
      <c r="X6" s="373"/>
      <c r="Y6" s="37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3">
        <f>Worksheet!D7</f>
        <v>0</v>
      </c>
      <c r="E7" s="373"/>
      <c r="F7" s="373"/>
      <c r="G7" s="373"/>
      <c r="H7" s="373"/>
      <c r="I7" s="77" t="s">
        <v>105</v>
      </c>
      <c r="J7" s="348" t="str">
        <f>Worksheet!J7</f>
        <v>jeffbeaudette@churchofjesuschrist.org</v>
      </c>
      <c r="K7" s="348"/>
      <c r="L7" s="348"/>
      <c r="M7" s="348"/>
      <c r="N7" s="348"/>
      <c r="O7" s="348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1" t="s">
        <v>2580</v>
      </c>
      <c r="AE7" s="387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f>sew_price</f>
        <v>60</v>
      </c>
      <c r="AM8" s="191">
        <f>install_price</f>
        <v>20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60" t="s">
        <v>135</v>
      </c>
      <c r="AB9" s="361" t="s">
        <v>136</v>
      </c>
      <c r="AC9" s="82" t="s">
        <v>6</v>
      </c>
      <c r="AD9" s="218" t="s">
        <v>134</v>
      </c>
      <c r="AE9" s="362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3" t="s">
        <v>40</v>
      </c>
      <c r="AB10" s="103" t="s">
        <v>10</v>
      </c>
      <c r="AC10" s="154" t="s">
        <v>124</v>
      </c>
      <c r="AD10" s="220" t="s">
        <v>10</v>
      </c>
      <c r="AE10" s="364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1">
        <f>IF(D11+E11&gt;0,IF(F11&gt;"u",0,IF(BA11="RR","RR",+BB11)),0)</f>
        <v>0</v>
      </c>
      <c r="R11" s="350" t="str">
        <f t="shared" ref="R11:R30" si="2">IF($C11&gt;0,VLOOKUP($X11,$BK$28:$BL$40,2,FALSE)," ")</f>
        <v xml:space="preserve"> </v>
      </c>
      <c r="S11" s="352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9">
        <f t="shared" ref="AA11:AA30" si="4">IF(D11+E11&gt;0,IF(F11&gt;"u",0,IF(BA11="RR","RR",ROUND(BA11,1))),0)</f>
        <v>0</v>
      </c>
      <c r="AB11" s="354">
        <f t="shared" ref="AB11:AB30" si="5">IF(D11+E11&gt;0,IF(P11&gt;75,BD11,+BC11),0)</f>
        <v>0</v>
      </c>
      <c r="AC11" s="355">
        <f t="shared" ref="AC11:AC30" si="6">IF(D11+E11&gt;0,IF(P11&gt;75,BI11,BE11),0)</f>
        <v>0</v>
      </c>
      <c r="AD11" s="356" t="str">
        <f t="shared" ref="AD11:AD30" si="7">IF($C11&gt;0,ROUNDUP((($K11+$M11)/25),0)," ")</f>
        <v xml:space="preserve"> </v>
      </c>
      <c r="AE11" s="365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1">
        <f t="shared" ref="Q12:Q30" si="29">IF(D12+E12&gt;0,IF(F12&gt;"u",0,IF(BA12="RR","RR",+BB12)),0)</f>
        <v>0</v>
      </c>
      <c r="R12" s="250" t="str">
        <f t="shared" si="2"/>
        <v xml:space="preserve"> </v>
      </c>
      <c r="S12" s="352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9">
        <f t="shared" si="4"/>
        <v>0</v>
      </c>
      <c r="AB12" s="354">
        <f t="shared" si="5"/>
        <v>0</v>
      </c>
      <c r="AC12" s="355">
        <f t="shared" si="6"/>
        <v>0</v>
      </c>
      <c r="AD12" s="356" t="str">
        <f t="shared" si="7"/>
        <v xml:space="preserve"> </v>
      </c>
      <c r="AE12" s="365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1">
        <f t="shared" si="29"/>
        <v>0</v>
      </c>
      <c r="R13" s="250" t="str">
        <f t="shared" si="2"/>
        <v xml:space="preserve"> </v>
      </c>
      <c r="S13" s="352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9">
        <f t="shared" si="4"/>
        <v>0</v>
      </c>
      <c r="AB13" s="354">
        <f t="shared" si="5"/>
        <v>0</v>
      </c>
      <c r="AC13" s="355">
        <f t="shared" si="6"/>
        <v>0</v>
      </c>
      <c r="AD13" s="356" t="str">
        <f t="shared" si="7"/>
        <v xml:space="preserve"> </v>
      </c>
      <c r="AE13" s="365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1">
        <f t="shared" si="29"/>
        <v>0</v>
      </c>
      <c r="R14" s="250" t="str">
        <f t="shared" si="2"/>
        <v xml:space="preserve"> </v>
      </c>
      <c r="S14" s="352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9">
        <f t="shared" si="4"/>
        <v>0</v>
      </c>
      <c r="AB14" s="354">
        <f t="shared" si="5"/>
        <v>0</v>
      </c>
      <c r="AC14" s="355">
        <f t="shared" si="6"/>
        <v>0</v>
      </c>
      <c r="AD14" s="356" t="str">
        <f t="shared" si="7"/>
        <v xml:space="preserve"> </v>
      </c>
      <c r="AE14" s="365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1">
        <f t="shared" si="29"/>
        <v>0</v>
      </c>
      <c r="R15" s="250" t="str">
        <f t="shared" si="2"/>
        <v xml:space="preserve"> </v>
      </c>
      <c r="S15" s="352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9">
        <f t="shared" si="4"/>
        <v>0</v>
      </c>
      <c r="AB15" s="354">
        <f t="shared" si="5"/>
        <v>0</v>
      </c>
      <c r="AC15" s="355">
        <f t="shared" si="6"/>
        <v>0</v>
      </c>
      <c r="AD15" s="356" t="str">
        <f t="shared" si="7"/>
        <v xml:space="preserve"> </v>
      </c>
      <c r="AE15" s="365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1">
        <f t="shared" si="29"/>
        <v>0</v>
      </c>
      <c r="R16" s="250" t="str">
        <f t="shared" si="2"/>
        <v xml:space="preserve"> </v>
      </c>
      <c r="S16" s="352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9">
        <f t="shared" si="4"/>
        <v>0</v>
      </c>
      <c r="AB16" s="354">
        <f t="shared" si="5"/>
        <v>0</v>
      </c>
      <c r="AC16" s="355">
        <f t="shared" si="6"/>
        <v>0</v>
      </c>
      <c r="AD16" s="356" t="str">
        <f t="shared" si="7"/>
        <v xml:space="preserve"> </v>
      </c>
      <c r="AE16" s="365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1">
        <f t="shared" si="29"/>
        <v>0</v>
      </c>
      <c r="R17" s="250" t="str">
        <f t="shared" si="2"/>
        <v xml:space="preserve"> </v>
      </c>
      <c r="S17" s="352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9">
        <f t="shared" si="4"/>
        <v>0</v>
      </c>
      <c r="AB17" s="354">
        <f t="shared" si="5"/>
        <v>0</v>
      </c>
      <c r="AC17" s="355">
        <f t="shared" si="6"/>
        <v>0</v>
      </c>
      <c r="AD17" s="356" t="str">
        <f t="shared" si="7"/>
        <v xml:space="preserve"> </v>
      </c>
      <c r="AE17" s="365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1">
        <f t="shared" si="29"/>
        <v>0</v>
      </c>
      <c r="R18" s="250" t="str">
        <f t="shared" si="2"/>
        <v xml:space="preserve"> </v>
      </c>
      <c r="S18" s="352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9">
        <f t="shared" si="4"/>
        <v>0</v>
      </c>
      <c r="AB18" s="354">
        <f t="shared" si="5"/>
        <v>0</v>
      </c>
      <c r="AC18" s="355">
        <f t="shared" si="6"/>
        <v>0</v>
      </c>
      <c r="AD18" s="356" t="str">
        <f t="shared" si="7"/>
        <v xml:space="preserve"> </v>
      </c>
      <c r="AE18" s="365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1">
        <f t="shared" si="29"/>
        <v>0</v>
      </c>
      <c r="R19" s="250" t="str">
        <f t="shared" si="2"/>
        <v xml:space="preserve"> </v>
      </c>
      <c r="S19" s="352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9">
        <f t="shared" si="4"/>
        <v>0</v>
      </c>
      <c r="AB19" s="354">
        <f t="shared" si="5"/>
        <v>0</v>
      </c>
      <c r="AC19" s="355">
        <f t="shared" si="6"/>
        <v>0</v>
      </c>
      <c r="AD19" s="356" t="str">
        <f t="shared" si="7"/>
        <v xml:space="preserve"> </v>
      </c>
      <c r="AE19" s="365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1">
        <f t="shared" si="29"/>
        <v>0</v>
      </c>
      <c r="R20" s="250" t="str">
        <f t="shared" si="2"/>
        <v xml:space="preserve"> </v>
      </c>
      <c r="S20" s="352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9">
        <f t="shared" si="4"/>
        <v>0</v>
      </c>
      <c r="AB20" s="354">
        <f t="shared" si="5"/>
        <v>0</v>
      </c>
      <c r="AC20" s="355">
        <f t="shared" si="6"/>
        <v>0</v>
      </c>
      <c r="AD20" s="356" t="str">
        <f t="shared" si="7"/>
        <v xml:space="preserve"> </v>
      </c>
      <c r="AE20" s="365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1">
        <f t="shared" si="29"/>
        <v>0</v>
      </c>
      <c r="R21" s="250" t="str">
        <f t="shared" si="2"/>
        <v xml:space="preserve"> </v>
      </c>
      <c r="S21" s="352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9">
        <f t="shared" si="4"/>
        <v>0</v>
      </c>
      <c r="AB21" s="354">
        <f t="shared" si="5"/>
        <v>0</v>
      </c>
      <c r="AC21" s="355">
        <f t="shared" si="6"/>
        <v>0</v>
      </c>
      <c r="AD21" s="356" t="str">
        <f t="shared" si="7"/>
        <v xml:space="preserve"> </v>
      </c>
      <c r="AE21" s="365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1">
        <f t="shared" si="29"/>
        <v>0</v>
      </c>
      <c r="R22" s="250" t="str">
        <f t="shared" si="2"/>
        <v xml:space="preserve"> </v>
      </c>
      <c r="S22" s="352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9">
        <f t="shared" si="4"/>
        <v>0</v>
      </c>
      <c r="AB22" s="354">
        <f t="shared" si="5"/>
        <v>0</v>
      </c>
      <c r="AC22" s="355">
        <f t="shared" si="6"/>
        <v>0</v>
      </c>
      <c r="AD22" s="356" t="str">
        <f t="shared" si="7"/>
        <v xml:space="preserve"> </v>
      </c>
      <c r="AE22" s="365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1">
        <f t="shared" si="29"/>
        <v>0</v>
      </c>
      <c r="R23" s="250" t="str">
        <f t="shared" si="2"/>
        <v xml:space="preserve"> </v>
      </c>
      <c r="S23" s="352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9">
        <f t="shared" si="4"/>
        <v>0</v>
      </c>
      <c r="AB23" s="354">
        <f t="shared" si="5"/>
        <v>0</v>
      </c>
      <c r="AC23" s="355">
        <f t="shared" si="6"/>
        <v>0</v>
      </c>
      <c r="AD23" s="356" t="str">
        <f t="shared" si="7"/>
        <v xml:space="preserve"> </v>
      </c>
      <c r="AE23" s="365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1">
        <f t="shared" si="29"/>
        <v>0</v>
      </c>
      <c r="R24" s="250" t="str">
        <f t="shared" si="2"/>
        <v xml:space="preserve"> </v>
      </c>
      <c r="S24" s="352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9">
        <f t="shared" si="4"/>
        <v>0</v>
      </c>
      <c r="AB24" s="354">
        <f t="shared" si="5"/>
        <v>0</v>
      </c>
      <c r="AC24" s="355">
        <f t="shared" si="6"/>
        <v>0</v>
      </c>
      <c r="AD24" s="356" t="str">
        <f t="shared" si="7"/>
        <v xml:space="preserve"> </v>
      </c>
      <c r="AE24" s="365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1">
        <f t="shared" si="29"/>
        <v>0</v>
      </c>
      <c r="R25" s="250" t="str">
        <f t="shared" si="2"/>
        <v xml:space="preserve"> </v>
      </c>
      <c r="S25" s="352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9">
        <f t="shared" si="4"/>
        <v>0</v>
      </c>
      <c r="AB25" s="354">
        <f t="shared" si="5"/>
        <v>0</v>
      </c>
      <c r="AC25" s="355">
        <f t="shared" si="6"/>
        <v>0</v>
      </c>
      <c r="AD25" s="356" t="str">
        <f t="shared" si="7"/>
        <v xml:space="preserve"> </v>
      </c>
      <c r="AE25" s="365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1">
        <f t="shared" si="29"/>
        <v>0</v>
      </c>
      <c r="R26" s="250" t="str">
        <f t="shared" si="2"/>
        <v xml:space="preserve"> </v>
      </c>
      <c r="S26" s="352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9">
        <f t="shared" si="4"/>
        <v>0</v>
      </c>
      <c r="AB26" s="354">
        <f t="shared" si="5"/>
        <v>0</v>
      </c>
      <c r="AC26" s="355">
        <f t="shared" si="6"/>
        <v>0</v>
      </c>
      <c r="AD26" s="356" t="str">
        <f t="shared" si="7"/>
        <v xml:space="preserve"> </v>
      </c>
      <c r="AE26" s="365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1">
        <f t="shared" si="29"/>
        <v>0</v>
      </c>
      <c r="R27" s="250" t="str">
        <f t="shared" si="2"/>
        <v xml:space="preserve"> </v>
      </c>
      <c r="S27" s="352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9">
        <f t="shared" si="4"/>
        <v>0</v>
      </c>
      <c r="AB27" s="354">
        <f t="shared" si="5"/>
        <v>0</v>
      </c>
      <c r="AC27" s="355">
        <f t="shared" si="6"/>
        <v>0</v>
      </c>
      <c r="AD27" s="356" t="str">
        <f t="shared" si="7"/>
        <v xml:space="preserve"> </v>
      </c>
      <c r="AE27" s="365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1">
        <f t="shared" si="29"/>
        <v>0</v>
      </c>
      <c r="R28" s="250" t="str">
        <f t="shared" si="2"/>
        <v xml:space="preserve"> </v>
      </c>
      <c r="S28" s="352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9">
        <f t="shared" si="4"/>
        <v>0</v>
      </c>
      <c r="AB28" s="354">
        <f t="shared" si="5"/>
        <v>0</v>
      </c>
      <c r="AC28" s="355">
        <f t="shared" si="6"/>
        <v>0</v>
      </c>
      <c r="AD28" s="356" t="str">
        <f t="shared" si="7"/>
        <v xml:space="preserve"> </v>
      </c>
      <c r="AE28" s="365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1">
        <f t="shared" si="29"/>
        <v>0</v>
      </c>
      <c r="R29" s="250" t="str">
        <f t="shared" si="2"/>
        <v xml:space="preserve"> </v>
      </c>
      <c r="S29" s="352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9">
        <f t="shared" si="4"/>
        <v>0</v>
      </c>
      <c r="AB29" s="354">
        <f t="shared" si="5"/>
        <v>0</v>
      </c>
      <c r="AC29" s="355">
        <f t="shared" si="6"/>
        <v>0</v>
      </c>
      <c r="AD29" s="356" t="str">
        <f t="shared" si="7"/>
        <v xml:space="preserve"> </v>
      </c>
      <c r="AE29" s="365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1">
        <f t="shared" si="29"/>
        <v>0</v>
      </c>
      <c r="R30" s="250" t="str">
        <f t="shared" si="2"/>
        <v xml:space="preserve"> </v>
      </c>
      <c r="S30" s="352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9">
        <f t="shared" si="4"/>
        <v>0</v>
      </c>
      <c r="AB30" s="354">
        <f t="shared" si="5"/>
        <v>0</v>
      </c>
      <c r="AC30" s="355">
        <f t="shared" si="6"/>
        <v>0</v>
      </c>
      <c r="AD30" s="356" t="str">
        <f t="shared" si="7"/>
        <v xml:space="preserve"> </v>
      </c>
      <c r="AE30" s="365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7">
        <f>SUM(AC11:AC30)</f>
        <v>0</v>
      </c>
      <c r="AD31" s="358"/>
      <c r="AE31" s="353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2"/>
      <c r="P32" s="303"/>
      <c r="Q32" s="303"/>
      <c r="R32" s="57"/>
      <c r="S32" s="57"/>
      <c r="T32" s="57"/>
      <c r="U32" s="66"/>
      <c r="V32" s="338"/>
      <c r="W32" s="66"/>
      <c r="X32" s="66"/>
      <c r="Y32" s="300"/>
      <c r="Z32" s="149"/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3"/>
      <c r="AP32" s="64"/>
      <c r="AQ32" s="43"/>
      <c r="AR32" s="384"/>
      <c r="AS32" s="185"/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377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0"/>
      <c r="Z33" s="149"/>
      <c r="AA33" s="43"/>
      <c r="AB33" s="424"/>
      <c r="AE33" s="66"/>
      <c r="AF33" s="43"/>
      <c r="AK33" s="46"/>
      <c r="AL33" s="66"/>
      <c r="AM33" s="381"/>
      <c r="AN33" s="136"/>
      <c r="AO33" s="64"/>
      <c r="AP33" s="385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7"/>
      <c r="C34" s="43"/>
      <c r="D34" s="149"/>
      <c r="E34" s="43"/>
      <c r="F34" s="66"/>
      <c r="G34" s="57"/>
      <c r="H34" s="80"/>
      <c r="N34" s="301" t="s">
        <v>2539</v>
      </c>
      <c r="O34" s="339">
        <f>SUM(Q43+S43)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7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1"/>
      <c r="H37" s="332"/>
      <c r="I37" s="331"/>
      <c r="J37" s="331"/>
      <c r="K37" s="331"/>
      <c r="L37" s="331"/>
      <c r="M37" s="331"/>
      <c r="N37" s="331"/>
      <c r="O37" s="333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  <c r="AG37" s="46"/>
      <c r="AJ37" s="66"/>
      <c r="AK37" s="66"/>
      <c r="AN37" s="380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2"/>
      <c r="AP38" s="382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9">
        <f>SUM(Q11:Q30)</f>
        <v>0</v>
      </c>
      <c r="S43" s="349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West York, York, Columbia WO#C5006244-00287</v>
      </c>
      <c r="E1" s="22"/>
      <c r="F1" s="23"/>
      <c r="G1" s="22"/>
      <c r="H1" s="24"/>
      <c r="I1" s="25">
        <f>+'Worksheet 2'!$AR$1</f>
        <v>33655</v>
      </c>
      <c r="J1" s="26"/>
      <c r="L1" s="164" t="s">
        <v>107</v>
      </c>
      <c r="M1" s="21" t="str">
        <f>+'Worksheet 2'!$W$4</f>
        <v>West York, York, Columbia WO#C5006244-00287</v>
      </c>
      <c r="N1" s="22"/>
      <c r="O1" s="23"/>
      <c r="P1" s="22"/>
      <c r="Q1" s="24"/>
      <c r="R1" s="25">
        <f>+'Worksheet 2'!$AR$1</f>
        <v>33655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116</v>
      </c>
      <c r="F3" s="366">
        <f ca="1">H2+15</f>
        <v>15</v>
      </c>
      <c r="G3" s="442" cm="1">
        <f t="array" aca="1" ref="G3" ca="1">INDIRECT("'Worksheet 2'!$Y"&amp;$B1)</f>
        <v>0</v>
      </c>
      <c r="H3" s="442"/>
      <c r="I3" s="443"/>
      <c r="L3" s="164" t="s">
        <v>115</v>
      </c>
      <c r="M3" t="b">
        <f t="shared" ca="1" si="0"/>
        <v>0</v>
      </c>
      <c r="N3" s="19" t="s">
        <v>116</v>
      </c>
      <c r="O3" s="366">
        <f ca="1">F3</f>
        <v>15</v>
      </c>
      <c r="P3" s="444">
        <f ca="1">G3</f>
        <v>0</v>
      </c>
      <c r="Q3" s="444"/>
      <c r="R3" s="445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7"/>
      <c r="G4" s="442"/>
      <c r="H4" s="442"/>
      <c r="I4" s="443"/>
      <c r="L4" s="166"/>
      <c r="M4" s="161" t="b">
        <f t="shared" ca="1" si="0"/>
        <v>0</v>
      </c>
      <c r="N4" s="42" t="s">
        <v>40</v>
      </c>
      <c r="O4" s="367"/>
      <c r="P4" s="444"/>
      <c r="Q4" s="446"/>
      <c r="R4" s="447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6" t="str">
        <f ca="1">IF(D9="YES",H2+12," ")</f>
        <v xml:space="preserve"> </v>
      </c>
      <c r="H5" s="340" t="s">
        <v>10</v>
      </c>
      <c r="I5" s="368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6" t="str">
        <f ca="1">F5</f>
        <v xml:space="preserve"> </v>
      </c>
      <c r="P5" s="19"/>
      <c r="Q5" s="340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2" t="s">
        <v>40</v>
      </c>
      <c r="F6" s="369"/>
      <c r="G6" s="20"/>
      <c r="H6" s="340" t="s">
        <v>110</v>
      </c>
      <c r="I6" s="32">
        <f ca="1">IF(D11="Left of Pair",(D2+F2)/2,D2+F2)</f>
        <v>0</v>
      </c>
      <c r="L6" s="167"/>
      <c r="M6" s="341" t="str">
        <f t="shared" ca="1" si="0"/>
        <v xml:space="preserve"> </v>
      </c>
      <c r="N6" s="342" t="s">
        <v>40</v>
      </c>
      <c r="O6" s="369"/>
      <c r="P6" s="20"/>
      <c r="Q6" s="340" t="s">
        <v>110</v>
      </c>
      <c r="R6" s="32">
        <f ca="1">I6</f>
        <v>0</v>
      </c>
    </row>
    <row r="7" spans="1:18" ht="15" customHeight="1">
      <c r="C7" s="168" t="s">
        <v>108</v>
      </c>
      <c r="D7" s="370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4" t="s">
        <v>111</v>
      </c>
      <c r="D8" s="343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0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4" cm="1">
        <f t="array" aca="1" ref="E9" ca="1">INDIRECT("'Worksheet 2'!$X"&amp;$B1)</f>
        <v>0</v>
      </c>
      <c r="F9" s="39"/>
      <c r="G9" s="20"/>
      <c r="H9" s="344" t="str" cm="1">
        <f t="array" aca="1" ref="H9" ca="1">INDIRECT("'Worksheet 2'!$R"&amp;$B1)</f>
        <v xml:space="preserve"> </v>
      </c>
      <c r="I9" s="450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0"/>
    </row>
    <row r="10" spans="1:18" ht="15.75" customHeight="1">
      <c r="C10" s="164" t="s">
        <v>12</v>
      </c>
      <c r="D10" s="344" cm="1">
        <f t="array" aca="1" ref="D10" ca="1">INDIRECT("'Worksheet 2'!$W"&amp;$B1)</f>
        <v>0</v>
      </c>
      <c r="E10" s="22"/>
      <c r="F10" s="23"/>
      <c r="G10" s="22"/>
      <c r="H10" s="344" t="str" cm="1">
        <f t="array" aca="1" ref="H10" ca="1">INDIRECT("'Worksheet 2'!$P"&amp;$B1)</f>
        <v xml:space="preserve"> </v>
      </c>
      <c r="I10" s="451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1"/>
    </row>
    <row r="11" spans="1:18" ht="23.25">
      <c r="C11" s="345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1"/>
      <c r="H11" s="371" t="str" cm="1">
        <f t="array" aca="1" ref="H11" ca="1">IF(INDIRECT("'Worksheet 2'!$F"&amp;$B1)="st","SOR T&amp;B"," ")</f>
        <v xml:space="preserve"> </v>
      </c>
      <c r="I11" s="372"/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1"/>
      <c r="Q11" s="371"/>
      <c r="R11" s="372"/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West York, York, Columbia WO#C5006244-00287</v>
      </c>
      <c r="E15" s="22"/>
      <c r="F15" s="23"/>
      <c r="G15" s="22"/>
      <c r="H15" s="24"/>
      <c r="I15" s="25">
        <f>+'Worksheet 2'!$AR$1</f>
        <v>33655</v>
      </c>
      <c r="J15" s="26"/>
      <c r="L15" s="164" t="s">
        <v>107</v>
      </c>
      <c r="M15" s="21" t="str">
        <f>+'Worksheet 2'!$W$4</f>
        <v>West York, York, Columbia WO#C5006244-00287</v>
      </c>
      <c r="N15" s="22"/>
      <c r="O15" s="23"/>
      <c r="P15" s="22"/>
      <c r="Q15" s="24"/>
      <c r="R15" s="25">
        <f>+'Worksheet 2'!$AR$1</f>
        <v>33655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116</v>
      </c>
      <c r="F17" s="366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4" t="s">
        <v>115</v>
      </c>
      <c r="M17" t="b">
        <f t="shared" ca="1" si="1"/>
        <v>0</v>
      </c>
      <c r="N17" s="19" t="s">
        <v>116</v>
      </c>
      <c r="O17" s="366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7"/>
      <c r="G18" s="442"/>
      <c r="H18" s="442"/>
      <c r="I18" s="443"/>
      <c r="L18" s="166"/>
      <c r="M18" s="161" t="b">
        <f t="shared" ca="1" si="1"/>
        <v>0</v>
      </c>
      <c r="N18" s="42" t="s">
        <v>40</v>
      </c>
      <c r="O18" s="367"/>
      <c r="P18" s="444"/>
      <c r="Q18" s="446"/>
      <c r="R18" s="447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6" t="str">
        <f ca="1">IF(D23="YES",H16+12," ")</f>
        <v xml:space="preserve"> </v>
      </c>
      <c r="H19" s="340" t="s">
        <v>10</v>
      </c>
      <c r="I19" s="368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6" t="str">
        <f ca="1">F19</f>
        <v xml:space="preserve"> </v>
      </c>
      <c r="P19" s="19"/>
      <c r="Q19" s="340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2" t="s">
        <v>40</v>
      </c>
      <c r="F20" s="369"/>
      <c r="G20" s="20"/>
      <c r="H20" s="340" t="s">
        <v>110</v>
      </c>
      <c r="I20" s="32">
        <f ca="1">IF(D25="Left of Pair",(D16+F16)/2,D16+F16)</f>
        <v>0</v>
      </c>
      <c r="L20" s="167"/>
      <c r="M20" s="341" t="str">
        <f t="shared" ca="1" si="1"/>
        <v xml:space="preserve"> </v>
      </c>
      <c r="N20" s="342" t="s">
        <v>40</v>
      </c>
      <c r="O20" s="369"/>
      <c r="P20" s="20"/>
      <c r="Q20" s="340" t="s">
        <v>110</v>
      </c>
      <c r="R20" s="32">
        <f ca="1">I20</f>
        <v>0</v>
      </c>
    </row>
    <row r="21" spans="1:18" ht="12.75" customHeight="1">
      <c r="C21" s="168" t="s">
        <v>108</v>
      </c>
      <c r="D21" s="370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4" t="s">
        <v>111</v>
      </c>
      <c r="D22" s="343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0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4" cm="1">
        <f t="array" aca="1" ref="E23" ca="1">INDIRECT("'Worksheet 2'!$X"&amp;$B15)</f>
        <v>0</v>
      </c>
      <c r="F23" s="39"/>
      <c r="G23" s="20"/>
      <c r="H23" s="344" t="str" cm="1">
        <f t="array" aca="1" ref="H23" ca="1">INDIRECT("'Worksheet 2'!$R"&amp;$B15)</f>
        <v xml:space="preserve"> </v>
      </c>
      <c r="I23" s="450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0"/>
    </row>
    <row r="24" spans="1:18" ht="15.75" customHeight="1">
      <c r="C24" s="164" t="s">
        <v>12</v>
      </c>
      <c r="D24" s="344" cm="1">
        <f t="array" aca="1" ref="D24" ca="1">INDIRECT("'Worksheet 2'!$W"&amp;$B15)</f>
        <v>0</v>
      </c>
      <c r="E24" s="22"/>
      <c r="F24" s="23"/>
      <c r="G24" s="22"/>
      <c r="H24" s="344" t="str" cm="1">
        <f t="array" aca="1" ref="H24" ca="1">INDIRECT("'Worksheet 2'!$P"&amp;$B15)</f>
        <v xml:space="preserve"> </v>
      </c>
      <c r="I24" s="451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1"/>
    </row>
    <row r="25" spans="1:18" ht="23.25">
      <c r="C25" s="345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1"/>
      <c r="H25" s="371" t="str" cm="1">
        <f t="array" aca="1" ref="H25" ca="1">IF(INDIRECT("'Worksheet 2'!$F"&amp;$B15)="st","SOR T&amp;B"," ")</f>
        <v xml:space="preserve"> </v>
      </c>
      <c r="I25" s="372"/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1"/>
      <c r="Q25" s="371"/>
      <c r="R25" s="372"/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West York, York, Columbia WO#C5006244-00287</v>
      </c>
      <c r="E29" s="22"/>
      <c r="F29" s="23"/>
      <c r="G29" s="22"/>
      <c r="H29" s="24"/>
      <c r="I29" s="25">
        <f>+'Worksheet 2'!$AR$1</f>
        <v>33655</v>
      </c>
      <c r="J29" s="26"/>
      <c r="L29" s="164" t="s">
        <v>107</v>
      </c>
      <c r="M29" s="21" t="str">
        <f>+'Worksheet 2'!$W$4</f>
        <v>West York, York, Columbia WO#C5006244-00287</v>
      </c>
      <c r="N29" s="22"/>
      <c r="O29" s="23"/>
      <c r="P29" s="22"/>
      <c r="Q29" s="24"/>
      <c r="R29" s="25">
        <f>+'Worksheet 2'!$AR$1</f>
        <v>33655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116</v>
      </c>
      <c r="F31" s="366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6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7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7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6" t="str">
        <f ca="1">IF(D37="YES",H30+12," ")</f>
        <v xml:space="preserve"> </v>
      </c>
      <c r="H33" s="340" t="s">
        <v>10</v>
      </c>
      <c r="I33" s="368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6" t="str">
        <f ca="1">F33</f>
        <v xml:space="preserve"> </v>
      </c>
      <c r="P33" s="19"/>
      <c r="Q33" s="340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2" t="s">
        <v>40</v>
      </c>
      <c r="F34" s="369"/>
      <c r="G34" s="20"/>
      <c r="H34" s="340" t="s">
        <v>110</v>
      </c>
      <c r="I34" s="32">
        <f ca="1">IF(D39="Left of Pair",(D30+F30)/2,D30+F30)</f>
        <v>0</v>
      </c>
      <c r="L34" s="167"/>
      <c r="M34" s="341" t="str">
        <f t="shared" ca="1" si="2"/>
        <v xml:space="preserve"> </v>
      </c>
      <c r="N34" s="342" t="s">
        <v>40</v>
      </c>
      <c r="O34" s="369"/>
      <c r="P34" s="20"/>
      <c r="Q34" s="340" t="s">
        <v>110</v>
      </c>
      <c r="R34" s="32">
        <f ca="1">I34</f>
        <v>0</v>
      </c>
    </row>
    <row r="35" spans="1:18" ht="12.75" customHeight="1">
      <c r="C35" s="168" t="s">
        <v>108</v>
      </c>
      <c r="D35" s="370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4" t="s">
        <v>111</v>
      </c>
      <c r="D36" s="343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4" cm="1">
        <f t="array" aca="1" ref="E37" ca="1">INDIRECT("'Worksheet 2'!$X"&amp;$B29)</f>
        <v>0</v>
      </c>
      <c r="F37" s="39"/>
      <c r="G37" s="20"/>
      <c r="H37" s="344" t="str" cm="1">
        <f t="array" aca="1" ref="H37" ca="1">INDIRECT("'Worksheet 2'!$R"&amp;$B29)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0"/>
    </row>
    <row r="38" spans="1:18" ht="15.75" customHeight="1">
      <c r="C38" s="164" t="s">
        <v>12</v>
      </c>
      <c r="D38" s="344" cm="1">
        <f t="array" aca="1" ref="D38" ca="1">INDIRECT("'Worksheet 2'!$W"&amp;$B29)</f>
        <v>0</v>
      </c>
      <c r="E38" s="22"/>
      <c r="F38" s="23"/>
      <c r="G38" s="22"/>
      <c r="H38" s="344" t="str" cm="1">
        <f t="array" aca="1" ref="H38" ca="1">INDIRECT("'Worksheet 2'!$P"&amp;$B29)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1"/>
    </row>
    <row r="39" spans="1:18" ht="20.25" customHeight="1">
      <c r="C39" s="345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1"/>
      <c r="H39" s="371" t="str" cm="1">
        <f t="array" aca="1" ref="H39" ca="1">IF(INDIRECT("'Worksheet 2'!$F"&amp;$B29)="st","SOR T&amp;B"," ")</f>
        <v xml:space="preserve"> </v>
      </c>
      <c r="I39" s="372"/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1"/>
      <c r="Q39" s="371"/>
      <c r="R39" s="372"/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West York, York, Columbia WO#C5006244-00287</v>
      </c>
      <c r="E43" s="22"/>
      <c r="F43" s="23"/>
      <c r="G43" s="22"/>
      <c r="H43" s="24"/>
      <c r="I43" s="25">
        <f>+'Worksheet 2'!$AR$1</f>
        <v>33655</v>
      </c>
      <c r="J43" s="26"/>
      <c r="L43" s="164" t="s">
        <v>107</v>
      </c>
      <c r="M43" s="21" t="str">
        <f>+'Worksheet 2'!$W$4</f>
        <v>West York, York, Columbia WO#C5006244-00287</v>
      </c>
      <c r="N43" s="22"/>
      <c r="O43" s="23"/>
      <c r="P43" s="22"/>
      <c r="Q43" s="24"/>
      <c r="R43" s="25">
        <f>+'Worksheet 2'!$AR$1</f>
        <v>33655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116</v>
      </c>
      <c r="F45" s="366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6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7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7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6" t="str">
        <f ca="1">IF(D51="YES",H44+12," ")</f>
        <v xml:space="preserve"> </v>
      </c>
      <c r="H47" s="340" t="s">
        <v>10</v>
      </c>
      <c r="I47" s="368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6" t="str">
        <f ca="1">F47</f>
        <v xml:space="preserve"> </v>
      </c>
      <c r="P47" s="19"/>
      <c r="Q47" s="340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2" t="s">
        <v>40</v>
      </c>
      <c r="F48" s="369"/>
      <c r="G48" s="20"/>
      <c r="H48" s="340" t="s">
        <v>110</v>
      </c>
      <c r="I48" s="32">
        <f ca="1">IF(D53="Left of Pair",(D44+F44)/2,D44+F44)</f>
        <v>0</v>
      </c>
      <c r="L48" s="167"/>
      <c r="M48" s="341" t="str">
        <f t="shared" ca="1" si="3"/>
        <v xml:space="preserve"> </v>
      </c>
      <c r="N48" s="342" t="s">
        <v>40</v>
      </c>
      <c r="O48" s="369"/>
      <c r="P48" s="20"/>
      <c r="Q48" s="340" t="s">
        <v>110</v>
      </c>
      <c r="R48" s="32">
        <f ca="1">I48</f>
        <v>0</v>
      </c>
    </row>
    <row r="49" spans="1:18" ht="12.75" customHeight="1">
      <c r="C49" s="168" t="s">
        <v>108</v>
      </c>
      <c r="D49" s="370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4" t="s">
        <v>111</v>
      </c>
      <c r="D50" s="343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4" cm="1">
        <f t="array" aca="1" ref="E51" ca="1">INDIRECT("'Worksheet 2'!$X"&amp;$B43)</f>
        <v>0</v>
      </c>
      <c r="F51" s="39"/>
      <c r="G51" s="20"/>
      <c r="H51" s="344" t="str" cm="1">
        <f t="array" aca="1" ref="H51" ca="1">INDIRECT("'Worksheet 2'!$R"&amp;$B43)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0"/>
    </row>
    <row r="52" spans="1:18" ht="15.75" customHeight="1">
      <c r="C52" s="164" t="s">
        <v>12</v>
      </c>
      <c r="D52" s="344" cm="1">
        <f t="array" aca="1" ref="D52" ca="1">INDIRECT("'Worksheet 2'!$W"&amp;$B43)</f>
        <v>0</v>
      </c>
      <c r="E52" s="22"/>
      <c r="F52" s="23"/>
      <c r="G52" s="22"/>
      <c r="H52" s="344" t="str" cm="1">
        <f t="array" aca="1" ref="H52" ca="1">INDIRECT("'Worksheet 2'!$P"&amp;$B43)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1"/>
    </row>
    <row r="53" spans="1:18" ht="23.25">
      <c r="C53" s="345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1"/>
      <c r="H53" s="371" t="str" cm="1">
        <f t="array" aca="1" ref="H53" ca="1">IF(INDIRECT("'Worksheet 2'!$F"&amp;$B43)="st","SOR T&amp;B"," ")</f>
        <v xml:space="preserve"> </v>
      </c>
      <c r="I53" s="372"/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1"/>
      <c r="Q53" s="371"/>
      <c r="R53" s="372"/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West York, York, Columbia WO#C5006244-00287</v>
      </c>
      <c r="E55" s="22"/>
      <c r="F55" s="23"/>
      <c r="G55" s="22"/>
      <c r="H55" s="24"/>
      <c r="I55" s="25">
        <f>+'Worksheet 2'!$AR$1</f>
        <v>33655</v>
      </c>
      <c r="J55" s="26"/>
      <c r="L55" s="164" t="s">
        <v>107</v>
      </c>
      <c r="M55" s="21" t="str">
        <f>+'Worksheet 2'!$W$4</f>
        <v>West York, York, Columbia WO#C5006244-00287</v>
      </c>
      <c r="N55" s="22"/>
      <c r="O55" s="23"/>
      <c r="P55" s="22"/>
      <c r="Q55" s="24"/>
      <c r="R55" s="25">
        <f>+'Worksheet 2'!$AR$1</f>
        <v>33655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116</v>
      </c>
      <c r="F57" s="366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6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7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7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6" t="str">
        <f ca="1">IF(D63="YES",H56+12," ")</f>
        <v xml:space="preserve"> </v>
      </c>
      <c r="H59" s="340" t="s">
        <v>10</v>
      </c>
      <c r="I59" s="368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6" t="str">
        <f ca="1">F59</f>
        <v xml:space="preserve"> </v>
      </c>
      <c r="P59" s="19"/>
      <c r="Q59" s="340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2" t="s">
        <v>40</v>
      </c>
      <c r="F60" s="369"/>
      <c r="G60" s="20"/>
      <c r="H60" s="340" t="s">
        <v>110</v>
      </c>
      <c r="I60" s="32">
        <f ca="1">IF(D65="Left of Pair",(D56+F56)/2,D56+F56)</f>
        <v>0</v>
      </c>
      <c r="L60" s="167"/>
      <c r="M60" s="341" t="str">
        <f t="shared" ca="1" si="4"/>
        <v xml:space="preserve"> </v>
      </c>
      <c r="N60" s="342" t="s">
        <v>40</v>
      </c>
      <c r="O60" s="369"/>
      <c r="P60" s="20"/>
      <c r="Q60" s="340" t="s">
        <v>110</v>
      </c>
      <c r="R60" s="32">
        <f ca="1">I60</f>
        <v>0</v>
      </c>
    </row>
    <row r="61" spans="1:18" ht="12.75" customHeight="1">
      <c r="C61" s="168" t="s">
        <v>108</v>
      </c>
      <c r="D61" s="370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4" t="s">
        <v>111</v>
      </c>
      <c r="D62" s="343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4" cm="1">
        <f t="array" aca="1" ref="E63" ca="1">INDIRECT("'Worksheet 2'!$X"&amp;$B55)</f>
        <v>0</v>
      </c>
      <c r="F63" s="39"/>
      <c r="G63" s="20"/>
      <c r="H63" s="344" t="str" cm="1">
        <f t="array" aca="1" ref="H63" ca="1">INDIRECT("'Worksheet 2'!$R"&amp;$B55)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0"/>
    </row>
    <row r="64" spans="1:18" ht="15.75" customHeight="1">
      <c r="C64" s="164" t="s">
        <v>12</v>
      </c>
      <c r="D64" s="344" cm="1">
        <f t="array" aca="1" ref="D64" ca="1">INDIRECT("'Worksheet 2'!$W"&amp;$B55)</f>
        <v>0</v>
      </c>
      <c r="E64" s="22"/>
      <c r="F64" s="23"/>
      <c r="G64" s="22"/>
      <c r="H64" s="344" t="str" cm="1">
        <f t="array" aca="1" ref="H64" ca="1">INDIRECT("'Worksheet 2'!$P"&amp;$B55)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1"/>
    </row>
    <row r="65" spans="1:18" ht="23.25">
      <c r="C65" s="345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1"/>
      <c r="H65" s="371" t="str" cm="1">
        <f t="array" aca="1" ref="H65" ca="1">IF(INDIRECT("'Worksheet 2'!$F"&amp;$B55)="st","SOR T&amp;B"," ")</f>
        <v xml:space="preserve"> </v>
      </c>
      <c r="I65" s="372"/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1"/>
      <c r="Q65" s="371"/>
      <c r="R65" s="372"/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West York, York, Columbia WO#C5006244-00287</v>
      </c>
      <c r="E69" s="22"/>
      <c r="F69" s="23"/>
      <c r="G69" s="22"/>
      <c r="H69" s="24"/>
      <c r="I69" s="25">
        <f>+'Worksheet 2'!$AR$1</f>
        <v>33655</v>
      </c>
      <c r="J69" s="26"/>
      <c r="L69" s="164" t="s">
        <v>107</v>
      </c>
      <c r="M69" s="21" t="str">
        <f>+'Worksheet 2'!$W$4</f>
        <v>West York, York, Columbia WO#C5006244-00287</v>
      </c>
      <c r="N69" s="22"/>
      <c r="O69" s="23"/>
      <c r="P69" s="22"/>
      <c r="Q69" s="24"/>
      <c r="R69" s="25">
        <f>+'Worksheet 2'!$AR$1</f>
        <v>33655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116</v>
      </c>
      <c r="F71" s="366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6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7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7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6" t="str">
        <f ca="1">IF(D77="YES",H70+12," ")</f>
        <v xml:space="preserve"> </v>
      </c>
      <c r="H73" s="340" t="s">
        <v>10</v>
      </c>
      <c r="I73" s="368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6" t="str">
        <f ca="1">F73</f>
        <v xml:space="preserve"> </v>
      </c>
      <c r="P73" s="19"/>
      <c r="Q73" s="340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2" t="s">
        <v>40</v>
      </c>
      <c r="F74" s="369"/>
      <c r="G74" s="20"/>
      <c r="H74" s="340" t="s">
        <v>110</v>
      </c>
      <c r="I74" s="32">
        <f ca="1">IF(D79="Left of Pair",(D70+F70)/2,D70+F70)</f>
        <v>0</v>
      </c>
      <c r="L74" s="167"/>
      <c r="M74" s="341" t="str">
        <f t="shared" ca="1" si="5"/>
        <v xml:space="preserve"> </v>
      </c>
      <c r="N74" s="342" t="s">
        <v>40</v>
      </c>
      <c r="O74" s="369"/>
      <c r="P74" s="20"/>
      <c r="Q74" s="340" t="s">
        <v>110</v>
      </c>
      <c r="R74" s="32">
        <f ca="1">I74</f>
        <v>0</v>
      </c>
    </row>
    <row r="75" spans="1:18" ht="12.75" customHeight="1">
      <c r="C75" s="168" t="s">
        <v>108</v>
      </c>
      <c r="D75" s="370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4" t="s">
        <v>111</v>
      </c>
      <c r="D76" s="343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4" cm="1">
        <f t="array" aca="1" ref="E77" ca="1">INDIRECT("'Worksheet 2'!$X"&amp;$B69)</f>
        <v>0</v>
      </c>
      <c r="F77" s="39"/>
      <c r="G77" s="20"/>
      <c r="H77" s="344" t="str" cm="1">
        <f t="array" aca="1" ref="H77" ca="1">INDIRECT("'Worksheet 2'!$R"&amp;$B69)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0"/>
    </row>
    <row r="78" spans="1:18" ht="15.75" customHeight="1">
      <c r="C78" s="164" t="s">
        <v>12</v>
      </c>
      <c r="D78" s="344" cm="1">
        <f t="array" aca="1" ref="D78" ca="1">INDIRECT("'Worksheet 2'!$W"&amp;$B69)</f>
        <v>0</v>
      </c>
      <c r="E78" s="22"/>
      <c r="F78" s="23"/>
      <c r="G78" s="22"/>
      <c r="H78" s="344" t="str" cm="1">
        <f t="array" aca="1" ref="H78" ca="1">INDIRECT("'Worksheet 2'!$P"&amp;$B69)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1"/>
    </row>
    <row r="79" spans="1:18" ht="23.25">
      <c r="C79" s="345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1"/>
      <c r="H79" s="371" t="str" cm="1">
        <f t="array" aca="1" ref="H79" ca="1">IF(INDIRECT("'Worksheet 2'!$F"&amp;$B69)="st","SOR T&amp;B"," ")</f>
        <v xml:space="preserve"> </v>
      </c>
      <c r="I79" s="372"/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1"/>
      <c r="Q79" s="371"/>
      <c r="R79" s="372"/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West York, York, Columbia WO#C5006244-00287</v>
      </c>
      <c r="E83" s="22"/>
      <c r="F83" s="23"/>
      <c r="G83" s="22"/>
      <c r="H83" s="24"/>
      <c r="I83" s="25">
        <f>+'Worksheet 2'!$AR$1</f>
        <v>33655</v>
      </c>
      <c r="J83" s="26"/>
      <c r="L83" s="164" t="s">
        <v>107</v>
      </c>
      <c r="M83" s="21" t="str">
        <f>+'Worksheet 2'!$W$4</f>
        <v>West York, York, Columbia WO#C5006244-00287</v>
      </c>
      <c r="N83" s="22"/>
      <c r="O83" s="23"/>
      <c r="P83" s="22"/>
      <c r="Q83" s="24"/>
      <c r="R83" s="25">
        <f>+'Worksheet 2'!$AR$1</f>
        <v>33655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116</v>
      </c>
      <c r="F85" s="366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6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7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7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6" t="str">
        <f ca="1">IF(D91="YES",H84+12," ")</f>
        <v xml:space="preserve"> </v>
      </c>
      <c r="H87" s="340" t="s">
        <v>10</v>
      </c>
      <c r="I87" s="368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6" t="str">
        <f ca="1">F87</f>
        <v xml:space="preserve"> </v>
      </c>
      <c r="P87" s="19"/>
      <c r="Q87" s="340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2" t="s">
        <v>40</v>
      </c>
      <c r="F88" s="369"/>
      <c r="G88" s="20"/>
      <c r="H88" s="340" t="s">
        <v>110</v>
      </c>
      <c r="I88" s="32">
        <f ca="1">IF(D93="Left of Pair",(D84+F84)/2,D84+F84)</f>
        <v>0</v>
      </c>
      <c r="L88" s="167"/>
      <c r="M88" s="341" t="str">
        <f t="shared" ca="1" si="6"/>
        <v xml:space="preserve"> </v>
      </c>
      <c r="N88" s="342" t="s">
        <v>40</v>
      </c>
      <c r="O88" s="369"/>
      <c r="P88" s="20"/>
      <c r="Q88" s="340" t="s">
        <v>110</v>
      </c>
      <c r="R88" s="32">
        <f ca="1">I88</f>
        <v>0</v>
      </c>
    </row>
    <row r="89" spans="1:18" ht="12.75" customHeight="1">
      <c r="C89" s="168" t="s">
        <v>108</v>
      </c>
      <c r="D89" s="370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4" t="s">
        <v>111</v>
      </c>
      <c r="D90" s="343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4" cm="1">
        <f t="array" aca="1" ref="E91" ca="1">INDIRECT("'Worksheet 2'!$X"&amp;$B83)</f>
        <v>0</v>
      </c>
      <c r="F91" s="39"/>
      <c r="G91" s="20"/>
      <c r="H91" s="344" t="str" cm="1">
        <f t="array" aca="1" ref="H91" ca="1">INDIRECT("'Worksheet 2'!$R"&amp;$B83)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0"/>
    </row>
    <row r="92" spans="1:18" ht="15.75" customHeight="1">
      <c r="C92" s="164" t="s">
        <v>12</v>
      </c>
      <c r="D92" s="344" cm="1">
        <f t="array" aca="1" ref="D92" ca="1">INDIRECT("'Worksheet 2'!$W"&amp;$B83)</f>
        <v>0</v>
      </c>
      <c r="E92" s="22"/>
      <c r="F92" s="23"/>
      <c r="G92" s="22"/>
      <c r="H92" s="344" t="str" cm="1">
        <f t="array" aca="1" ref="H92" ca="1">INDIRECT("'Worksheet 2'!$P"&amp;$B83)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1"/>
    </row>
    <row r="93" spans="1:18" ht="23.25">
      <c r="C93" s="345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1"/>
      <c r="H93" s="371" t="str" cm="1">
        <f t="array" aca="1" ref="H93" ca="1">IF(INDIRECT("'Worksheet 2'!$F"&amp;$B83)="st","SOR T&amp;B"," ")</f>
        <v xml:space="preserve"> </v>
      </c>
      <c r="I93" s="372"/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1"/>
      <c r="Q93" s="371"/>
      <c r="R93" s="372"/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West York, York, Columbia WO#C5006244-00287</v>
      </c>
      <c r="E97" s="22"/>
      <c r="F97" s="23"/>
      <c r="G97" s="22"/>
      <c r="H97" s="24"/>
      <c r="I97" s="25">
        <f>+'Worksheet 2'!$AR$1</f>
        <v>33655</v>
      </c>
      <c r="J97" s="26"/>
      <c r="L97" s="164" t="s">
        <v>107</v>
      </c>
      <c r="M97" s="21" t="str">
        <f>+'Worksheet 2'!$W$4</f>
        <v>West York, York, Columbia WO#C5006244-00287</v>
      </c>
      <c r="N97" s="22"/>
      <c r="O97" s="23"/>
      <c r="P97" s="22"/>
      <c r="Q97" s="24"/>
      <c r="R97" s="25">
        <f>+'Worksheet 2'!$AR$1</f>
        <v>33655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116</v>
      </c>
      <c r="F99" s="366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6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7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7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6" t="str">
        <f ca="1">IF(D105="YES",H98+12," ")</f>
        <v xml:space="preserve"> </v>
      </c>
      <c r="H101" s="340" t="s">
        <v>10</v>
      </c>
      <c r="I101" s="368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6" t="str">
        <f ca="1">F101</f>
        <v xml:space="preserve"> </v>
      </c>
      <c r="P101" s="19"/>
      <c r="Q101" s="340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2" t="s">
        <v>40</v>
      </c>
      <c r="F102" s="369"/>
      <c r="G102" s="20"/>
      <c r="H102" s="340" t="s">
        <v>110</v>
      </c>
      <c r="I102" s="32">
        <f ca="1">IF(D107="Left of Pair",(D98+F98)/2,D98+F98)</f>
        <v>0</v>
      </c>
      <c r="L102" s="167"/>
      <c r="M102" s="341" t="str">
        <f t="shared" ca="1" si="7"/>
        <v xml:space="preserve"> </v>
      </c>
      <c r="N102" s="342" t="s">
        <v>40</v>
      </c>
      <c r="O102" s="369"/>
      <c r="P102" s="20"/>
      <c r="Q102" s="340" t="s">
        <v>110</v>
      </c>
      <c r="R102" s="32">
        <f ca="1">I102</f>
        <v>0</v>
      </c>
    </row>
    <row r="103" spans="1:18" ht="12.75" customHeight="1">
      <c r="C103" s="168" t="s">
        <v>108</v>
      </c>
      <c r="D103" s="370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4" t="s">
        <v>111</v>
      </c>
      <c r="D104" s="343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4" cm="1">
        <f t="array" aca="1" ref="E105" ca="1">INDIRECT("'Worksheet 2'!$X"&amp;$B97)</f>
        <v>0</v>
      </c>
      <c r="F105" s="39"/>
      <c r="G105" s="20"/>
      <c r="H105" s="344" t="str" cm="1">
        <f t="array" aca="1" ref="H105" ca="1">INDIRECT("'Worksheet 2'!$R"&amp;$B97)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0"/>
    </row>
    <row r="106" spans="1:18" ht="15.75" customHeight="1">
      <c r="C106" s="164" t="s">
        <v>12</v>
      </c>
      <c r="D106" s="344" cm="1">
        <f t="array" aca="1" ref="D106" ca="1">INDIRECT("'Worksheet 2'!$W"&amp;$B97)</f>
        <v>0</v>
      </c>
      <c r="E106" s="22"/>
      <c r="F106" s="23"/>
      <c r="G106" s="22"/>
      <c r="H106" s="344" t="str" cm="1">
        <f t="array" aca="1" ref="H106" ca="1">INDIRECT("'Worksheet 2'!$P"&amp;$B97)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1"/>
    </row>
    <row r="107" spans="1:18" ht="23.25">
      <c r="C107" s="345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1"/>
      <c r="H107" s="371" t="str" cm="1">
        <f t="array" aca="1" ref="H107" ca="1">IF(INDIRECT("'Worksheet 2'!$F"&amp;$B97)="st","SOR T&amp;B"," ")</f>
        <v xml:space="preserve"> </v>
      </c>
      <c r="I107" s="372"/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1"/>
      <c r="Q107" s="371"/>
      <c r="R107" s="372"/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West York, York, Columbia WO#C5006244-00287</v>
      </c>
      <c r="E109" s="22"/>
      <c r="F109" s="23"/>
      <c r="G109" s="22"/>
      <c r="H109" s="24"/>
      <c r="I109" s="25">
        <f>+'Worksheet 2'!$AR$1</f>
        <v>33655</v>
      </c>
      <c r="J109" s="26"/>
      <c r="L109" s="164" t="s">
        <v>107</v>
      </c>
      <c r="M109" s="21" t="str">
        <f>+'Worksheet 2'!$W$4</f>
        <v>West York, York, Columbia WO#C5006244-00287</v>
      </c>
      <c r="N109" s="22"/>
      <c r="O109" s="23"/>
      <c r="P109" s="22"/>
      <c r="Q109" s="24"/>
      <c r="R109" s="25">
        <f>+'Worksheet 2'!$AR$1</f>
        <v>33655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116</v>
      </c>
      <c r="F111" s="366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6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7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7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6" t="str">
        <f ca="1">IF(D117="YES",H110+12," ")</f>
        <v xml:space="preserve"> </v>
      </c>
      <c r="H113" s="340" t="s">
        <v>10</v>
      </c>
      <c r="I113" s="368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6" t="str">
        <f ca="1">F113</f>
        <v xml:space="preserve"> </v>
      </c>
      <c r="P113" s="19"/>
      <c r="Q113" s="340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2" t="s">
        <v>40</v>
      </c>
      <c r="F114" s="369"/>
      <c r="G114" s="20"/>
      <c r="H114" s="340" t="s">
        <v>110</v>
      </c>
      <c r="I114" s="32">
        <f ca="1">IF(D119="Left of Pair",(D110+F110)/2,D110+F110)</f>
        <v>0</v>
      </c>
      <c r="L114" s="167"/>
      <c r="M114" s="341" t="str">
        <f t="shared" ca="1" si="8"/>
        <v xml:space="preserve"> </v>
      </c>
      <c r="N114" s="342" t="s">
        <v>40</v>
      </c>
      <c r="O114" s="369"/>
      <c r="P114" s="20"/>
      <c r="Q114" s="340" t="s">
        <v>110</v>
      </c>
      <c r="R114" s="32">
        <f ca="1">I114</f>
        <v>0</v>
      </c>
    </row>
    <row r="115" spans="1:18" ht="12.75" customHeight="1">
      <c r="C115" s="168" t="s">
        <v>108</v>
      </c>
      <c r="D115" s="370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4" t="s">
        <v>111</v>
      </c>
      <c r="D116" s="343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4" cm="1">
        <f t="array" aca="1" ref="E117" ca="1">INDIRECT("'Worksheet 2'!$X"&amp;$B109)</f>
        <v>0</v>
      </c>
      <c r="F117" s="39"/>
      <c r="G117" s="20"/>
      <c r="H117" s="344" t="str" cm="1">
        <f t="array" aca="1" ref="H117" ca="1">INDIRECT("'Worksheet 2'!$R"&amp;$B109)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0"/>
    </row>
    <row r="118" spans="1:18" ht="15.75" customHeight="1">
      <c r="C118" s="164" t="s">
        <v>12</v>
      </c>
      <c r="D118" s="344" cm="1">
        <f t="array" aca="1" ref="D118" ca="1">INDIRECT("'Worksheet 2'!$W"&amp;$B109)</f>
        <v>0</v>
      </c>
      <c r="E118" s="22"/>
      <c r="F118" s="23"/>
      <c r="G118" s="22"/>
      <c r="H118" s="344" t="str" cm="1">
        <f t="array" aca="1" ref="H118" ca="1">INDIRECT("'Worksheet 2'!$P"&amp;$B109)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1"/>
    </row>
    <row r="119" spans="1:18" ht="23.25">
      <c r="C119" s="345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1"/>
      <c r="H119" s="371" t="str" cm="1">
        <f t="array" aca="1" ref="H119" ca="1">IF(INDIRECT("'Worksheet 2'!$F"&amp;$B109)="st","SOR T&amp;B"," ")</f>
        <v xml:space="preserve"> </v>
      </c>
      <c r="I119" s="372"/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1"/>
      <c r="Q119" s="371"/>
      <c r="R119" s="372"/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West York, York, Columbia WO#C5006244-00287</v>
      </c>
      <c r="E123" s="22"/>
      <c r="F123" s="23"/>
      <c r="G123" s="22"/>
      <c r="H123" s="24"/>
      <c r="I123" s="25">
        <f>+'Worksheet 2'!$AR$1</f>
        <v>33655</v>
      </c>
      <c r="J123" s="26"/>
      <c r="L123" s="164" t="s">
        <v>107</v>
      </c>
      <c r="M123" s="21" t="str">
        <f>+'Worksheet 2'!$W$4</f>
        <v>West York, York, Columbia WO#C5006244-00287</v>
      </c>
      <c r="N123" s="22"/>
      <c r="O123" s="23"/>
      <c r="P123" s="22"/>
      <c r="Q123" s="24"/>
      <c r="R123" s="25">
        <f>+'Worksheet 2'!$AR$1</f>
        <v>33655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116</v>
      </c>
      <c r="F125" s="366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6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7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7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6" t="str">
        <f ca="1">IF(D131="YES",H124+12," ")</f>
        <v xml:space="preserve"> </v>
      </c>
      <c r="H127" s="340" t="s">
        <v>10</v>
      </c>
      <c r="I127" s="368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6" t="str">
        <f ca="1">F127</f>
        <v xml:space="preserve"> </v>
      </c>
      <c r="P127" s="19"/>
      <c r="Q127" s="340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2" t="s">
        <v>40</v>
      </c>
      <c r="F128" s="369"/>
      <c r="G128" s="20"/>
      <c r="H128" s="340" t="s">
        <v>110</v>
      </c>
      <c r="I128" s="32">
        <f ca="1">IF(D133="Left of Pair",(D124+F124)/2,D124+F124)</f>
        <v>0</v>
      </c>
      <c r="L128" s="167"/>
      <c r="M128" s="341" t="str">
        <f t="shared" ca="1" si="9"/>
        <v xml:space="preserve"> </v>
      </c>
      <c r="N128" s="342" t="s">
        <v>40</v>
      </c>
      <c r="O128" s="369"/>
      <c r="P128" s="20"/>
      <c r="Q128" s="340" t="s">
        <v>110</v>
      </c>
      <c r="R128" s="32">
        <f ca="1">I128</f>
        <v>0</v>
      </c>
    </row>
    <row r="129" spans="1:18" ht="12.75" customHeight="1">
      <c r="C129" s="168" t="s">
        <v>108</v>
      </c>
      <c r="D129" s="370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4" t="s">
        <v>111</v>
      </c>
      <c r="D130" s="343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4" cm="1">
        <f t="array" aca="1" ref="E131" ca="1">INDIRECT("'Worksheet 2'!$X"&amp;$B123)</f>
        <v>0</v>
      </c>
      <c r="F131" s="39"/>
      <c r="G131" s="20"/>
      <c r="H131" s="344" t="str" cm="1">
        <f t="array" aca="1" ref="H131" ca="1">INDIRECT("'Worksheet 2'!$R"&amp;$B123)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0"/>
    </row>
    <row r="132" spans="1:18" ht="15.75" customHeight="1">
      <c r="C132" s="164" t="s">
        <v>12</v>
      </c>
      <c r="D132" s="344" cm="1">
        <f t="array" aca="1" ref="D132" ca="1">INDIRECT("'Worksheet 2'!$W"&amp;$B123)</f>
        <v>0</v>
      </c>
      <c r="E132" s="22"/>
      <c r="F132" s="23"/>
      <c r="G132" s="22"/>
      <c r="H132" s="344" t="str" cm="1">
        <f t="array" aca="1" ref="H132" ca="1">INDIRECT("'Worksheet 2'!$P"&amp;$B123)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1"/>
    </row>
    <row r="133" spans="1:18" ht="23.25">
      <c r="C133" s="345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1"/>
      <c r="H133" s="371" t="str" cm="1">
        <f t="array" aca="1" ref="H133" ca="1">IF(INDIRECT("'Worksheet 2'!$F"&amp;$B123)="st","SOR T&amp;B"," ")</f>
        <v xml:space="preserve"> </v>
      </c>
      <c r="I133" s="372"/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1"/>
      <c r="Q133" s="371"/>
      <c r="R133" s="372"/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West York, York, Columbia WO#C5006244-00287</v>
      </c>
      <c r="E137" s="22"/>
      <c r="F137" s="23"/>
      <c r="G137" s="22"/>
      <c r="H137" s="24"/>
      <c r="I137" s="25">
        <f>+'Worksheet 2'!$AR$1</f>
        <v>33655</v>
      </c>
      <c r="J137" s="26"/>
      <c r="L137" s="164" t="s">
        <v>107</v>
      </c>
      <c r="M137" s="21" t="str">
        <f>+'Worksheet 2'!$W$4</f>
        <v>West York, York, Columbia WO#C5006244-00287</v>
      </c>
      <c r="N137" s="22"/>
      <c r="O137" s="23"/>
      <c r="P137" s="22"/>
      <c r="Q137" s="24"/>
      <c r="R137" s="25">
        <f>+'Worksheet 2'!$AR$1</f>
        <v>33655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116</v>
      </c>
      <c r="F139" s="366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6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7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7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6" t="str">
        <f ca="1">IF(D145="YES",H138+12," ")</f>
        <v xml:space="preserve"> </v>
      </c>
      <c r="H141" s="340" t="s">
        <v>10</v>
      </c>
      <c r="I141" s="368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6" t="str">
        <f ca="1">F141</f>
        <v xml:space="preserve"> </v>
      </c>
      <c r="P141" s="19"/>
      <c r="Q141" s="340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2" t="s">
        <v>40</v>
      </c>
      <c r="F142" s="369"/>
      <c r="G142" s="20"/>
      <c r="H142" s="340" t="s">
        <v>110</v>
      </c>
      <c r="I142" s="32">
        <f ca="1">IF(D147="Left of Pair",(D138+F138)/2,D138+F138)</f>
        <v>0</v>
      </c>
      <c r="L142" s="167"/>
      <c r="M142" s="341" t="str">
        <f t="shared" ca="1" si="10"/>
        <v xml:space="preserve"> </v>
      </c>
      <c r="N142" s="342" t="s">
        <v>40</v>
      </c>
      <c r="O142" s="369"/>
      <c r="P142" s="20"/>
      <c r="Q142" s="340" t="s">
        <v>110</v>
      </c>
      <c r="R142" s="32">
        <f ca="1">I142</f>
        <v>0</v>
      </c>
    </row>
    <row r="143" spans="1:18" ht="12.75" customHeight="1">
      <c r="C143" s="168" t="s">
        <v>108</v>
      </c>
      <c r="D143" s="370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4" t="s">
        <v>111</v>
      </c>
      <c r="D144" s="343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4" cm="1">
        <f t="array" aca="1" ref="E145" ca="1">INDIRECT("'Worksheet 2'!$X"&amp;$B137)</f>
        <v>0</v>
      </c>
      <c r="F145" s="39"/>
      <c r="G145" s="20"/>
      <c r="H145" s="344" t="str" cm="1">
        <f t="array" aca="1" ref="H145" ca="1">INDIRECT("'Worksheet 2'!$R"&amp;$B137)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0"/>
    </row>
    <row r="146" spans="1:18" ht="15.75" customHeight="1">
      <c r="C146" s="164" t="s">
        <v>12</v>
      </c>
      <c r="D146" s="344" cm="1">
        <f t="array" aca="1" ref="D146" ca="1">INDIRECT("'Worksheet 2'!$W"&amp;$B137)</f>
        <v>0</v>
      </c>
      <c r="E146" s="22"/>
      <c r="F146" s="23"/>
      <c r="G146" s="22"/>
      <c r="H146" s="344" t="str" cm="1">
        <f t="array" aca="1" ref="H146" ca="1">INDIRECT("'Worksheet 2'!$P"&amp;$B137)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1"/>
    </row>
    <row r="147" spans="1:18" ht="23.25">
      <c r="C147" s="345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1"/>
      <c r="H147" s="371" t="str" cm="1">
        <f t="array" aca="1" ref="H147" ca="1">IF(INDIRECT("'Worksheet 2'!$F"&amp;$B137)="st","SOR T&amp;B"," ")</f>
        <v xml:space="preserve"> </v>
      </c>
      <c r="I147" s="372"/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1"/>
      <c r="Q147" s="371"/>
      <c r="R147" s="372"/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West York, York, Columbia WO#C5006244-00287</v>
      </c>
      <c r="E151" s="22"/>
      <c r="F151" s="23"/>
      <c r="G151" s="22"/>
      <c r="H151" s="24"/>
      <c r="I151" s="25">
        <f>+'Worksheet 2'!$AR$1</f>
        <v>33655</v>
      </c>
      <c r="J151" s="26"/>
      <c r="L151" s="164" t="s">
        <v>107</v>
      </c>
      <c r="M151" s="21" t="str">
        <f>+'Worksheet 2'!$W$4</f>
        <v>West York, York, Columbia WO#C5006244-00287</v>
      </c>
      <c r="N151" s="22"/>
      <c r="O151" s="23"/>
      <c r="P151" s="22"/>
      <c r="Q151" s="24"/>
      <c r="R151" s="25">
        <f>+'Worksheet 2'!$AR$1</f>
        <v>33655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116</v>
      </c>
      <c r="F153" s="366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6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7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7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6" t="str">
        <f ca="1">IF(D159="YES",H152+12," ")</f>
        <v xml:space="preserve"> </v>
      </c>
      <c r="H155" s="340" t="s">
        <v>10</v>
      </c>
      <c r="I155" s="368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6" t="str">
        <f ca="1">F155</f>
        <v xml:space="preserve"> </v>
      </c>
      <c r="P155" s="19"/>
      <c r="Q155" s="340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2" t="s">
        <v>40</v>
      </c>
      <c r="F156" s="369"/>
      <c r="G156" s="20"/>
      <c r="H156" s="340" t="s">
        <v>110</v>
      </c>
      <c r="I156" s="32">
        <f ca="1">IF(D161="Left of Pair",(D152+F152)/2,D152+F152)</f>
        <v>0</v>
      </c>
      <c r="L156" s="167"/>
      <c r="M156" s="341" t="str">
        <f t="shared" ca="1" si="11"/>
        <v xml:space="preserve"> </v>
      </c>
      <c r="N156" s="342" t="s">
        <v>40</v>
      </c>
      <c r="O156" s="369"/>
      <c r="P156" s="20"/>
      <c r="Q156" s="340" t="s">
        <v>110</v>
      </c>
      <c r="R156" s="32">
        <f ca="1">I156</f>
        <v>0</v>
      </c>
    </row>
    <row r="157" spans="1:18" ht="12.75" customHeight="1">
      <c r="C157" s="168" t="s">
        <v>108</v>
      </c>
      <c r="D157" s="370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4" t="s">
        <v>111</v>
      </c>
      <c r="D158" s="343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4" cm="1">
        <f t="array" aca="1" ref="E159" ca="1">INDIRECT("'Worksheet 2'!$X"&amp;$B151)</f>
        <v>0</v>
      </c>
      <c r="F159" s="39"/>
      <c r="G159" s="20"/>
      <c r="H159" s="344" t="str" cm="1">
        <f t="array" aca="1" ref="H159" ca="1">INDIRECT("'Worksheet 2'!$R"&amp;$B151)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0"/>
    </row>
    <row r="160" spans="1:18" ht="15.75" customHeight="1">
      <c r="C160" s="164" t="s">
        <v>12</v>
      </c>
      <c r="D160" s="344" cm="1">
        <f t="array" aca="1" ref="D160" ca="1">INDIRECT("'Worksheet 2'!$W"&amp;$B151)</f>
        <v>0</v>
      </c>
      <c r="E160" s="22"/>
      <c r="F160" s="23"/>
      <c r="G160" s="22"/>
      <c r="H160" s="344" t="str" cm="1">
        <f t="array" aca="1" ref="H160" ca="1">INDIRECT("'Worksheet 2'!$P"&amp;$B151)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1"/>
    </row>
    <row r="161" spans="1:18" ht="23.25">
      <c r="C161" s="345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1"/>
      <c r="H161" s="371" t="str" cm="1">
        <f t="array" aca="1" ref="H161" ca="1">IF(INDIRECT("'Worksheet 2'!$F"&amp;$B151)="st","SOR T&amp;B"," ")</f>
        <v xml:space="preserve"> </v>
      </c>
      <c r="I161" s="372"/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1"/>
      <c r="Q161" s="371"/>
      <c r="R161" s="372"/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West York, York, Columbia WO#C5006244-00287</v>
      </c>
      <c r="E163" s="22"/>
      <c r="F163" s="23"/>
      <c r="G163" s="22"/>
      <c r="H163" s="24"/>
      <c r="I163" s="25">
        <f>+'Worksheet 2'!$AR$1</f>
        <v>33655</v>
      </c>
      <c r="J163" s="26"/>
      <c r="L163" s="164" t="s">
        <v>107</v>
      </c>
      <c r="M163" s="21" t="str">
        <f>+'Worksheet 2'!$W$4</f>
        <v>West York, York, Columbia WO#C5006244-00287</v>
      </c>
      <c r="N163" s="22"/>
      <c r="O163" s="23"/>
      <c r="P163" s="22"/>
      <c r="Q163" s="24"/>
      <c r="R163" s="25">
        <f>+'Worksheet 2'!$AR$1</f>
        <v>33655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116</v>
      </c>
      <c r="F165" s="366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6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7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7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6" t="str">
        <f ca="1">IF(D171="YES",H164+12," ")</f>
        <v xml:space="preserve"> </v>
      </c>
      <c r="H167" s="340" t="s">
        <v>10</v>
      </c>
      <c r="I167" s="368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6" t="str">
        <f ca="1">F167</f>
        <v xml:space="preserve"> </v>
      </c>
      <c r="P167" s="19"/>
      <c r="Q167" s="340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2" t="s">
        <v>40</v>
      </c>
      <c r="F168" s="369"/>
      <c r="G168" s="20"/>
      <c r="H168" s="340" t="s">
        <v>110</v>
      </c>
      <c r="I168" s="32">
        <f ca="1">IF(D173="Left of Pair",(D164+F164)/2,D164+F164)</f>
        <v>0</v>
      </c>
      <c r="L168" s="167"/>
      <c r="M168" s="341" t="str">
        <f t="shared" ca="1" si="12"/>
        <v xml:space="preserve"> </v>
      </c>
      <c r="N168" s="342" t="s">
        <v>40</v>
      </c>
      <c r="O168" s="369"/>
      <c r="P168" s="20"/>
      <c r="Q168" s="340" t="s">
        <v>110</v>
      </c>
      <c r="R168" s="32">
        <f ca="1">I168</f>
        <v>0</v>
      </c>
    </row>
    <row r="169" spans="1:18" ht="12.75" customHeight="1">
      <c r="C169" s="168" t="s">
        <v>108</v>
      </c>
      <c r="D169" s="370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4" t="s">
        <v>111</v>
      </c>
      <c r="D170" s="343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4" cm="1">
        <f t="array" aca="1" ref="E171" ca="1">INDIRECT("'Worksheet 2'!$X"&amp;$B163)</f>
        <v>0</v>
      </c>
      <c r="F171" s="39"/>
      <c r="G171" s="20"/>
      <c r="H171" s="344" t="str" cm="1">
        <f t="array" aca="1" ref="H171" ca="1">INDIRECT("'Worksheet 2'!$R"&amp;$B163)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0"/>
    </row>
    <row r="172" spans="1:18" ht="15.75" customHeight="1">
      <c r="C172" s="164" t="s">
        <v>12</v>
      </c>
      <c r="D172" s="344" cm="1">
        <f t="array" aca="1" ref="D172" ca="1">INDIRECT("'Worksheet 2'!$W"&amp;$B163)</f>
        <v>0</v>
      </c>
      <c r="E172" s="22"/>
      <c r="F172" s="23"/>
      <c r="G172" s="22"/>
      <c r="H172" s="344" t="str" cm="1">
        <f t="array" aca="1" ref="H172" ca="1">INDIRECT("'Worksheet 2'!$P"&amp;$B163)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1"/>
    </row>
    <row r="173" spans="1:18" ht="23.25">
      <c r="C173" s="345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1"/>
      <c r="H173" s="371" t="str" cm="1">
        <f t="array" aca="1" ref="H173" ca="1">IF(INDIRECT("'Worksheet 2'!$F"&amp;$B163)="st","SOR T&amp;B"," ")</f>
        <v xml:space="preserve"> </v>
      </c>
      <c r="I173" s="372"/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1"/>
      <c r="Q173" s="371"/>
      <c r="R173" s="372"/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West York, York, Columbia WO#C5006244-00287</v>
      </c>
      <c r="E177" s="22"/>
      <c r="F177" s="23"/>
      <c r="G177" s="22"/>
      <c r="H177" s="24"/>
      <c r="I177" s="25">
        <f>+'Worksheet 2'!$AR$1</f>
        <v>33655</v>
      </c>
      <c r="J177" s="26"/>
      <c r="L177" s="164" t="s">
        <v>107</v>
      </c>
      <c r="M177" s="21" t="str">
        <f>+'Worksheet 2'!$W$4</f>
        <v>West York, York, Columbia WO#C5006244-00287</v>
      </c>
      <c r="N177" s="22"/>
      <c r="O177" s="23"/>
      <c r="P177" s="22"/>
      <c r="Q177" s="24"/>
      <c r="R177" s="25">
        <f>+'Worksheet 2'!$AR$1</f>
        <v>33655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116</v>
      </c>
      <c r="F179" s="366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6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7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7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6" t="str">
        <f ca="1">IF(D185="YES",H178+12," ")</f>
        <v xml:space="preserve"> </v>
      </c>
      <c r="H181" s="340" t="s">
        <v>10</v>
      </c>
      <c r="I181" s="368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6" t="str">
        <f ca="1">F181</f>
        <v xml:space="preserve"> </v>
      </c>
      <c r="P181" s="19"/>
      <c r="Q181" s="340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2" t="s">
        <v>40</v>
      </c>
      <c r="F182" s="369"/>
      <c r="G182" s="20"/>
      <c r="H182" s="340" t="s">
        <v>110</v>
      </c>
      <c r="I182" s="32">
        <f ca="1">IF(D187="Left of Pair",(D178+F178)/2,D178+F178)</f>
        <v>0</v>
      </c>
      <c r="L182" s="167"/>
      <c r="M182" s="341" t="str">
        <f t="shared" ca="1" si="13"/>
        <v xml:space="preserve"> </v>
      </c>
      <c r="N182" s="342" t="s">
        <v>40</v>
      </c>
      <c r="O182" s="369"/>
      <c r="P182" s="20"/>
      <c r="Q182" s="340" t="s">
        <v>110</v>
      </c>
      <c r="R182" s="32">
        <f ca="1">I182</f>
        <v>0</v>
      </c>
    </row>
    <row r="183" spans="1:18" ht="12.75" customHeight="1">
      <c r="C183" s="168" t="s">
        <v>108</v>
      </c>
      <c r="D183" s="370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4" t="s">
        <v>111</v>
      </c>
      <c r="D184" s="343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4" cm="1">
        <f t="array" aca="1" ref="E185" ca="1">INDIRECT("'Worksheet 2'!$X"&amp;$B177)</f>
        <v>0</v>
      </c>
      <c r="F185" s="39"/>
      <c r="G185" s="20"/>
      <c r="H185" s="344" t="str" cm="1">
        <f t="array" aca="1" ref="H185" ca="1">INDIRECT("'Worksheet 2'!$R"&amp;$B177)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0"/>
    </row>
    <row r="186" spans="1:18" ht="15.75" customHeight="1">
      <c r="C186" s="164" t="s">
        <v>12</v>
      </c>
      <c r="D186" s="344" cm="1">
        <f t="array" aca="1" ref="D186" ca="1">INDIRECT("'Worksheet 2'!$W"&amp;$B177)</f>
        <v>0</v>
      </c>
      <c r="E186" s="22"/>
      <c r="F186" s="23"/>
      <c r="G186" s="22"/>
      <c r="H186" s="344" t="str" cm="1">
        <f t="array" aca="1" ref="H186" ca="1">INDIRECT("'Worksheet 2'!$P"&amp;$B177)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1"/>
    </row>
    <row r="187" spans="1:18" ht="23.25">
      <c r="C187" s="345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1"/>
      <c r="H187" s="371" t="str" cm="1">
        <f t="array" aca="1" ref="H187" ca="1">IF(INDIRECT("'Worksheet 2'!$F"&amp;$B177)="st","SOR T&amp;B"," ")</f>
        <v xml:space="preserve"> </v>
      </c>
      <c r="I187" s="372"/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1"/>
      <c r="Q187" s="371"/>
      <c r="R187" s="372"/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West York, York, Columbia WO#C5006244-00287</v>
      </c>
      <c r="E191" s="22"/>
      <c r="F191" s="23"/>
      <c r="G191" s="22"/>
      <c r="H191" s="24"/>
      <c r="I191" s="25">
        <f>+'Worksheet 2'!$AR$1</f>
        <v>33655</v>
      </c>
      <c r="J191" s="26"/>
      <c r="L191" s="164" t="s">
        <v>107</v>
      </c>
      <c r="M191" s="21" t="str">
        <f>+'Worksheet 2'!$W$4</f>
        <v>West York, York, Columbia WO#C5006244-00287</v>
      </c>
      <c r="N191" s="22"/>
      <c r="O191" s="23"/>
      <c r="P191" s="22"/>
      <c r="Q191" s="24"/>
      <c r="R191" s="25">
        <f>+'Worksheet 2'!$AR$1</f>
        <v>33655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116</v>
      </c>
      <c r="F193" s="366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6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7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7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6" t="str">
        <f ca="1">IF(D199="YES",H192+12," ")</f>
        <v xml:space="preserve"> </v>
      </c>
      <c r="H195" s="340" t="s">
        <v>10</v>
      </c>
      <c r="I195" s="368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6" t="str">
        <f ca="1">F195</f>
        <v xml:space="preserve"> </v>
      </c>
      <c r="P195" s="19"/>
      <c r="Q195" s="340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2" t="s">
        <v>40</v>
      </c>
      <c r="F196" s="369"/>
      <c r="G196" s="20"/>
      <c r="H196" s="340" t="s">
        <v>110</v>
      </c>
      <c r="I196" s="32">
        <f ca="1">IF(D201="Left of Pair",(D192+F192)/2,D192+F192)</f>
        <v>0</v>
      </c>
      <c r="L196" s="167"/>
      <c r="M196" s="341" t="str">
        <f t="shared" ca="1" si="14"/>
        <v xml:space="preserve"> </v>
      </c>
      <c r="N196" s="342" t="s">
        <v>40</v>
      </c>
      <c r="O196" s="369"/>
      <c r="P196" s="20"/>
      <c r="Q196" s="340" t="s">
        <v>110</v>
      </c>
      <c r="R196" s="32">
        <f ca="1">I196</f>
        <v>0</v>
      </c>
    </row>
    <row r="197" spans="1:18" ht="12.75" customHeight="1">
      <c r="C197" s="168" t="s">
        <v>108</v>
      </c>
      <c r="D197" s="370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4" t="s">
        <v>111</v>
      </c>
      <c r="D198" s="343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4" cm="1">
        <f t="array" aca="1" ref="E199" ca="1">INDIRECT("'Worksheet 2'!$X"&amp;$B191)</f>
        <v>0</v>
      </c>
      <c r="F199" s="39"/>
      <c r="G199" s="20"/>
      <c r="H199" s="344" t="str" cm="1">
        <f t="array" aca="1" ref="H199" ca="1">INDIRECT("'Worksheet 2'!$R"&amp;$B191)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0"/>
    </row>
    <row r="200" spans="1:18" ht="15.75" customHeight="1">
      <c r="C200" s="164" t="s">
        <v>12</v>
      </c>
      <c r="D200" s="344" cm="1">
        <f t="array" aca="1" ref="D200" ca="1">INDIRECT("'Worksheet 2'!$W"&amp;$B191)</f>
        <v>0</v>
      </c>
      <c r="E200" s="22"/>
      <c r="F200" s="23"/>
      <c r="G200" s="22"/>
      <c r="H200" s="344" t="str" cm="1">
        <f t="array" aca="1" ref="H200" ca="1">INDIRECT("'Worksheet 2'!$P"&amp;$B191)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1"/>
    </row>
    <row r="201" spans="1:18" ht="23.25">
      <c r="C201" s="345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1"/>
      <c r="H201" s="371" t="str" cm="1">
        <f t="array" aca="1" ref="H201" ca="1">IF(INDIRECT("'Worksheet 2'!$F"&amp;$B191)="st","SOR T&amp;B"," ")</f>
        <v xml:space="preserve"> </v>
      </c>
      <c r="I201" s="372"/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1"/>
      <c r="Q201" s="371"/>
      <c r="R201" s="372"/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West York, York, Columbia WO#C5006244-00287</v>
      </c>
      <c r="E205" s="22"/>
      <c r="F205" s="23"/>
      <c r="G205" s="22"/>
      <c r="H205" s="24"/>
      <c r="I205" s="25">
        <f>+'Worksheet 2'!$AR$1</f>
        <v>33655</v>
      </c>
      <c r="J205" s="26"/>
      <c r="L205" s="164" t="s">
        <v>107</v>
      </c>
      <c r="M205" s="21" t="str">
        <f>+'Worksheet 2'!$W$4</f>
        <v>West York, York, Columbia WO#C5006244-00287</v>
      </c>
      <c r="N205" s="22"/>
      <c r="O205" s="23"/>
      <c r="P205" s="22"/>
      <c r="Q205" s="24"/>
      <c r="R205" s="25">
        <f>+'Worksheet 2'!$AR$1</f>
        <v>33655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116</v>
      </c>
      <c r="F207" s="366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6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7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7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6" t="str">
        <f ca="1">IF(D213="YES",H206+12," ")</f>
        <v xml:space="preserve"> </v>
      </c>
      <c r="H209" s="340" t="s">
        <v>10</v>
      </c>
      <c r="I209" s="368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6" t="str">
        <f ca="1">F209</f>
        <v xml:space="preserve"> </v>
      </c>
      <c r="P209" s="19"/>
      <c r="Q209" s="340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2" t="s">
        <v>40</v>
      </c>
      <c r="F210" s="369"/>
      <c r="G210" s="20"/>
      <c r="H210" s="340" t="s">
        <v>110</v>
      </c>
      <c r="I210" s="32">
        <f ca="1">IF(D215="Left of Pair",(D206+F206)/2,D206+F206)</f>
        <v>0</v>
      </c>
      <c r="L210" s="167"/>
      <c r="M210" s="341" t="str">
        <f t="shared" ca="1" si="15"/>
        <v xml:space="preserve"> </v>
      </c>
      <c r="N210" s="342" t="s">
        <v>40</v>
      </c>
      <c r="O210" s="369"/>
      <c r="P210" s="20"/>
      <c r="Q210" s="340" t="s">
        <v>110</v>
      </c>
      <c r="R210" s="32">
        <f ca="1">I210</f>
        <v>0</v>
      </c>
    </row>
    <row r="211" spans="1:18" ht="12.75" customHeight="1">
      <c r="C211" s="168" t="s">
        <v>108</v>
      </c>
      <c r="D211" s="370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4" t="s">
        <v>111</v>
      </c>
      <c r="D212" s="343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4" cm="1">
        <f t="array" aca="1" ref="E213" ca="1">INDIRECT("'Worksheet 2'!$X"&amp;$B205)</f>
        <v>0</v>
      </c>
      <c r="F213" s="39"/>
      <c r="G213" s="20"/>
      <c r="H213" s="344" t="str" cm="1">
        <f t="array" aca="1" ref="H213" ca="1">INDIRECT("'Worksheet 2'!$R"&amp;$B205)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0"/>
    </row>
    <row r="214" spans="1:18" ht="15.75" customHeight="1">
      <c r="C214" s="164" t="s">
        <v>12</v>
      </c>
      <c r="D214" s="344" cm="1">
        <f t="array" aca="1" ref="D214" ca="1">INDIRECT("'Worksheet 2'!$W"&amp;$B205)</f>
        <v>0</v>
      </c>
      <c r="E214" s="22"/>
      <c r="F214" s="23"/>
      <c r="G214" s="22"/>
      <c r="H214" s="344" t="str" cm="1">
        <f t="array" aca="1" ref="H214" ca="1">INDIRECT("'Worksheet 2'!$P"&amp;$B205)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1"/>
    </row>
    <row r="215" spans="1:18" ht="23.25">
      <c r="C215" s="345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1"/>
      <c r="H215" s="371" t="str" cm="1">
        <f t="array" aca="1" ref="H215" ca="1">IF(INDIRECT("'Worksheet 2'!$F"&amp;$B205)="st","SOR T&amp;B"," ")</f>
        <v xml:space="preserve"> </v>
      </c>
      <c r="I215" s="372"/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1"/>
      <c r="Q215" s="371"/>
      <c r="R215" s="372"/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West York, York, Columbia WO#C5006244-00287</v>
      </c>
      <c r="E217" s="22"/>
      <c r="F217" s="23"/>
      <c r="G217" s="22"/>
      <c r="H217" s="24"/>
      <c r="I217" s="25">
        <f>+'Worksheet 2'!$AR$1</f>
        <v>33655</v>
      </c>
      <c r="J217" s="26"/>
      <c r="L217" s="164" t="s">
        <v>107</v>
      </c>
      <c r="M217" s="21" t="str">
        <f>+'Worksheet 2'!$W$4</f>
        <v>West York, York, Columbia WO#C5006244-00287</v>
      </c>
      <c r="N217" s="22"/>
      <c r="O217" s="23"/>
      <c r="P217" s="22"/>
      <c r="Q217" s="24"/>
      <c r="R217" s="25">
        <f>+'Worksheet 2'!$AR$1</f>
        <v>33655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116</v>
      </c>
      <c r="F219" s="366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6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7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7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6" t="str">
        <f ca="1">IF(D225="YES",H218+12," ")</f>
        <v xml:space="preserve"> </v>
      </c>
      <c r="H221" s="340" t="s">
        <v>10</v>
      </c>
      <c r="I221" s="368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6" t="str">
        <f ca="1">F221</f>
        <v xml:space="preserve"> </v>
      </c>
      <c r="P221" s="19"/>
      <c r="Q221" s="340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2" t="s">
        <v>40</v>
      </c>
      <c r="F222" s="369"/>
      <c r="G222" s="20"/>
      <c r="H222" s="340" t="s">
        <v>110</v>
      </c>
      <c r="I222" s="32">
        <f ca="1">IF(D227="Left of Pair",(D218+F218)/2,D218+F218)</f>
        <v>0</v>
      </c>
      <c r="L222" s="167"/>
      <c r="M222" s="341" t="str">
        <f t="shared" ca="1" si="16"/>
        <v xml:space="preserve"> </v>
      </c>
      <c r="N222" s="342" t="s">
        <v>40</v>
      </c>
      <c r="O222" s="369"/>
      <c r="P222" s="20"/>
      <c r="Q222" s="340" t="s">
        <v>110</v>
      </c>
      <c r="R222" s="32">
        <f ca="1">I222</f>
        <v>0</v>
      </c>
    </row>
    <row r="223" spans="1:18" ht="12.75" customHeight="1">
      <c r="C223" s="168" t="s">
        <v>108</v>
      </c>
      <c r="D223" s="370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4" t="s">
        <v>111</v>
      </c>
      <c r="D224" s="343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4" cm="1">
        <f t="array" aca="1" ref="E225" ca="1">INDIRECT("'Worksheet 2'!$X"&amp;$B217)</f>
        <v>0</v>
      </c>
      <c r="F225" s="39"/>
      <c r="G225" s="20"/>
      <c r="H225" s="344" t="str" cm="1">
        <f t="array" aca="1" ref="H225" ca="1">INDIRECT("'Worksheet 2'!$R"&amp;$B217)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0"/>
    </row>
    <row r="226" spans="1:18" ht="15.75" customHeight="1">
      <c r="C226" s="164" t="s">
        <v>12</v>
      </c>
      <c r="D226" s="344" cm="1">
        <f t="array" aca="1" ref="D226" ca="1">INDIRECT("'Worksheet 2'!$W"&amp;$B217)</f>
        <v>0</v>
      </c>
      <c r="E226" s="22"/>
      <c r="F226" s="23"/>
      <c r="G226" s="22"/>
      <c r="H226" s="344" t="str" cm="1">
        <f t="array" aca="1" ref="H226" ca="1">INDIRECT("'Worksheet 2'!$P"&amp;$B217)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1"/>
    </row>
    <row r="227" spans="1:18" ht="23.25">
      <c r="C227" s="345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1"/>
      <c r="H227" s="371" t="str" cm="1">
        <f t="array" aca="1" ref="H227" ca="1">IF(INDIRECT("'Worksheet 2'!$F"&amp;$B217)="st","SOR T&amp;B"," ")</f>
        <v xml:space="preserve"> </v>
      </c>
      <c r="I227" s="372"/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1"/>
      <c r="Q227" s="371"/>
      <c r="R227" s="372"/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West York, York, Columbia WO#C5006244-00287</v>
      </c>
      <c r="E231" s="22"/>
      <c r="F231" s="23"/>
      <c r="G231" s="22"/>
      <c r="H231" s="24"/>
      <c r="I231" s="25">
        <f>+'Worksheet 2'!$AR$1</f>
        <v>33655</v>
      </c>
      <c r="J231" s="26"/>
      <c r="L231" s="164" t="s">
        <v>107</v>
      </c>
      <c r="M231" s="21" t="str">
        <f>+'Worksheet 2'!$W$4</f>
        <v>West York, York, Columbia WO#C5006244-00287</v>
      </c>
      <c r="N231" s="22"/>
      <c r="O231" s="23"/>
      <c r="P231" s="22"/>
      <c r="Q231" s="24"/>
      <c r="R231" s="25">
        <f>+'Worksheet 2'!$AR$1</f>
        <v>33655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116</v>
      </c>
      <c r="F233" s="366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6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7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7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6" t="str">
        <f ca="1">IF(D239="YES",H232+12," ")</f>
        <v xml:space="preserve"> </v>
      </c>
      <c r="H235" s="340" t="s">
        <v>10</v>
      </c>
      <c r="I235" s="368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6" t="str">
        <f ca="1">F235</f>
        <v xml:space="preserve"> </v>
      </c>
      <c r="P235" s="19"/>
      <c r="Q235" s="340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2" t="s">
        <v>40</v>
      </c>
      <c r="F236" s="369"/>
      <c r="G236" s="20"/>
      <c r="H236" s="340" t="s">
        <v>110</v>
      </c>
      <c r="I236" s="32">
        <f ca="1">IF(D241="Left of Pair",(D232+F232)/2,D232+F232)</f>
        <v>0</v>
      </c>
      <c r="L236" s="167"/>
      <c r="M236" s="341" t="str">
        <f t="shared" ca="1" si="17"/>
        <v xml:space="preserve"> </v>
      </c>
      <c r="N236" s="342" t="s">
        <v>40</v>
      </c>
      <c r="O236" s="369"/>
      <c r="P236" s="20"/>
      <c r="Q236" s="340" t="s">
        <v>110</v>
      </c>
      <c r="R236" s="32">
        <f ca="1">I236</f>
        <v>0</v>
      </c>
    </row>
    <row r="237" spans="1:18" ht="12.75" customHeight="1">
      <c r="C237" s="168" t="s">
        <v>108</v>
      </c>
      <c r="D237" s="370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4" t="s">
        <v>111</v>
      </c>
      <c r="D238" s="343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4" cm="1">
        <f t="array" aca="1" ref="E239" ca="1">INDIRECT("'Worksheet 2'!$X"&amp;$B231)</f>
        <v>0</v>
      </c>
      <c r="F239" s="39"/>
      <c r="G239" s="20"/>
      <c r="H239" s="344" t="str" cm="1">
        <f t="array" aca="1" ref="H239" ca="1">INDIRECT("'Worksheet 2'!$R"&amp;$B231)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0"/>
    </row>
    <row r="240" spans="1:18" ht="15.75" customHeight="1">
      <c r="C240" s="164" t="s">
        <v>12</v>
      </c>
      <c r="D240" s="344" cm="1">
        <f t="array" aca="1" ref="D240" ca="1">INDIRECT("'Worksheet 2'!$W"&amp;$B231)</f>
        <v>0</v>
      </c>
      <c r="E240" s="22"/>
      <c r="F240" s="23"/>
      <c r="G240" s="22"/>
      <c r="H240" s="344" t="str" cm="1">
        <f t="array" aca="1" ref="H240" ca="1">INDIRECT("'Worksheet 2'!$P"&amp;$B231)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1"/>
    </row>
    <row r="241" spans="1:18" ht="23.25">
      <c r="C241" s="345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1"/>
      <c r="H241" s="371" t="str" cm="1">
        <f t="array" aca="1" ref="H241" ca="1">IF(INDIRECT("'Worksheet 2'!$F"&amp;$B231)="st","SOR T&amp;B"," ")</f>
        <v xml:space="preserve"> </v>
      </c>
      <c r="I241" s="372"/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1"/>
      <c r="Q241" s="371"/>
      <c r="R241" s="372"/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West York, York, Columbia WO#C5006244-00287</v>
      </c>
      <c r="E245" s="22"/>
      <c r="F245" s="23"/>
      <c r="G245" s="22"/>
      <c r="H245" s="24"/>
      <c r="I245" s="25">
        <f>+'Worksheet 2'!$AR$1</f>
        <v>33655</v>
      </c>
      <c r="J245" s="26"/>
      <c r="L245" s="164" t="s">
        <v>107</v>
      </c>
      <c r="M245" s="21" t="str">
        <f>+'Worksheet 2'!$W$4</f>
        <v>West York, York, Columbia WO#C5006244-00287</v>
      </c>
      <c r="N245" s="22"/>
      <c r="O245" s="23"/>
      <c r="P245" s="22"/>
      <c r="Q245" s="24"/>
      <c r="R245" s="25">
        <f>+'Worksheet 2'!$AR$1</f>
        <v>33655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116</v>
      </c>
      <c r="F247" s="366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6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7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7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6" t="str">
        <f ca="1">IF(D253="YES",H246+12," ")</f>
        <v xml:space="preserve"> </v>
      </c>
      <c r="H249" s="340" t="s">
        <v>10</v>
      </c>
      <c r="I249" s="368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6" t="str">
        <f ca="1">F249</f>
        <v xml:space="preserve"> </v>
      </c>
      <c r="P249" s="19"/>
      <c r="Q249" s="340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2" t="s">
        <v>40</v>
      </c>
      <c r="F250" s="369"/>
      <c r="G250" s="20"/>
      <c r="H250" s="340" t="s">
        <v>110</v>
      </c>
      <c r="I250" s="32">
        <f ca="1">IF(D255="Left of Pair",(D246+F246)/2,D246+F246)</f>
        <v>0</v>
      </c>
      <c r="L250" s="167"/>
      <c r="M250" s="341" t="str">
        <f t="shared" ca="1" si="18"/>
        <v xml:space="preserve"> </v>
      </c>
      <c r="N250" s="342" t="s">
        <v>40</v>
      </c>
      <c r="O250" s="369"/>
      <c r="P250" s="20"/>
      <c r="Q250" s="340" t="s">
        <v>110</v>
      </c>
      <c r="R250" s="32">
        <f ca="1">I250</f>
        <v>0</v>
      </c>
    </row>
    <row r="251" spans="1:18" ht="12.75" customHeight="1">
      <c r="C251" s="168" t="s">
        <v>108</v>
      </c>
      <c r="D251" s="370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4" t="s">
        <v>111</v>
      </c>
      <c r="D252" s="343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4" cm="1">
        <f t="array" aca="1" ref="E253" ca="1">INDIRECT("'Worksheet 2'!$X"&amp;$B245)</f>
        <v>0</v>
      </c>
      <c r="F253" s="39"/>
      <c r="G253" s="20"/>
      <c r="H253" s="344" t="str" cm="1">
        <f t="array" aca="1" ref="H253" ca="1">INDIRECT("'Worksheet 2'!$R"&amp;$B245)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0"/>
    </row>
    <row r="254" spans="1:18" ht="15.75" customHeight="1">
      <c r="C254" s="164" t="s">
        <v>12</v>
      </c>
      <c r="D254" s="344" cm="1">
        <f t="array" aca="1" ref="D254" ca="1">INDIRECT("'Worksheet 2'!$W"&amp;$B245)</f>
        <v>0</v>
      </c>
      <c r="E254" s="22"/>
      <c r="F254" s="23"/>
      <c r="G254" s="22"/>
      <c r="H254" s="344" t="str" cm="1">
        <f t="array" aca="1" ref="H254" ca="1">INDIRECT("'Worksheet 2'!$P"&amp;$B245)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1"/>
    </row>
    <row r="255" spans="1:18" ht="23.25">
      <c r="C255" s="345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1"/>
      <c r="H255" s="371" t="str" cm="1">
        <f t="array" aca="1" ref="H255" ca="1">IF(INDIRECT("'Worksheet 2'!$F"&amp;$B245)="st","SOR T&amp;B"," ")</f>
        <v xml:space="preserve"> </v>
      </c>
      <c r="I255" s="372"/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1"/>
      <c r="Q255" s="371"/>
      <c r="R255" s="372"/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West York, York, Columbia WO#C5006244-00287</v>
      </c>
      <c r="E259" s="22"/>
      <c r="F259" s="23"/>
      <c r="G259" s="22"/>
      <c r="H259" s="24"/>
      <c r="I259" s="25">
        <f>+'Worksheet 2'!$AR$1</f>
        <v>33655</v>
      </c>
      <c r="J259" s="26"/>
      <c r="L259" s="164" t="s">
        <v>107</v>
      </c>
      <c r="M259" s="21" t="str">
        <f>+'Worksheet 2'!$W$4</f>
        <v>West York, York, Columbia WO#C5006244-00287</v>
      </c>
      <c r="N259" s="22"/>
      <c r="O259" s="23"/>
      <c r="P259" s="22"/>
      <c r="Q259" s="24"/>
      <c r="R259" s="25">
        <f>+'Worksheet 2'!$AR$1</f>
        <v>33655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116</v>
      </c>
      <c r="F261" s="366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6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7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7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6" t="str">
        <f ca="1">IF(D267="YES",H260+12," ")</f>
        <v xml:space="preserve"> </v>
      </c>
      <c r="H263" s="340" t="s">
        <v>10</v>
      </c>
      <c r="I263" s="368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6" t="str">
        <f ca="1">F263</f>
        <v xml:space="preserve"> </v>
      </c>
      <c r="P263" s="19"/>
      <c r="Q263" s="340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2" t="s">
        <v>40</v>
      </c>
      <c r="F264" s="369"/>
      <c r="G264" s="20"/>
      <c r="H264" s="340" t="s">
        <v>110</v>
      </c>
      <c r="I264" s="32">
        <f ca="1">IF(D269="Left of Pair",(D260+F260)/2,D260+F260)</f>
        <v>0</v>
      </c>
      <c r="L264" s="167"/>
      <c r="M264" s="341" t="str">
        <f t="shared" ca="1" si="19"/>
        <v xml:space="preserve"> </v>
      </c>
      <c r="N264" s="342" t="s">
        <v>40</v>
      </c>
      <c r="O264" s="369"/>
      <c r="P264" s="20"/>
      <c r="Q264" s="340" t="s">
        <v>110</v>
      </c>
      <c r="R264" s="32">
        <f ca="1">I264</f>
        <v>0</v>
      </c>
    </row>
    <row r="265" spans="1:18" ht="12.75" customHeight="1">
      <c r="C265" s="168" t="s">
        <v>108</v>
      </c>
      <c r="D265" s="370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4" t="s">
        <v>111</v>
      </c>
      <c r="D266" s="343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4" cm="1">
        <f t="array" aca="1" ref="E267" ca="1">INDIRECT("'Worksheet 2'!$X"&amp;$B259)</f>
        <v>0</v>
      </c>
      <c r="F267" s="39"/>
      <c r="G267" s="20"/>
      <c r="H267" s="344" t="str" cm="1">
        <f t="array" aca="1" ref="H267" ca="1">INDIRECT("'Worksheet 2'!$R"&amp;$B259)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0"/>
    </row>
    <row r="268" spans="1:18" ht="15.75" customHeight="1">
      <c r="C268" s="164" t="s">
        <v>12</v>
      </c>
      <c r="D268" s="344" cm="1">
        <f t="array" aca="1" ref="D268" ca="1">INDIRECT("'Worksheet 2'!$W"&amp;$B259)</f>
        <v>0</v>
      </c>
      <c r="E268" s="22"/>
      <c r="F268" s="23"/>
      <c r="G268" s="22"/>
      <c r="H268" s="344" t="str" cm="1">
        <f t="array" aca="1" ref="H268" ca="1">INDIRECT("'Worksheet 2'!$P"&amp;$B259)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1"/>
    </row>
    <row r="269" spans="1:18" ht="23.25">
      <c r="C269" s="345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1"/>
      <c r="H269" s="371" t="str" cm="1">
        <f t="array" aca="1" ref="H269" ca="1">IF(INDIRECT("'Worksheet 2'!$F"&amp;$B259)="st","SOR T&amp;B"," ")</f>
        <v xml:space="preserve"> </v>
      </c>
      <c r="I269" s="372"/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1"/>
      <c r="Q269" s="371"/>
      <c r="R269" s="372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2025-06-26T21:48:13Z</cp:lastPrinted>
  <dcterms:created xsi:type="dcterms:W3CDTF">1997-04-14T18:07:46Z</dcterms:created>
  <dcterms:modified xsi:type="dcterms:W3CDTF">2025-06-26T22:24:57Z</dcterms:modified>
</cp:coreProperties>
</file>